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8"/>
  <workbookPr/>
  <mc:AlternateContent xmlns:mc="http://schemas.openxmlformats.org/markup-compatibility/2006">
    <mc:Choice Requires="x15">
      <x15ac:absPath xmlns:x15ac="http://schemas.microsoft.com/office/spreadsheetml/2010/11/ac" url="F:\00VideoClassStorage\00000AllExcelBook\MikeGirvinTheOnlyAppThatMattersFinalBookFirstEdit\TheOnlyAppThatMatter\Ch21\"/>
    </mc:Choice>
  </mc:AlternateContent>
  <xr:revisionPtr revIDLastSave="0" documentId="13_ncr:1_{57458A27-E2CE-4872-B400-E420B1B59072}" xr6:coauthVersionLast="47" xr6:coauthVersionMax="47" xr10:uidLastSave="{00000000-0000-0000-0000-000000000000}"/>
  <bookViews>
    <workbookView xWindow="-120" yWindow="-120" windowWidth="29040" windowHeight="15840" tabRatio="678" xr2:uid="{00000000-000D-0000-FFFF-FFFF00000000}"/>
  </bookViews>
  <sheets>
    <sheet name="VisiCalc" sheetId="1" r:id="rId1"/>
    <sheet name="WorksheetFinancialFunctions" sheetId="2" r:id="rId2"/>
    <sheet name="DAXFinancialFunctions" sheetId="3" r:id="rId3"/>
    <sheet name="Ch21(1)" sheetId="5" r:id="rId4"/>
    <sheet name="Ch21(2)" sheetId="6" r:id="rId5"/>
    <sheet name="Ch21(3)" sheetId="8" r:id="rId6"/>
    <sheet name="Ch21(4)" sheetId="10" r:id="rId7"/>
    <sheet name="Ch21(4an)" sheetId="11" r:id="rId8"/>
    <sheet name="Ch21(5)" sheetId="19" r:id="rId9"/>
    <sheet name="Ch21(5an)" sheetId="18" r:id="rId10"/>
    <sheet name="Ch21(6)" sheetId="12" r:id="rId11"/>
    <sheet name="Ch21(6an)" sheetId="13" r:id="rId12"/>
    <sheet name="Ch21(7)" sheetId="21" r:id="rId13"/>
    <sheet name="Ch21(7an)" sheetId="17" r:id="rId14"/>
    <sheet name="Ch21(8)" sheetId="22" r:id="rId15"/>
    <sheet name="Ch21(8an)" sheetId="20" r:id="rId16"/>
    <sheet name="Ch21(9)" sheetId="24" r:id="rId17"/>
    <sheet name="Ch21(9an)" sheetId="23" r:id="rId18"/>
    <sheet name="Ch21(10)" sheetId="25" r:id="rId19"/>
    <sheet name="Ch21(10an)" sheetId="26" r:id="rId20"/>
    <sheet name="Ch21(11)" sheetId="27" r:id="rId21"/>
    <sheet name="Ch21(11an)" sheetId="28" r:id="rId22"/>
    <sheet name="Ch21(12)" sheetId="30" r:id="rId23"/>
    <sheet name="Ch21(12an)" sheetId="29" r:id="rId24"/>
    <sheet name="Ch21(13)" sheetId="31" r:id="rId25"/>
    <sheet name="Ch21(13an)" sheetId="32" r:id="rId26"/>
    <sheet name="Ch21(14)" sheetId="33" r:id="rId27"/>
    <sheet name="Ch21(14an)" sheetId="34" r:id="rId28"/>
    <sheet name="Practice Problems ==&gt;" sheetId="37" r:id="rId29"/>
    <sheet name="PPCh21(1)" sheetId="35" r:id="rId30"/>
    <sheet name="PPCh21(1an)" sheetId="36" r:id="rId31"/>
    <sheet name="PPCh21(2)" sheetId="40" r:id="rId32"/>
    <sheet name="PPCh21(2an)" sheetId="41" r:id="rId33"/>
    <sheet name="PPCh21(3)" sheetId="42" r:id="rId34"/>
    <sheet name="PPCh21(3an)" sheetId="45" r:id="rId35"/>
    <sheet name="PPCh21(4)" sheetId="43" r:id="rId36"/>
    <sheet name="PPCh21(4an)" sheetId="46" r:id="rId37"/>
    <sheet name="PPCh21(5)" sheetId="47" r:id="rId38"/>
    <sheet name="PPCh21(5an)" sheetId="50" r:id="rId39"/>
    <sheet name="PPCh21(6)" sheetId="48" r:id="rId40"/>
    <sheet name="PPCh21(6an)" sheetId="51" r:id="rId41"/>
    <sheet name="PPCh21(7)" sheetId="52" r:id="rId42"/>
    <sheet name="PPCh21(7an)" sheetId="55" r:id="rId43"/>
    <sheet name="PPCh21(8)" sheetId="56" r:id="rId44"/>
    <sheet name="PPCh21(8an)" sheetId="53" r:id="rId45"/>
    <sheet name="PPCh21(9)" sheetId="57" r:id="rId46"/>
    <sheet name="PPCh21(9an)" sheetId="58" r:id="rId47"/>
    <sheet name="PPCh21(10)" sheetId="60" r:id="rId48"/>
    <sheet name="PPCh21(10an)" sheetId="63" r:id="rId49"/>
  </sheets>
  <definedNames>
    <definedName name="_xlnm._FilterDatabase" localSheetId="1" hidden="1">WorksheetFinancialFunctions!$A$1:$B$56</definedName>
    <definedName name="NPV" localSheetId="47">'PPCh21(10)'!$F$15</definedName>
    <definedName name="NPV" localSheetId="48">'PPCh21(10an)'!$F$15</definedName>
    <definedName name="XNPV" localSheetId="47">'PPCh21(10)'!$F$16</definedName>
    <definedName name="XNPV" localSheetId="48">'PPCh21(10an)'!$F$16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6" i="63" l="1"/>
  <c r="F15" i="63"/>
  <c r="F17" i="63" s="1"/>
  <c r="N12" i="63"/>
  <c r="M12" i="63"/>
  <c r="F12" i="63"/>
  <c r="N11" i="63"/>
  <c r="M11" i="63"/>
  <c r="N15" i="63" s="1"/>
  <c r="F11" i="63"/>
  <c r="N10" i="63"/>
  <c r="M10" i="63"/>
  <c r="F10" i="63"/>
  <c r="N9" i="63"/>
  <c r="M9" i="63"/>
  <c r="F9" i="63"/>
  <c r="N8" i="63"/>
  <c r="M8" i="63"/>
  <c r="F8" i="63"/>
  <c r="R7" i="63" a="1"/>
  <c r="R7" i="63" s="1"/>
  <c r="Q7" i="63" a="1"/>
  <c r="Q7" i="63" s="1"/>
  <c r="N7" i="63"/>
  <c r="M7" i="63"/>
  <c r="I7" i="63" a="1"/>
  <c r="I7" i="63" s="1"/>
  <c r="I13" i="63" s="1"/>
  <c r="F7" i="63"/>
  <c r="N12" i="60"/>
  <c r="M12" i="60"/>
  <c r="F12" i="60"/>
  <c r="N11" i="60"/>
  <c r="M11" i="60"/>
  <c r="M15" i="60" s="1"/>
  <c r="F11" i="60"/>
  <c r="N10" i="60"/>
  <c r="M10" i="60"/>
  <c r="F10" i="60"/>
  <c r="N9" i="60"/>
  <c r="M9" i="60"/>
  <c r="F9" i="60"/>
  <c r="N8" i="60"/>
  <c r="M8" i="60"/>
  <c r="F8" i="60"/>
  <c r="R7" i="60" a="1"/>
  <c r="R7" i="60" s="1"/>
  <c r="Q7" i="60" a="1"/>
  <c r="Q7" i="60" s="1"/>
  <c r="N7" i="60"/>
  <c r="M7" i="60"/>
  <c r="I7" i="60" a="1"/>
  <c r="I7" i="60" s="1"/>
  <c r="I13" i="60" s="1"/>
  <c r="F7" i="60"/>
  <c r="J7" i="63" a="1"/>
  <c r="G15" i="63" a="1"/>
  <c r="J7" i="60" a="1"/>
  <c r="O15" i="63"/>
  <c r="G15" i="60" a="1"/>
  <c r="G7" i="63" a="1"/>
  <c r="G7" i="60" a="1"/>
  <c r="O15" i="60"/>
  <c r="N15" i="60" l="1"/>
  <c r="M15" i="63"/>
  <c r="F13" i="60"/>
  <c r="F13" i="63"/>
  <c r="G7" i="63"/>
  <c r="J7" i="63"/>
  <c r="G15" i="63"/>
  <c r="G15" i="60"/>
  <c r="G7" i="60"/>
  <c r="J7" i="60"/>
  <c r="F22" i="58" l="1"/>
  <c r="C11" i="58"/>
  <c r="C10" i="58"/>
  <c r="C12" i="58" s="1"/>
  <c r="C9" i="53"/>
  <c r="G9" i="53" s="1"/>
  <c r="C11" i="53"/>
  <c r="C12" i="53"/>
  <c r="C13" i="53"/>
  <c r="C14" i="53"/>
  <c r="C10" i="53"/>
  <c r="C18" i="55" a="1"/>
  <c r="C18" i="55" s="1"/>
  <c r="C15" i="55"/>
  <c r="F14" i="55"/>
  <c r="F13" i="55"/>
  <c r="F12" i="55"/>
  <c r="F11" i="55"/>
  <c r="F10" i="55"/>
  <c r="B10" i="53"/>
  <c r="C10" i="51"/>
  <c r="C12" i="50"/>
  <c r="C11" i="50"/>
  <c r="B2" i="50"/>
  <c r="B13" i="46"/>
  <c r="C11" i="46"/>
  <c r="C13" i="46" s="1"/>
  <c r="C10" i="46"/>
  <c r="C10" i="45"/>
  <c r="C9" i="45"/>
  <c r="C11" i="45" s="1"/>
  <c r="B5" i="45"/>
  <c r="C12" i="41"/>
  <c r="C11" i="41"/>
  <c r="C13" i="41" s="1"/>
  <c r="B2" i="41"/>
  <c r="C13" i="36"/>
  <c r="H11" i="53"/>
  <c r="G19" i="53"/>
  <c r="D12" i="50"/>
  <c r="D12" i="41"/>
  <c r="D10" i="45"/>
  <c r="D17" i="41"/>
  <c r="H13" i="53"/>
  <c r="D14" i="46"/>
  <c r="D6" i="51"/>
  <c r="B16" i="58"/>
  <c r="D10" i="51"/>
  <c r="H12" i="53"/>
  <c r="D11" i="45"/>
  <c r="D18" i="55"/>
  <c r="H9" i="53"/>
  <c r="E18" i="58"/>
  <c r="G17" i="53"/>
  <c r="D11" i="57"/>
  <c r="G17" i="55"/>
  <c r="H14" i="53"/>
  <c r="D11" i="50"/>
  <c r="D9" i="51"/>
  <c r="D15" i="41"/>
  <c r="D11" i="51"/>
  <c r="D12" i="58"/>
  <c r="D13" i="46"/>
  <c r="B17" i="58"/>
  <c r="D10" i="57"/>
  <c r="D15" i="53"/>
  <c r="G15" i="55"/>
  <c r="G10" i="55"/>
  <c r="D11" i="46"/>
  <c r="D16" i="46"/>
  <c r="D10" i="58"/>
  <c r="D9" i="50"/>
  <c r="B15" i="58"/>
  <c r="D5" i="51"/>
  <c r="D12" i="46"/>
  <c r="D14" i="41"/>
  <c r="D16" i="55"/>
  <c r="D9" i="45"/>
  <c r="G19" i="55"/>
  <c r="D6" i="50"/>
  <c r="H10" i="53"/>
  <c r="D7" i="51"/>
  <c r="H15" i="53"/>
  <c r="G14" i="55"/>
  <c r="D15" i="55"/>
  <c r="D12" i="51"/>
  <c r="D10" i="50"/>
  <c r="D5" i="50"/>
  <c r="G11" i="55"/>
  <c r="B18" i="58"/>
  <c r="G12" i="55"/>
  <c r="D17" i="53"/>
  <c r="D13" i="41"/>
  <c r="D8" i="50"/>
  <c r="D13" i="50"/>
  <c r="D11" i="58"/>
  <c r="D13" i="45"/>
  <c r="D10" i="46"/>
  <c r="D11" i="41"/>
  <c r="D7" i="50"/>
  <c r="D13" i="36"/>
  <c r="G13" i="55"/>
  <c r="D16" i="50"/>
  <c r="D14" i="51"/>
  <c r="D12" i="57"/>
  <c r="C382" i="58" l="1"/>
  <c r="C380" i="58"/>
  <c r="C378" i="58"/>
  <c r="C376" i="58"/>
  <c r="C374" i="58"/>
  <c r="C372" i="58"/>
  <c r="C370" i="58"/>
  <c r="C368" i="58"/>
  <c r="C366" i="58"/>
  <c r="C364" i="58"/>
  <c r="C362" i="58"/>
  <c r="C360" i="58"/>
  <c r="C358" i="58"/>
  <c r="C356" i="58"/>
  <c r="C354" i="58"/>
  <c r="C352" i="58"/>
  <c r="C350" i="58"/>
  <c r="C348" i="58"/>
  <c r="C346" i="58"/>
  <c r="C344" i="58"/>
  <c r="C342" i="58"/>
  <c r="C340" i="58"/>
  <c r="C338" i="58"/>
  <c r="C336" i="58"/>
  <c r="C334" i="58"/>
  <c r="C332" i="58"/>
  <c r="C330" i="58"/>
  <c r="C328" i="58"/>
  <c r="C326" i="58"/>
  <c r="C324" i="58"/>
  <c r="C322" i="58"/>
  <c r="C320" i="58"/>
  <c r="C318" i="58"/>
  <c r="C316" i="58"/>
  <c r="C314" i="58"/>
  <c r="C312" i="58"/>
  <c r="C310" i="58"/>
  <c r="C308" i="58"/>
  <c r="C306" i="58"/>
  <c r="C304" i="58"/>
  <c r="C302" i="58"/>
  <c r="C300" i="58"/>
  <c r="C298" i="58"/>
  <c r="C297" i="58"/>
  <c r="C296" i="58"/>
  <c r="C295" i="58"/>
  <c r="C294" i="58"/>
  <c r="C293" i="58"/>
  <c r="C292" i="58"/>
  <c r="C291" i="58"/>
  <c r="C290" i="58"/>
  <c r="C289" i="58"/>
  <c r="C288" i="58"/>
  <c r="C287" i="58"/>
  <c r="C286" i="58"/>
  <c r="C285" i="58"/>
  <c r="C284" i="58"/>
  <c r="C283" i="58"/>
  <c r="C282" i="58"/>
  <c r="C281" i="58"/>
  <c r="C280" i="58"/>
  <c r="C279" i="58"/>
  <c r="C278" i="58"/>
  <c r="C277" i="58"/>
  <c r="C276" i="58"/>
  <c r="C275" i="58"/>
  <c r="C274" i="58"/>
  <c r="C273" i="58"/>
  <c r="C272" i="58"/>
  <c r="C271" i="58"/>
  <c r="C270" i="58"/>
  <c r="C269" i="58"/>
  <c r="C268" i="58"/>
  <c r="C267" i="58"/>
  <c r="C266" i="58"/>
  <c r="C265" i="58"/>
  <c r="C264" i="58"/>
  <c r="C263" i="58"/>
  <c r="C262" i="58"/>
  <c r="C261" i="58"/>
  <c r="C260" i="58"/>
  <c r="C259" i="58"/>
  <c r="C258" i="58"/>
  <c r="C257" i="58"/>
  <c r="C256" i="58"/>
  <c r="C255" i="58"/>
  <c r="C254" i="58"/>
  <c r="C253" i="58"/>
  <c r="C252" i="58"/>
  <c r="C251" i="58"/>
  <c r="C250" i="58"/>
  <c r="C249" i="58"/>
  <c r="C248" i="58"/>
  <c r="C247" i="58"/>
  <c r="C246" i="58"/>
  <c r="C245" i="58"/>
  <c r="C244" i="58"/>
  <c r="C243" i="58"/>
  <c r="C242" i="58"/>
  <c r="C241" i="58"/>
  <c r="C240" i="58"/>
  <c r="C381" i="58"/>
  <c r="C377" i="58"/>
  <c r="C373" i="58"/>
  <c r="C369" i="58"/>
  <c r="C365" i="58"/>
  <c r="C361" i="58"/>
  <c r="C357" i="58"/>
  <c r="C353" i="58"/>
  <c r="C349" i="58"/>
  <c r="C345" i="58"/>
  <c r="C341" i="58"/>
  <c r="C337" i="58"/>
  <c r="C333" i="58"/>
  <c r="C329" i="58"/>
  <c r="C325" i="58"/>
  <c r="C321" i="58"/>
  <c r="C317" i="58"/>
  <c r="C313" i="58"/>
  <c r="C309" i="58"/>
  <c r="C305" i="58"/>
  <c r="C301" i="58"/>
  <c r="C379" i="58"/>
  <c r="C375" i="58"/>
  <c r="C371" i="58"/>
  <c r="C367" i="58"/>
  <c r="C363" i="58"/>
  <c r="C359" i="58"/>
  <c r="C355" i="58"/>
  <c r="C351" i="58"/>
  <c r="C347" i="58"/>
  <c r="C343" i="58"/>
  <c r="C339" i="58"/>
  <c r="C335" i="58"/>
  <c r="C331" i="58"/>
  <c r="C327" i="58"/>
  <c r="C323" i="58"/>
  <c r="C319" i="58"/>
  <c r="C315" i="58"/>
  <c r="C311" i="58"/>
  <c r="C307" i="58"/>
  <c r="C303" i="58"/>
  <c r="C299" i="58"/>
  <c r="C239" i="58"/>
  <c r="C238" i="58"/>
  <c r="C237" i="58"/>
  <c r="C236" i="58"/>
  <c r="C235" i="58"/>
  <c r="C234" i="58"/>
  <c r="C233" i="58"/>
  <c r="C232" i="58"/>
  <c r="C231" i="58"/>
  <c r="C230" i="58"/>
  <c r="C229" i="58"/>
  <c r="C228" i="58"/>
  <c r="C227" i="58"/>
  <c r="C226" i="58"/>
  <c r="C225" i="58"/>
  <c r="C224" i="58"/>
  <c r="C223" i="58"/>
  <c r="C222" i="58"/>
  <c r="C221" i="58"/>
  <c r="C220" i="58"/>
  <c r="C219" i="58"/>
  <c r="C218" i="58"/>
  <c r="C217" i="58"/>
  <c r="C216" i="58"/>
  <c r="C215" i="58"/>
  <c r="C214" i="58"/>
  <c r="C213" i="58"/>
  <c r="C212" i="58"/>
  <c r="C211" i="58"/>
  <c r="C210" i="58"/>
  <c r="C209" i="58"/>
  <c r="C207" i="58"/>
  <c r="C203" i="58"/>
  <c r="C199" i="58"/>
  <c r="C195" i="58"/>
  <c r="C191" i="58"/>
  <c r="C187" i="58"/>
  <c r="C183" i="58"/>
  <c r="C179" i="58"/>
  <c r="C175" i="58"/>
  <c r="C171" i="58"/>
  <c r="C167" i="58"/>
  <c r="C163" i="58"/>
  <c r="C159" i="58"/>
  <c r="C155" i="58"/>
  <c r="C151" i="58"/>
  <c r="C147" i="58"/>
  <c r="C143" i="58"/>
  <c r="C139" i="58"/>
  <c r="C135" i="58"/>
  <c r="C132" i="58"/>
  <c r="C130" i="58"/>
  <c r="C128" i="58"/>
  <c r="C126" i="58"/>
  <c r="C124" i="58"/>
  <c r="C122" i="58"/>
  <c r="C120" i="58"/>
  <c r="C118" i="58"/>
  <c r="C116" i="58"/>
  <c r="C114" i="58"/>
  <c r="C206" i="58"/>
  <c r="C202" i="58"/>
  <c r="C198" i="58"/>
  <c r="C194" i="58"/>
  <c r="C190" i="58"/>
  <c r="C186" i="58"/>
  <c r="C182" i="58"/>
  <c r="C178" i="58"/>
  <c r="C174" i="58"/>
  <c r="C170" i="58"/>
  <c r="C166" i="58"/>
  <c r="C162" i="58"/>
  <c r="C158" i="58"/>
  <c r="C154" i="58"/>
  <c r="C150" i="58"/>
  <c r="C146" i="58"/>
  <c r="C142" i="58"/>
  <c r="C138" i="58"/>
  <c r="C134" i="58"/>
  <c r="C205" i="58"/>
  <c r="C201" i="58"/>
  <c r="C197" i="58"/>
  <c r="C193" i="58"/>
  <c r="C189" i="58"/>
  <c r="C185" i="58"/>
  <c r="C181" i="58"/>
  <c r="C177" i="58"/>
  <c r="C173" i="58"/>
  <c r="C169" i="58"/>
  <c r="C165" i="58"/>
  <c r="C161" i="58"/>
  <c r="C157" i="58"/>
  <c r="C153" i="58"/>
  <c r="C149" i="58"/>
  <c r="C145" i="58"/>
  <c r="C141" i="58"/>
  <c r="C137" i="58"/>
  <c r="C133" i="58"/>
  <c r="C131" i="58"/>
  <c r="C129" i="58"/>
  <c r="C127" i="58"/>
  <c r="C125" i="58"/>
  <c r="C123" i="58"/>
  <c r="C121" i="58"/>
  <c r="C119" i="58"/>
  <c r="C117" i="58"/>
  <c r="C115" i="58"/>
  <c r="C113" i="58"/>
  <c r="C111" i="58"/>
  <c r="C109" i="58"/>
  <c r="C107" i="58"/>
  <c r="C105" i="58"/>
  <c r="C103" i="58"/>
  <c r="C101" i="58"/>
  <c r="C99" i="58"/>
  <c r="C97" i="58"/>
  <c r="C95" i="58"/>
  <c r="C93" i="58"/>
  <c r="C91" i="58"/>
  <c r="C89" i="58"/>
  <c r="C87" i="58"/>
  <c r="C85" i="58"/>
  <c r="C83" i="58"/>
  <c r="C81" i="58"/>
  <c r="C79" i="58"/>
  <c r="C77" i="58"/>
  <c r="C75" i="58"/>
  <c r="C73" i="58"/>
  <c r="C71" i="58"/>
  <c r="C69" i="58"/>
  <c r="C67" i="58"/>
  <c r="C65" i="58"/>
  <c r="C63" i="58"/>
  <c r="C61" i="58"/>
  <c r="C59" i="58"/>
  <c r="C57" i="58"/>
  <c r="C55" i="58"/>
  <c r="C53" i="58"/>
  <c r="C51" i="58"/>
  <c r="C49" i="58"/>
  <c r="C47" i="58"/>
  <c r="C45" i="58"/>
  <c r="C43" i="58"/>
  <c r="C41" i="58"/>
  <c r="C39" i="58"/>
  <c r="C37" i="58"/>
  <c r="C35" i="58"/>
  <c r="C33" i="58"/>
  <c r="C31" i="58"/>
  <c r="C29" i="58"/>
  <c r="C27" i="58"/>
  <c r="C208" i="58"/>
  <c r="C204" i="58"/>
  <c r="C200" i="58"/>
  <c r="C196" i="58"/>
  <c r="C192" i="58"/>
  <c r="C188" i="58"/>
  <c r="C184" i="58"/>
  <c r="C180" i="58"/>
  <c r="C176" i="58"/>
  <c r="C172" i="58"/>
  <c r="C168" i="58"/>
  <c r="C164" i="58"/>
  <c r="C160" i="58"/>
  <c r="C156" i="58"/>
  <c r="C152" i="58"/>
  <c r="C148" i="58"/>
  <c r="C144" i="58"/>
  <c r="C140" i="58"/>
  <c r="C136" i="58"/>
  <c r="C110" i="58"/>
  <c r="C102" i="58"/>
  <c r="C94" i="58"/>
  <c r="C86" i="58"/>
  <c r="C78" i="58"/>
  <c r="C70" i="58"/>
  <c r="C62" i="58"/>
  <c r="C54" i="58"/>
  <c r="C46" i="58"/>
  <c r="C38" i="58"/>
  <c r="C30" i="58"/>
  <c r="C24" i="58"/>
  <c r="C108" i="58"/>
  <c r="C100" i="58"/>
  <c r="C92" i="58"/>
  <c r="C84" i="58"/>
  <c r="C76" i="58"/>
  <c r="C68" i="58"/>
  <c r="C60" i="58"/>
  <c r="C52" i="58"/>
  <c r="C44" i="58"/>
  <c r="C36" i="58"/>
  <c r="C28" i="58"/>
  <c r="C23" i="58"/>
  <c r="E23" i="58" s="1"/>
  <c r="C106" i="58"/>
  <c r="C98" i="58"/>
  <c r="C90" i="58"/>
  <c r="C82" i="58"/>
  <c r="C74" i="58"/>
  <c r="C66" i="58"/>
  <c r="C58" i="58"/>
  <c r="C50" i="58"/>
  <c r="C42" i="58"/>
  <c r="C34" i="58"/>
  <c r="C26" i="58"/>
  <c r="C112" i="58"/>
  <c r="C104" i="58"/>
  <c r="C96" i="58"/>
  <c r="C88" i="58"/>
  <c r="C80" i="58"/>
  <c r="C72" i="58"/>
  <c r="C64" i="58"/>
  <c r="C56" i="58"/>
  <c r="C48" i="58"/>
  <c r="C40" i="58"/>
  <c r="C32" i="58"/>
  <c r="C25" i="58"/>
  <c r="F23" i="58"/>
  <c r="D23" i="58"/>
  <c r="T21" i="58"/>
  <c r="T21" i="57"/>
  <c r="F15" i="55"/>
  <c r="C16" i="55"/>
  <c r="B11" i="53"/>
  <c r="G10" i="53"/>
  <c r="C11" i="51"/>
  <c r="C12" i="51" s="1"/>
  <c r="C14" i="51"/>
  <c r="C13" i="50"/>
  <c r="C16" i="50"/>
  <c r="C16" i="46"/>
  <c r="C12" i="46"/>
  <c r="C14" i="46" s="1"/>
  <c r="C13" i="45"/>
  <c r="C17" i="41"/>
  <c r="C14" i="41"/>
  <c r="C15" i="41" s="1"/>
  <c r="C10" i="36"/>
  <c r="C9" i="36"/>
  <c r="C11" i="36" s="1"/>
  <c r="B2" i="36"/>
  <c r="D10" i="36"/>
  <c r="D9" i="36"/>
  <c r="D24" i="26"/>
  <c r="D11" i="36"/>
  <c r="D24" i="58" l="1"/>
  <c r="E24" i="58" s="1"/>
  <c r="F24" i="58" s="1"/>
  <c r="B12" i="53"/>
  <c r="G11" i="53"/>
  <c r="C11" i="28"/>
  <c r="C39" i="28"/>
  <c r="C38" i="28"/>
  <c r="B10" i="34"/>
  <c r="G9" i="34"/>
  <c r="G9" i="33"/>
  <c r="H12" i="33"/>
  <c r="H10" i="34"/>
  <c r="H15" i="34"/>
  <c r="H13" i="33"/>
  <c r="H14" i="34"/>
  <c r="H13" i="34"/>
  <c r="H9" i="33"/>
  <c r="G19" i="34"/>
  <c r="D15" i="34"/>
  <c r="H14" i="33"/>
  <c r="H12" i="34"/>
  <c r="H11" i="33"/>
  <c r="H9" i="34"/>
  <c r="H10" i="33"/>
  <c r="H11" i="34"/>
  <c r="H15" i="33"/>
  <c r="G17" i="34"/>
  <c r="D23" i="34"/>
  <c r="F25" i="58" l="1"/>
  <c r="D25" i="58"/>
  <c r="E25" i="58" s="1"/>
  <c r="G12" i="53"/>
  <c r="B13" i="53"/>
  <c r="G10" i="34"/>
  <c r="B11" i="34"/>
  <c r="B10" i="33"/>
  <c r="C25" i="32" a="1"/>
  <c r="C25" i="32" s="1"/>
  <c r="G13" i="32"/>
  <c r="C15" i="32"/>
  <c r="G22" i="32" s="1"/>
  <c r="G14" i="32"/>
  <c r="G12" i="32"/>
  <c r="G11" i="32"/>
  <c r="G10" i="32"/>
  <c r="G11" i="31"/>
  <c r="G12" i="31"/>
  <c r="G13" i="31"/>
  <c r="G14" i="31"/>
  <c r="G10" i="31"/>
  <c r="P7" i="30"/>
  <c r="D16" i="31"/>
  <c r="G17" i="32"/>
  <c r="D15" i="31"/>
  <c r="D12" i="30"/>
  <c r="G17" i="33"/>
  <c r="H15" i="31"/>
  <c r="D11" i="30"/>
  <c r="H15" i="32"/>
  <c r="H12" i="31"/>
  <c r="H11" i="32"/>
  <c r="G19" i="31"/>
  <c r="D15" i="32"/>
  <c r="D15" i="30"/>
  <c r="H13" i="32"/>
  <c r="H10" i="31"/>
  <c r="D16" i="30"/>
  <c r="H14" i="32"/>
  <c r="H13" i="31"/>
  <c r="D15" i="33"/>
  <c r="D17" i="30"/>
  <c r="D14" i="30"/>
  <c r="D25" i="32"/>
  <c r="H14" i="31"/>
  <c r="H10" i="32"/>
  <c r="H11" i="31"/>
  <c r="D13" i="30"/>
  <c r="D16" i="32"/>
  <c r="G19" i="33"/>
  <c r="H12" i="32"/>
  <c r="G17" i="31"/>
  <c r="G19" i="32"/>
  <c r="D26" i="58" l="1"/>
  <c r="E26" i="58" s="1"/>
  <c r="F26" i="58" s="1"/>
  <c r="G13" i="53"/>
  <c r="B14" i="53"/>
  <c r="C15" i="53"/>
  <c r="B12" i="34"/>
  <c r="G11" i="34"/>
  <c r="G10" i="33"/>
  <c r="B11" i="33"/>
  <c r="G15" i="32"/>
  <c r="C16" i="32"/>
  <c r="G15" i="31"/>
  <c r="H7" i="29"/>
  <c r="C11" i="29"/>
  <c r="C12" i="29" s="1"/>
  <c r="H8" i="29" s="1"/>
  <c r="C14" i="29"/>
  <c r="C13" i="29"/>
  <c r="C28" i="28"/>
  <c r="C23" i="28"/>
  <c r="C12" i="28"/>
  <c r="C10" i="28"/>
  <c r="C27" i="28" s="1"/>
  <c r="D12" i="28"/>
  <c r="D14" i="29"/>
  <c r="D11" i="29"/>
  <c r="D28" i="28"/>
  <c r="D7" i="28"/>
  <c r="D23" i="28"/>
  <c r="D13" i="29"/>
  <c r="D12" i="29"/>
  <c r="D10" i="28"/>
  <c r="D6" i="28"/>
  <c r="D15" i="29"/>
  <c r="D5" i="28"/>
  <c r="D17" i="29"/>
  <c r="D9" i="28"/>
  <c r="D16" i="29"/>
  <c r="D11" i="28"/>
  <c r="D27" i="28"/>
  <c r="D27" i="58" l="1"/>
  <c r="E27" i="58" s="1"/>
  <c r="F27" i="58" s="1"/>
  <c r="G14" i="53"/>
  <c r="G15" i="53" s="1"/>
  <c r="C17" i="53" a="1"/>
  <c r="C17" i="53" s="1"/>
  <c r="B13" i="34"/>
  <c r="G12" i="34"/>
  <c r="G11" i="33"/>
  <c r="B12" i="33"/>
  <c r="H9" i="29"/>
  <c r="P10" i="30"/>
  <c r="P9" i="30"/>
  <c r="P8" i="30"/>
  <c r="H10" i="29"/>
  <c r="C15" i="29"/>
  <c r="P17" i="30" s="1"/>
  <c r="D28" i="58" l="1"/>
  <c r="E28" i="58" s="1"/>
  <c r="F28" i="58" s="1"/>
  <c r="G15" i="34"/>
  <c r="G13" i="34"/>
  <c r="B14" i="34"/>
  <c r="G14" i="34" s="1"/>
  <c r="C23" i="34" a="1"/>
  <c r="C23" i="34" s="1"/>
  <c r="C15" i="34"/>
  <c r="G12" i="33"/>
  <c r="B13" i="33"/>
  <c r="C16" i="29"/>
  <c r="C17" i="29" s="1"/>
  <c r="D29" i="58" l="1"/>
  <c r="E29" i="58" s="1"/>
  <c r="F29" i="58" s="1"/>
  <c r="G13" i="33"/>
  <c r="B14" i="33"/>
  <c r="C14" i="26"/>
  <c r="C13" i="26"/>
  <c r="C12" i="26"/>
  <c r="C24" i="26" s="1"/>
  <c r="B2" i="25"/>
  <c r="M23" i="24"/>
  <c r="M22" i="24"/>
  <c r="M22" i="23"/>
  <c r="B13" i="20"/>
  <c r="B2" i="24"/>
  <c r="C264" i="23"/>
  <c r="B2" i="23"/>
  <c r="F23" i="23"/>
  <c r="C12" i="23"/>
  <c r="C11" i="23"/>
  <c r="B13" i="22"/>
  <c r="C5" i="22"/>
  <c r="B2" i="22" s="1"/>
  <c r="B13" i="21"/>
  <c r="B2" i="21"/>
  <c r="B13" i="17"/>
  <c r="C11" i="20"/>
  <c r="C10" i="20"/>
  <c r="C5" i="20"/>
  <c r="B2" i="20" s="1"/>
  <c r="C20" i="13"/>
  <c r="C24" i="17"/>
  <c r="C14" i="17"/>
  <c r="C13" i="17"/>
  <c r="B2" i="19"/>
  <c r="C14" i="18"/>
  <c r="B2" i="18"/>
  <c r="C12" i="18"/>
  <c r="C11" i="18"/>
  <c r="C13" i="18" s="1"/>
  <c r="C20" i="11"/>
  <c r="C11" i="17"/>
  <c r="C10" i="17"/>
  <c r="B2" i="17"/>
  <c r="D13" i="25"/>
  <c r="D12" i="23"/>
  <c r="D14" i="26"/>
  <c r="D13" i="24"/>
  <c r="D13" i="17"/>
  <c r="B19" i="23"/>
  <c r="D10" i="22"/>
  <c r="D20" i="13"/>
  <c r="B18" i="23"/>
  <c r="D11" i="27"/>
  <c r="D12" i="18"/>
  <c r="D12" i="21"/>
  <c r="D13" i="26"/>
  <c r="E19" i="23"/>
  <c r="D11" i="18"/>
  <c r="D12" i="24"/>
  <c r="D12" i="27"/>
  <c r="D15" i="18"/>
  <c r="D23" i="20"/>
  <c r="D6" i="27"/>
  <c r="D10" i="27"/>
  <c r="D10" i="26"/>
  <c r="D12" i="22"/>
  <c r="D14" i="21"/>
  <c r="D14" i="18"/>
  <c r="D5" i="27"/>
  <c r="D11" i="20"/>
  <c r="D14" i="20"/>
  <c r="D6" i="25"/>
  <c r="D13" i="21"/>
  <c r="D11" i="19"/>
  <c r="D11" i="21"/>
  <c r="D9" i="26"/>
  <c r="D10" i="20"/>
  <c r="D15" i="26"/>
  <c r="D20" i="11"/>
  <c r="D15" i="25"/>
  <c r="D12" i="20"/>
  <c r="D25" i="18"/>
  <c r="D10" i="25"/>
  <c r="D12" i="26"/>
  <c r="D13" i="22"/>
  <c r="D12" i="17"/>
  <c r="D10" i="17"/>
  <c r="D11" i="24"/>
  <c r="D14" i="19"/>
  <c r="D12" i="19"/>
  <c r="D15" i="19"/>
  <c r="D14" i="22"/>
  <c r="D9" i="27"/>
  <c r="D13" i="23"/>
  <c r="D7" i="27"/>
  <c r="D13" i="18"/>
  <c r="D8" i="26"/>
  <c r="D14" i="17"/>
  <c r="D5" i="25"/>
  <c r="D7" i="25"/>
  <c r="D5" i="26"/>
  <c r="D13" i="20"/>
  <c r="D11" i="26"/>
  <c r="D9" i="25"/>
  <c r="D11" i="22"/>
  <c r="D14" i="25"/>
  <c r="D7" i="26"/>
  <c r="D12" i="25"/>
  <c r="D6" i="26"/>
  <c r="D24" i="17"/>
  <c r="B17" i="23"/>
  <c r="D11" i="25"/>
  <c r="B16" i="23"/>
  <c r="D11" i="17"/>
  <c r="D8" i="25"/>
  <c r="D11" i="23"/>
  <c r="D10" i="21"/>
  <c r="D13" i="19"/>
  <c r="D30" i="58" l="1"/>
  <c r="E30" i="58" s="1"/>
  <c r="F30" i="58" s="1"/>
  <c r="C15" i="26"/>
  <c r="B2" i="26"/>
  <c r="G14" i="33"/>
  <c r="G15" i="33" s="1"/>
  <c r="D24" i="23"/>
  <c r="C13" i="23"/>
  <c r="C23" i="20"/>
  <c r="C12" i="20"/>
  <c r="C13" i="20" s="1"/>
  <c r="C14" i="20" s="1"/>
  <c r="C12" i="17"/>
  <c r="C25" i="18"/>
  <c r="C15" i="18"/>
  <c r="D31" i="58" l="1"/>
  <c r="E31" i="58" s="1"/>
  <c r="F31" i="58" s="1"/>
  <c r="C25" i="23"/>
  <c r="C29" i="23"/>
  <c r="C33" i="23"/>
  <c r="C37" i="23"/>
  <c r="C41" i="23"/>
  <c r="C45" i="23"/>
  <c r="C49" i="23"/>
  <c r="C53" i="23"/>
  <c r="C57" i="23"/>
  <c r="C61" i="23"/>
  <c r="C65" i="23"/>
  <c r="C69" i="23"/>
  <c r="C73" i="23"/>
  <c r="C77" i="23"/>
  <c r="C81" i="23"/>
  <c r="C85" i="23"/>
  <c r="C89" i="23"/>
  <c r="C93" i="23"/>
  <c r="C97" i="23"/>
  <c r="C101" i="23"/>
  <c r="C105" i="23"/>
  <c r="C109" i="23"/>
  <c r="C113" i="23"/>
  <c r="C117" i="23"/>
  <c r="C121" i="23"/>
  <c r="C125" i="23"/>
  <c r="C129" i="23"/>
  <c r="C133" i="23"/>
  <c r="C137" i="23"/>
  <c r="C141" i="23"/>
  <c r="C145" i="23"/>
  <c r="C149" i="23"/>
  <c r="C153" i="23"/>
  <c r="C157" i="23"/>
  <c r="C161" i="23"/>
  <c r="C165" i="23"/>
  <c r="C169" i="23"/>
  <c r="C173" i="23"/>
  <c r="C177" i="23"/>
  <c r="C181" i="23"/>
  <c r="C185" i="23"/>
  <c r="C189" i="23"/>
  <c r="C193" i="23"/>
  <c r="C197" i="23"/>
  <c r="C201" i="23"/>
  <c r="C205" i="23"/>
  <c r="C209" i="23"/>
  <c r="C213" i="23"/>
  <c r="C217" i="23"/>
  <c r="C221" i="23"/>
  <c r="C225" i="23"/>
  <c r="C229" i="23"/>
  <c r="C233" i="23"/>
  <c r="C237" i="23"/>
  <c r="C241" i="23"/>
  <c r="C245" i="23"/>
  <c r="C249" i="23"/>
  <c r="C253" i="23"/>
  <c r="C257" i="23"/>
  <c r="C261" i="23"/>
  <c r="C26" i="23"/>
  <c r="C30" i="23"/>
  <c r="C34" i="23"/>
  <c r="C38" i="23"/>
  <c r="C42" i="23"/>
  <c r="C46" i="23"/>
  <c r="C50" i="23"/>
  <c r="C54" i="23"/>
  <c r="C58" i="23"/>
  <c r="C62" i="23"/>
  <c r="C66" i="23"/>
  <c r="C70" i="23"/>
  <c r="C74" i="23"/>
  <c r="C78" i="23"/>
  <c r="C82" i="23"/>
  <c r="C86" i="23"/>
  <c r="C90" i="23"/>
  <c r="C94" i="23"/>
  <c r="C98" i="23"/>
  <c r="C102" i="23"/>
  <c r="C106" i="23"/>
  <c r="C110" i="23"/>
  <c r="C114" i="23"/>
  <c r="C27" i="23"/>
  <c r="C35" i="23"/>
  <c r="C43" i="23"/>
  <c r="C51" i="23"/>
  <c r="C59" i="23"/>
  <c r="C67" i="23"/>
  <c r="C75" i="23"/>
  <c r="C83" i="23"/>
  <c r="C91" i="23"/>
  <c r="C99" i="23"/>
  <c r="C107" i="23"/>
  <c r="C115" i="23"/>
  <c r="C120" i="23"/>
  <c r="C126" i="23"/>
  <c r="C131" i="23"/>
  <c r="C136" i="23"/>
  <c r="C142" i="23"/>
  <c r="C147" i="23"/>
  <c r="C152" i="23"/>
  <c r="C158" i="23"/>
  <c r="C163" i="23"/>
  <c r="C168" i="23"/>
  <c r="C174" i="23"/>
  <c r="C179" i="23"/>
  <c r="C184" i="23"/>
  <c r="C190" i="23"/>
  <c r="C195" i="23"/>
  <c r="C200" i="23"/>
  <c r="C206" i="23"/>
  <c r="C211" i="23"/>
  <c r="C216" i="23"/>
  <c r="C222" i="23"/>
  <c r="C227" i="23"/>
  <c r="C232" i="23"/>
  <c r="C238" i="23"/>
  <c r="C243" i="23"/>
  <c r="C248" i="23"/>
  <c r="C254" i="23"/>
  <c r="C259" i="23"/>
  <c r="C24" i="23"/>
  <c r="E24" i="23" s="1"/>
  <c r="F24" i="23" s="1"/>
  <c r="C207" i="23"/>
  <c r="C223" i="23"/>
  <c r="C234" i="23"/>
  <c r="C239" i="23"/>
  <c r="C250" i="23"/>
  <c r="C255" i="23"/>
  <c r="C39" i="23"/>
  <c r="C47" i="23"/>
  <c r="C55" i="23"/>
  <c r="C63" i="23"/>
  <c r="C79" i="23"/>
  <c r="C87" i="23"/>
  <c r="C103" i="23"/>
  <c r="C118" i="23"/>
  <c r="C128" i="23"/>
  <c r="C139" i="23"/>
  <c r="C150" i="23"/>
  <c r="C160" i="23"/>
  <c r="C176" i="23"/>
  <c r="C187" i="23"/>
  <c r="C198" i="23"/>
  <c r="C208" i="23"/>
  <c r="C214" i="23"/>
  <c r="C224" i="23"/>
  <c r="C230" i="23"/>
  <c r="C240" i="23"/>
  <c r="C251" i="23"/>
  <c r="C32" i="23"/>
  <c r="C88" i="23"/>
  <c r="C112" i="23"/>
  <c r="C124" i="23"/>
  <c r="C135" i="23"/>
  <c r="C146" i="23"/>
  <c r="C156" i="23"/>
  <c r="C172" i="23"/>
  <c r="C183" i="23"/>
  <c r="C194" i="23"/>
  <c r="C210" i="23"/>
  <c r="C220" i="23"/>
  <c r="C231" i="23"/>
  <c r="C247" i="23"/>
  <c r="C258" i="23"/>
  <c r="C263" i="23"/>
  <c r="C28" i="23"/>
  <c r="C36" i="23"/>
  <c r="C44" i="23"/>
  <c r="C52" i="23"/>
  <c r="C60" i="23"/>
  <c r="C68" i="23"/>
  <c r="C76" i="23"/>
  <c r="C84" i="23"/>
  <c r="C92" i="23"/>
  <c r="C100" i="23"/>
  <c r="C108" i="23"/>
  <c r="C116" i="23"/>
  <c r="C122" i="23"/>
  <c r="C127" i="23"/>
  <c r="C132" i="23"/>
  <c r="C138" i="23"/>
  <c r="C143" i="23"/>
  <c r="C148" i="23"/>
  <c r="C154" i="23"/>
  <c r="C159" i="23"/>
  <c r="C164" i="23"/>
  <c r="C170" i="23"/>
  <c r="C175" i="23"/>
  <c r="C180" i="23"/>
  <c r="C186" i="23"/>
  <c r="C191" i="23"/>
  <c r="C196" i="23"/>
  <c r="C202" i="23"/>
  <c r="C212" i="23"/>
  <c r="C218" i="23"/>
  <c r="C228" i="23"/>
  <c r="C244" i="23"/>
  <c r="C260" i="23"/>
  <c r="C31" i="23"/>
  <c r="C71" i="23"/>
  <c r="C95" i="23"/>
  <c r="C111" i="23"/>
  <c r="C123" i="23"/>
  <c r="C134" i="23"/>
  <c r="C144" i="23"/>
  <c r="C155" i="23"/>
  <c r="C166" i="23"/>
  <c r="C171" i="23"/>
  <c r="C182" i="23"/>
  <c r="C192" i="23"/>
  <c r="C203" i="23"/>
  <c r="C219" i="23"/>
  <c r="C235" i="23"/>
  <c r="C246" i="23"/>
  <c r="C256" i="23"/>
  <c r="C262" i="23"/>
  <c r="C40" i="23"/>
  <c r="C48" i="23"/>
  <c r="C56" i="23"/>
  <c r="C64" i="23"/>
  <c r="C72" i="23"/>
  <c r="C80" i="23"/>
  <c r="C96" i="23"/>
  <c r="C104" i="23"/>
  <c r="C119" i="23"/>
  <c r="C130" i="23"/>
  <c r="C140" i="23"/>
  <c r="C151" i="23"/>
  <c r="C162" i="23"/>
  <c r="C167" i="23"/>
  <c r="C178" i="23"/>
  <c r="C188" i="23"/>
  <c r="C199" i="23"/>
  <c r="C204" i="23"/>
  <c r="C215" i="23"/>
  <c r="C226" i="23"/>
  <c r="C236" i="23"/>
  <c r="C242" i="23"/>
  <c r="C252" i="23"/>
  <c r="D32" i="58" l="1"/>
  <c r="E32" i="58" s="1"/>
  <c r="F32" i="58" s="1"/>
  <c r="D25" i="23"/>
  <c r="D33" i="58" l="1"/>
  <c r="E33" i="58" s="1"/>
  <c r="F33" i="58" s="1"/>
  <c r="E25" i="23"/>
  <c r="D34" i="58" l="1"/>
  <c r="E34" i="58" s="1"/>
  <c r="F34" i="58" s="1"/>
  <c r="F25" i="23"/>
  <c r="D26" i="23" s="1"/>
  <c r="D35" i="58" l="1"/>
  <c r="E35" i="58" s="1"/>
  <c r="F35" i="58" s="1"/>
  <c r="E26" i="23"/>
  <c r="D36" i="58" l="1"/>
  <c r="E36" i="58" s="1"/>
  <c r="F36" i="58" s="1"/>
  <c r="F26" i="23"/>
  <c r="D27" i="23" s="1"/>
  <c r="D37" i="58" l="1"/>
  <c r="E37" i="58" s="1"/>
  <c r="F37" i="58" s="1"/>
  <c r="E27" i="23"/>
  <c r="D38" i="58" l="1"/>
  <c r="E38" i="58" s="1"/>
  <c r="F38" i="58" s="1"/>
  <c r="F27" i="23"/>
  <c r="D28" i="23" s="1"/>
  <c r="D39" i="58" l="1"/>
  <c r="E39" i="58" s="1"/>
  <c r="F39" i="58" s="1"/>
  <c r="E28" i="23"/>
  <c r="D40" i="58" l="1"/>
  <c r="E40" i="58" s="1"/>
  <c r="F40" i="58" s="1"/>
  <c r="F28" i="23"/>
  <c r="D29" i="23" s="1"/>
  <c r="D41" i="58" l="1"/>
  <c r="E41" i="58" s="1"/>
  <c r="F41" i="58" s="1"/>
  <c r="E29" i="23"/>
  <c r="D42" i="58" l="1"/>
  <c r="E42" i="58" s="1"/>
  <c r="F42" i="58" s="1"/>
  <c r="F29" i="23"/>
  <c r="D30" i="23" s="1"/>
  <c r="E30" i="23" s="1"/>
  <c r="F30" i="23" s="1"/>
  <c r="D31" i="23" s="1"/>
  <c r="E31" i="23" s="1"/>
  <c r="F31" i="23" s="1"/>
  <c r="D32" i="23" s="1"/>
  <c r="E32" i="23" s="1"/>
  <c r="F32" i="23" s="1"/>
  <c r="D33" i="23" s="1"/>
  <c r="E33" i="23" s="1"/>
  <c r="F33" i="23" s="1"/>
  <c r="D34" i="23" s="1"/>
  <c r="E34" i="23" s="1"/>
  <c r="F34" i="23" s="1"/>
  <c r="D35" i="23" s="1"/>
  <c r="E35" i="23" s="1"/>
  <c r="F35" i="23" s="1"/>
  <c r="D36" i="23" s="1"/>
  <c r="E36" i="23" s="1"/>
  <c r="F36" i="23" s="1"/>
  <c r="D37" i="23" s="1"/>
  <c r="E37" i="23" s="1"/>
  <c r="F37" i="23" s="1"/>
  <c r="D38" i="23" s="1"/>
  <c r="E38" i="23" s="1"/>
  <c r="F38" i="23" s="1"/>
  <c r="D43" i="58" l="1"/>
  <c r="E43" i="58" s="1"/>
  <c r="F43" i="58" s="1"/>
  <c r="D39" i="23"/>
  <c r="E39" i="23" s="1"/>
  <c r="F39" i="23" s="1"/>
  <c r="D44" i="58" l="1"/>
  <c r="E44" i="58" s="1"/>
  <c r="F44" i="58" s="1"/>
  <c r="D40" i="23"/>
  <c r="E40" i="23" s="1"/>
  <c r="F40" i="23" s="1"/>
  <c r="D45" i="58" l="1"/>
  <c r="E45" i="58" s="1"/>
  <c r="F45" i="58" s="1"/>
  <c r="D41" i="23"/>
  <c r="E41" i="23" s="1"/>
  <c r="F41" i="23" s="1"/>
  <c r="D46" i="58" l="1"/>
  <c r="E46" i="58" s="1"/>
  <c r="F46" i="58" s="1"/>
  <c r="D42" i="23"/>
  <c r="E42" i="23" s="1"/>
  <c r="F42" i="23" s="1"/>
  <c r="D47" i="58" l="1"/>
  <c r="E47" i="58" s="1"/>
  <c r="F47" i="58" s="1"/>
  <c r="D43" i="23"/>
  <c r="E43" i="23" s="1"/>
  <c r="F43" i="23" s="1"/>
  <c r="D48" i="58" l="1"/>
  <c r="E48" i="58" s="1"/>
  <c r="F48" i="58" s="1"/>
  <c r="D44" i="23"/>
  <c r="E44" i="23" s="1"/>
  <c r="F44" i="23" s="1"/>
  <c r="D49" i="58" l="1"/>
  <c r="E49" i="58" s="1"/>
  <c r="F49" i="58" s="1"/>
  <c r="D45" i="23"/>
  <c r="E45" i="23" s="1"/>
  <c r="F45" i="23" s="1"/>
  <c r="D50" i="58" l="1"/>
  <c r="E50" i="58" s="1"/>
  <c r="F50" i="58" s="1"/>
  <c r="D46" i="23"/>
  <c r="E46" i="23" s="1"/>
  <c r="F46" i="23" s="1"/>
  <c r="D51" i="58" l="1"/>
  <c r="E51" i="58" s="1"/>
  <c r="F51" i="58" s="1"/>
  <c r="D47" i="23"/>
  <c r="E47" i="23" s="1"/>
  <c r="F47" i="23" s="1"/>
  <c r="D52" i="58" l="1"/>
  <c r="E52" i="58" s="1"/>
  <c r="F52" i="58" s="1"/>
  <c r="D48" i="23"/>
  <c r="E48" i="23" s="1"/>
  <c r="F48" i="23" s="1"/>
  <c r="D53" i="58" l="1"/>
  <c r="E53" i="58" s="1"/>
  <c r="F53" i="58" s="1"/>
  <c r="D49" i="23"/>
  <c r="E49" i="23" s="1"/>
  <c r="F49" i="23" s="1"/>
  <c r="D54" i="58" l="1"/>
  <c r="E54" i="58" s="1"/>
  <c r="F54" i="58" s="1"/>
  <c r="D50" i="23"/>
  <c r="E50" i="23" s="1"/>
  <c r="F50" i="23" s="1"/>
  <c r="D55" i="58" l="1"/>
  <c r="E55" i="58" s="1"/>
  <c r="F55" i="58" s="1"/>
  <c r="D51" i="23"/>
  <c r="E51" i="23" s="1"/>
  <c r="F51" i="23" s="1"/>
  <c r="D56" i="58" l="1"/>
  <c r="E56" i="58" s="1"/>
  <c r="F56" i="58" s="1"/>
  <c r="D52" i="23"/>
  <c r="E52" i="23" s="1"/>
  <c r="F52" i="23" s="1"/>
  <c r="D57" i="58" l="1"/>
  <c r="E57" i="58" s="1"/>
  <c r="F57" i="58" s="1"/>
  <c r="D53" i="23"/>
  <c r="E53" i="23" s="1"/>
  <c r="F53" i="23" s="1"/>
  <c r="D58" i="58" l="1"/>
  <c r="E58" i="58" s="1"/>
  <c r="F58" i="58" s="1"/>
  <c r="D54" i="23"/>
  <c r="E54" i="23" s="1"/>
  <c r="F54" i="23" s="1"/>
  <c r="D59" i="58" l="1"/>
  <c r="E59" i="58" s="1"/>
  <c r="F59" i="58" s="1"/>
  <c r="D55" i="23"/>
  <c r="E55" i="23" s="1"/>
  <c r="F55" i="23" s="1"/>
  <c r="D60" i="58" l="1"/>
  <c r="E60" i="58" s="1"/>
  <c r="F60" i="58" s="1"/>
  <c r="D56" i="23"/>
  <c r="E56" i="23" s="1"/>
  <c r="F56" i="23" s="1"/>
  <c r="D61" i="58" l="1"/>
  <c r="E61" i="58" s="1"/>
  <c r="F61" i="58" s="1"/>
  <c r="D57" i="23"/>
  <c r="E57" i="23" s="1"/>
  <c r="F57" i="23" s="1"/>
  <c r="D62" i="58" l="1"/>
  <c r="E62" i="58" s="1"/>
  <c r="F62" i="58" s="1"/>
  <c r="D58" i="23"/>
  <c r="E58" i="23" s="1"/>
  <c r="F58" i="23" s="1"/>
  <c r="D63" i="58" l="1"/>
  <c r="E63" i="58" s="1"/>
  <c r="F63" i="58" s="1"/>
  <c r="D59" i="23"/>
  <c r="E59" i="23" s="1"/>
  <c r="F59" i="23" s="1"/>
  <c r="D64" i="58" l="1"/>
  <c r="E64" i="58" s="1"/>
  <c r="F64" i="58" s="1"/>
  <c r="D60" i="23"/>
  <c r="E60" i="23" s="1"/>
  <c r="F60" i="23" s="1"/>
  <c r="D65" i="58" l="1"/>
  <c r="E65" i="58" s="1"/>
  <c r="F65" i="58" s="1"/>
  <c r="D61" i="23"/>
  <c r="E61" i="23" s="1"/>
  <c r="F61" i="23" s="1"/>
  <c r="D66" i="58" l="1"/>
  <c r="E66" i="58" s="1"/>
  <c r="F66" i="58" s="1"/>
  <c r="D62" i="23"/>
  <c r="E62" i="23" s="1"/>
  <c r="F62" i="23" s="1"/>
  <c r="D67" i="58" l="1"/>
  <c r="E67" i="58" s="1"/>
  <c r="F67" i="58" s="1"/>
  <c r="D63" i="23"/>
  <c r="E63" i="23" s="1"/>
  <c r="F63" i="23" s="1"/>
  <c r="D68" i="58" l="1"/>
  <c r="E68" i="58" s="1"/>
  <c r="F68" i="58" s="1"/>
  <c r="D64" i="23"/>
  <c r="E64" i="23" s="1"/>
  <c r="F64" i="23" s="1"/>
  <c r="D69" i="58" l="1"/>
  <c r="E69" i="58" s="1"/>
  <c r="F69" i="58" s="1"/>
  <c r="D65" i="23"/>
  <c r="E65" i="23" s="1"/>
  <c r="F65" i="23" s="1"/>
  <c r="D70" i="58" l="1"/>
  <c r="E70" i="58" s="1"/>
  <c r="F70" i="58" s="1"/>
  <c r="D66" i="23"/>
  <c r="E66" i="23" s="1"/>
  <c r="F66" i="23" s="1"/>
  <c r="D71" i="58" l="1"/>
  <c r="E71" i="58" s="1"/>
  <c r="F71" i="58" s="1"/>
  <c r="D67" i="23"/>
  <c r="E67" i="23" s="1"/>
  <c r="F67" i="23" s="1"/>
  <c r="D72" i="58" l="1"/>
  <c r="E72" i="58" s="1"/>
  <c r="F72" i="58" s="1"/>
  <c r="D68" i="23"/>
  <c r="E68" i="23" s="1"/>
  <c r="F68" i="23" s="1"/>
  <c r="D73" i="58" l="1"/>
  <c r="E73" i="58" s="1"/>
  <c r="F73" i="58" s="1"/>
  <c r="D69" i="23"/>
  <c r="E69" i="23" s="1"/>
  <c r="F69" i="23" s="1"/>
  <c r="D74" i="58" l="1"/>
  <c r="E74" i="58" s="1"/>
  <c r="F74" i="58" s="1"/>
  <c r="D70" i="23"/>
  <c r="E70" i="23" s="1"/>
  <c r="F70" i="23" s="1"/>
  <c r="D75" i="58" l="1"/>
  <c r="E75" i="58" s="1"/>
  <c r="F75" i="58" s="1"/>
  <c r="D71" i="23"/>
  <c r="E71" i="23" s="1"/>
  <c r="F71" i="23" s="1"/>
  <c r="D76" i="58" l="1"/>
  <c r="E76" i="58" s="1"/>
  <c r="F76" i="58" s="1"/>
  <c r="D72" i="23"/>
  <c r="E72" i="23" s="1"/>
  <c r="F72" i="23" s="1"/>
  <c r="D77" i="58" l="1"/>
  <c r="E77" i="58" s="1"/>
  <c r="F77" i="58" s="1"/>
  <c r="D73" i="23"/>
  <c r="E73" i="23" s="1"/>
  <c r="F73" i="23" s="1"/>
  <c r="D78" i="58" l="1"/>
  <c r="E78" i="58" s="1"/>
  <c r="F78" i="58" s="1"/>
  <c r="D74" i="23"/>
  <c r="E74" i="23" s="1"/>
  <c r="F74" i="23" s="1"/>
  <c r="D79" i="58" l="1"/>
  <c r="E79" i="58" s="1"/>
  <c r="F79" i="58" s="1"/>
  <c r="D75" i="23"/>
  <c r="E75" i="23" s="1"/>
  <c r="F75" i="23" s="1"/>
  <c r="D80" i="58" l="1"/>
  <c r="E80" i="58" s="1"/>
  <c r="F80" i="58" s="1"/>
  <c r="D76" i="23"/>
  <c r="E76" i="23" s="1"/>
  <c r="F76" i="23" s="1"/>
  <c r="D81" i="58" l="1"/>
  <c r="E81" i="58" s="1"/>
  <c r="F81" i="58" s="1"/>
  <c r="D77" i="23"/>
  <c r="E77" i="23" s="1"/>
  <c r="F77" i="23" s="1"/>
  <c r="D82" i="58" l="1"/>
  <c r="E82" i="58" s="1"/>
  <c r="F82" i="58" s="1"/>
  <c r="D78" i="23"/>
  <c r="E78" i="23" s="1"/>
  <c r="F78" i="23" s="1"/>
  <c r="D83" i="58" l="1"/>
  <c r="E83" i="58" s="1"/>
  <c r="F83" i="58" s="1"/>
  <c r="D79" i="23"/>
  <c r="E79" i="23" s="1"/>
  <c r="F79" i="23" s="1"/>
  <c r="D84" i="58" l="1"/>
  <c r="E84" i="58" s="1"/>
  <c r="F84" i="58" s="1"/>
  <c r="D80" i="23"/>
  <c r="E80" i="23" s="1"/>
  <c r="F80" i="23" s="1"/>
  <c r="D85" i="58" l="1"/>
  <c r="E85" i="58" s="1"/>
  <c r="F85" i="58" s="1"/>
  <c r="D81" i="23"/>
  <c r="E81" i="23" s="1"/>
  <c r="F81" i="23" s="1"/>
  <c r="D86" i="58" l="1"/>
  <c r="E86" i="58" s="1"/>
  <c r="F86" i="58" s="1"/>
  <c r="D82" i="23"/>
  <c r="E82" i="23" s="1"/>
  <c r="F82" i="23" s="1"/>
  <c r="D87" i="58" l="1"/>
  <c r="E87" i="58" s="1"/>
  <c r="F87" i="58" s="1"/>
  <c r="D83" i="23"/>
  <c r="E83" i="23" s="1"/>
  <c r="F83" i="23" s="1"/>
  <c r="D88" i="58" l="1"/>
  <c r="E88" i="58" s="1"/>
  <c r="F88" i="58" s="1"/>
  <c r="D84" i="23"/>
  <c r="E84" i="23" s="1"/>
  <c r="F84" i="23" s="1"/>
  <c r="D89" i="58" l="1"/>
  <c r="E89" i="58" s="1"/>
  <c r="F89" i="58" s="1"/>
  <c r="D85" i="23"/>
  <c r="E85" i="23" s="1"/>
  <c r="F85" i="23" s="1"/>
  <c r="D90" i="58" l="1"/>
  <c r="E90" i="58" s="1"/>
  <c r="F90" i="58" s="1"/>
  <c r="D86" i="23"/>
  <c r="E86" i="23" s="1"/>
  <c r="F86" i="23" s="1"/>
  <c r="D91" i="58" l="1"/>
  <c r="E91" i="58" s="1"/>
  <c r="F91" i="58" s="1"/>
  <c r="D87" i="23"/>
  <c r="E87" i="23" s="1"/>
  <c r="F87" i="23" s="1"/>
  <c r="D92" i="58" l="1"/>
  <c r="E92" i="58" s="1"/>
  <c r="F92" i="58" s="1"/>
  <c r="D88" i="23"/>
  <c r="E88" i="23" s="1"/>
  <c r="F88" i="23" s="1"/>
  <c r="D93" i="58" l="1"/>
  <c r="E93" i="58" s="1"/>
  <c r="F93" i="58" s="1"/>
  <c r="D89" i="23"/>
  <c r="E89" i="23" s="1"/>
  <c r="F89" i="23" s="1"/>
  <c r="D94" i="58" l="1"/>
  <c r="E94" i="58" s="1"/>
  <c r="F94" i="58" s="1"/>
  <c r="D90" i="23"/>
  <c r="E90" i="23" s="1"/>
  <c r="F90" i="23" s="1"/>
  <c r="D95" i="58" l="1"/>
  <c r="E95" i="58" s="1"/>
  <c r="F95" i="58" s="1"/>
  <c r="D91" i="23"/>
  <c r="E91" i="23" s="1"/>
  <c r="F91" i="23" s="1"/>
  <c r="D96" i="58" l="1"/>
  <c r="E96" i="58" s="1"/>
  <c r="F96" i="58" s="1"/>
  <c r="D92" i="23"/>
  <c r="E92" i="23" s="1"/>
  <c r="F92" i="23" s="1"/>
  <c r="D97" i="58" l="1"/>
  <c r="E97" i="58" s="1"/>
  <c r="F97" i="58" s="1"/>
  <c r="D93" i="23"/>
  <c r="E93" i="23" s="1"/>
  <c r="F93" i="23" s="1"/>
  <c r="D98" i="58" l="1"/>
  <c r="E98" i="58" s="1"/>
  <c r="F98" i="58" s="1"/>
  <c r="D94" i="23"/>
  <c r="E94" i="23" s="1"/>
  <c r="F94" i="23" s="1"/>
  <c r="D99" i="58" l="1"/>
  <c r="E99" i="58" s="1"/>
  <c r="F99" i="58" s="1"/>
  <c r="D95" i="23"/>
  <c r="E95" i="23" s="1"/>
  <c r="F95" i="23" s="1"/>
  <c r="D100" i="58" l="1"/>
  <c r="E100" i="58" s="1"/>
  <c r="F100" i="58" s="1"/>
  <c r="D96" i="23"/>
  <c r="E96" i="23" s="1"/>
  <c r="F96" i="23" s="1"/>
  <c r="D101" i="58" l="1"/>
  <c r="E101" i="58" s="1"/>
  <c r="F101" i="58" s="1"/>
  <c r="D97" i="23"/>
  <c r="E97" i="23" s="1"/>
  <c r="F97" i="23" s="1"/>
  <c r="D102" i="58" l="1"/>
  <c r="E102" i="58" s="1"/>
  <c r="F102" i="58" s="1"/>
  <c r="D98" i="23"/>
  <c r="E98" i="23" s="1"/>
  <c r="F98" i="23" s="1"/>
  <c r="D103" i="58" l="1"/>
  <c r="E103" i="58" s="1"/>
  <c r="F103" i="58" s="1"/>
  <c r="D99" i="23"/>
  <c r="E99" i="23" s="1"/>
  <c r="F99" i="23" s="1"/>
  <c r="D104" i="58" l="1"/>
  <c r="E104" i="58" s="1"/>
  <c r="F104" i="58" s="1"/>
  <c r="D100" i="23"/>
  <c r="E100" i="23" s="1"/>
  <c r="F100" i="23" s="1"/>
  <c r="D105" i="58" l="1"/>
  <c r="E105" i="58" s="1"/>
  <c r="F105" i="58" s="1"/>
  <c r="D101" i="23"/>
  <c r="E101" i="23" s="1"/>
  <c r="F101" i="23" s="1"/>
  <c r="D106" i="58" l="1"/>
  <c r="E106" i="58" s="1"/>
  <c r="F106" i="58" s="1"/>
  <c r="D102" i="23"/>
  <c r="E102" i="23" s="1"/>
  <c r="F102" i="23" s="1"/>
  <c r="D107" i="58" l="1"/>
  <c r="E107" i="58" s="1"/>
  <c r="F107" i="58" s="1"/>
  <c r="D103" i="23"/>
  <c r="E103" i="23" s="1"/>
  <c r="F103" i="23" s="1"/>
  <c r="D108" i="58" l="1"/>
  <c r="E108" i="58" s="1"/>
  <c r="F108" i="58" s="1"/>
  <c r="D104" i="23"/>
  <c r="E104" i="23" s="1"/>
  <c r="F104" i="23" s="1"/>
  <c r="D109" i="58" l="1"/>
  <c r="E109" i="58" s="1"/>
  <c r="F109" i="58" s="1"/>
  <c r="D105" i="23"/>
  <c r="E105" i="23" s="1"/>
  <c r="F105" i="23" s="1"/>
  <c r="D110" i="58" l="1"/>
  <c r="E110" i="58" s="1"/>
  <c r="F110" i="58" s="1"/>
  <c r="D106" i="23"/>
  <c r="E106" i="23" s="1"/>
  <c r="F106" i="23" s="1"/>
  <c r="D111" i="58" l="1"/>
  <c r="E111" i="58" s="1"/>
  <c r="F111" i="58" s="1"/>
  <c r="D107" i="23"/>
  <c r="E107" i="23" s="1"/>
  <c r="F107" i="23" s="1"/>
  <c r="D112" i="58" l="1"/>
  <c r="E112" i="58" s="1"/>
  <c r="F112" i="58" s="1"/>
  <c r="D108" i="23"/>
  <c r="E108" i="23" s="1"/>
  <c r="F108" i="23" s="1"/>
  <c r="D113" i="58" l="1"/>
  <c r="E113" i="58" s="1"/>
  <c r="F113" i="58" s="1"/>
  <c r="D109" i="23"/>
  <c r="E109" i="23" s="1"/>
  <c r="F109" i="23" s="1"/>
  <c r="D114" i="58" l="1"/>
  <c r="E114" i="58" s="1"/>
  <c r="F114" i="58" s="1"/>
  <c r="D110" i="23"/>
  <c r="E110" i="23" s="1"/>
  <c r="F110" i="23" s="1"/>
  <c r="D115" i="58" l="1"/>
  <c r="E115" i="58" s="1"/>
  <c r="F115" i="58" s="1"/>
  <c r="D111" i="23"/>
  <c r="E111" i="23" s="1"/>
  <c r="F111" i="23" s="1"/>
  <c r="D116" i="58" l="1"/>
  <c r="E116" i="58" s="1"/>
  <c r="F116" i="58" s="1"/>
  <c r="D112" i="23"/>
  <c r="E112" i="23" s="1"/>
  <c r="F112" i="23" s="1"/>
  <c r="D117" i="58" l="1"/>
  <c r="E117" i="58" s="1"/>
  <c r="F117" i="58" s="1"/>
  <c r="D113" i="23"/>
  <c r="E113" i="23" s="1"/>
  <c r="F113" i="23" s="1"/>
  <c r="D118" i="58" l="1"/>
  <c r="E118" i="58" s="1"/>
  <c r="F118" i="58" s="1"/>
  <c r="D114" i="23"/>
  <c r="E114" i="23" s="1"/>
  <c r="F114" i="23" s="1"/>
  <c r="D119" i="58" l="1"/>
  <c r="E119" i="58" s="1"/>
  <c r="F119" i="58" s="1"/>
  <c r="D115" i="23"/>
  <c r="E115" i="23" s="1"/>
  <c r="F115" i="23" s="1"/>
  <c r="D120" i="58" l="1"/>
  <c r="E120" i="58" s="1"/>
  <c r="F120" i="58" s="1"/>
  <c r="D116" i="23"/>
  <c r="E116" i="23" s="1"/>
  <c r="F116" i="23" s="1"/>
  <c r="D121" i="58" l="1"/>
  <c r="E121" i="58" s="1"/>
  <c r="F121" i="58" s="1"/>
  <c r="D117" i="23"/>
  <c r="E117" i="23" s="1"/>
  <c r="F117" i="23" s="1"/>
  <c r="D122" i="58" l="1"/>
  <c r="E122" i="58" s="1"/>
  <c r="F122" i="58" s="1"/>
  <c r="D118" i="23"/>
  <c r="E118" i="23" s="1"/>
  <c r="F118" i="23" s="1"/>
  <c r="D123" i="58" l="1"/>
  <c r="E123" i="58" s="1"/>
  <c r="F123" i="58" s="1"/>
  <c r="D119" i="23"/>
  <c r="E119" i="23" s="1"/>
  <c r="F119" i="23" s="1"/>
  <c r="D124" i="58" l="1"/>
  <c r="E124" i="58" s="1"/>
  <c r="F124" i="58" s="1"/>
  <c r="D120" i="23"/>
  <c r="E120" i="23" s="1"/>
  <c r="F120" i="23" s="1"/>
  <c r="D125" i="58" l="1"/>
  <c r="E125" i="58" s="1"/>
  <c r="F125" i="58" s="1"/>
  <c r="D121" i="23"/>
  <c r="E121" i="23" s="1"/>
  <c r="F121" i="23" s="1"/>
  <c r="D126" i="58" l="1"/>
  <c r="E126" i="58" s="1"/>
  <c r="F126" i="58" s="1"/>
  <c r="D122" i="23"/>
  <c r="E122" i="23" s="1"/>
  <c r="F122" i="23" s="1"/>
  <c r="D127" i="58" l="1"/>
  <c r="E127" i="58" s="1"/>
  <c r="F127" i="58" s="1"/>
  <c r="D123" i="23"/>
  <c r="E123" i="23" s="1"/>
  <c r="F123" i="23" s="1"/>
  <c r="D128" i="58" l="1"/>
  <c r="E128" i="58" s="1"/>
  <c r="F128" i="58" s="1"/>
  <c r="D124" i="23"/>
  <c r="E124" i="23" s="1"/>
  <c r="F124" i="23" s="1"/>
  <c r="D129" i="58" l="1"/>
  <c r="E129" i="58" s="1"/>
  <c r="F129" i="58" s="1"/>
  <c r="D125" i="23"/>
  <c r="E125" i="23" s="1"/>
  <c r="F125" i="23" s="1"/>
  <c r="D130" i="58" l="1"/>
  <c r="E130" i="58" s="1"/>
  <c r="F130" i="58" s="1"/>
  <c r="D126" i="23"/>
  <c r="E126" i="23" s="1"/>
  <c r="F126" i="23" s="1"/>
  <c r="D131" i="58" l="1"/>
  <c r="E131" i="58" s="1"/>
  <c r="F131" i="58" s="1"/>
  <c r="D127" i="23"/>
  <c r="E127" i="23" s="1"/>
  <c r="F127" i="23" s="1"/>
  <c r="D132" i="58" l="1"/>
  <c r="E132" i="58" s="1"/>
  <c r="F132" i="58" s="1"/>
  <c r="D128" i="23"/>
  <c r="E128" i="23" s="1"/>
  <c r="F128" i="23" s="1"/>
  <c r="D133" i="58" l="1"/>
  <c r="E133" i="58" s="1"/>
  <c r="F133" i="58"/>
  <c r="D129" i="23"/>
  <c r="E129" i="23" s="1"/>
  <c r="F129" i="23" s="1"/>
  <c r="D134" i="58" l="1"/>
  <c r="E134" i="58" s="1"/>
  <c r="F134" i="58"/>
  <c r="D130" i="23"/>
  <c r="E130" i="23" s="1"/>
  <c r="F130" i="23" s="1"/>
  <c r="D135" i="58" l="1"/>
  <c r="E135" i="58" s="1"/>
  <c r="F135" i="58"/>
  <c r="D131" i="23"/>
  <c r="E131" i="23" s="1"/>
  <c r="F131" i="23" s="1"/>
  <c r="D136" i="58" l="1"/>
  <c r="E136" i="58" s="1"/>
  <c r="F136" i="58"/>
  <c r="D132" i="23"/>
  <c r="E132" i="23" s="1"/>
  <c r="F132" i="23" s="1"/>
  <c r="D137" i="58" l="1"/>
  <c r="E137" i="58" s="1"/>
  <c r="F137" i="58"/>
  <c r="D133" i="23"/>
  <c r="E133" i="23" s="1"/>
  <c r="F133" i="23" s="1"/>
  <c r="D138" i="58" l="1"/>
  <c r="E138" i="58" s="1"/>
  <c r="F138" i="58"/>
  <c r="D134" i="23"/>
  <c r="E134" i="23" s="1"/>
  <c r="F134" i="23" s="1"/>
  <c r="D139" i="58" l="1"/>
  <c r="E139" i="58" s="1"/>
  <c r="F139" i="58"/>
  <c r="D135" i="23"/>
  <c r="E135" i="23" s="1"/>
  <c r="F135" i="23" s="1"/>
  <c r="D140" i="58" l="1"/>
  <c r="E140" i="58" s="1"/>
  <c r="F140" i="58"/>
  <c r="D136" i="23"/>
  <c r="E136" i="23" s="1"/>
  <c r="F136" i="23" s="1"/>
  <c r="D141" i="58" l="1"/>
  <c r="E141" i="58" s="1"/>
  <c r="F141" i="58"/>
  <c r="D137" i="23"/>
  <c r="E137" i="23" s="1"/>
  <c r="F137" i="23" s="1"/>
  <c r="D142" i="58" l="1"/>
  <c r="E142" i="58" s="1"/>
  <c r="F142" i="58"/>
  <c r="D138" i="23"/>
  <c r="E138" i="23" s="1"/>
  <c r="F138" i="23" s="1"/>
  <c r="D143" i="58" l="1"/>
  <c r="E143" i="58" s="1"/>
  <c r="F143" i="58"/>
  <c r="D139" i="23"/>
  <c r="E139" i="23" s="1"/>
  <c r="F139" i="23" s="1"/>
  <c r="D144" i="58" l="1"/>
  <c r="E144" i="58" s="1"/>
  <c r="F144" i="58"/>
  <c r="D140" i="23"/>
  <c r="E140" i="23" s="1"/>
  <c r="F140" i="23" s="1"/>
  <c r="D145" i="58" l="1"/>
  <c r="E145" i="58" s="1"/>
  <c r="F145" i="58"/>
  <c r="D141" i="23"/>
  <c r="E141" i="23" s="1"/>
  <c r="F141" i="23" s="1"/>
  <c r="D146" i="58" l="1"/>
  <c r="E146" i="58" s="1"/>
  <c r="F146" i="58"/>
  <c r="D142" i="23"/>
  <c r="E142" i="23" s="1"/>
  <c r="F142" i="23" s="1"/>
  <c r="D147" i="58" l="1"/>
  <c r="E147" i="58" s="1"/>
  <c r="F147" i="58"/>
  <c r="D143" i="23"/>
  <c r="E143" i="23" s="1"/>
  <c r="F143" i="23" s="1"/>
  <c r="D148" i="58" l="1"/>
  <c r="E148" i="58" s="1"/>
  <c r="F148" i="58"/>
  <c r="D144" i="23"/>
  <c r="E144" i="23" s="1"/>
  <c r="F144" i="23" s="1"/>
  <c r="D149" i="58" l="1"/>
  <c r="E149" i="58" s="1"/>
  <c r="F149" i="58"/>
  <c r="D145" i="23"/>
  <c r="E145" i="23" s="1"/>
  <c r="F145" i="23" s="1"/>
  <c r="D150" i="58" l="1"/>
  <c r="E150" i="58" s="1"/>
  <c r="F150" i="58"/>
  <c r="D146" i="23"/>
  <c r="E146" i="23" s="1"/>
  <c r="F146" i="23" s="1"/>
  <c r="D151" i="58" l="1"/>
  <c r="E151" i="58" s="1"/>
  <c r="F151" i="58"/>
  <c r="D147" i="23"/>
  <c r="E147" i="23" s="1"/>
  <c r="F147" i="23" s="1"/>
  <c r="D152" i="58" l="1"/>
  <c r="E152" i="58" s="1"/>
  <c r="F152" i="58"/>
  <c r="D148" i="23"/>
  <c r="E148" i="23" s="1"/>
  <c r="F148" i="23" s="1"/>
  <c r="D153" i="58" l="1"/>
  <c r="E153" i="58" s="1"/>
  <c r="F153" i="58"/>
  <c r="D149" i="23"/>
  <c r="E149" i="23" s="1"/>
  <c r="F149" i="23" s="1"/>
  <c r="D154" i="58" l="1"/>
  <c r="E154" i="58" s="1"/>
  <c r="F154" i="58"/>
  <c r="D150" i="23"/>
  <c r="E150" i="23" s="1"/>
  <c r="F150" i="23" s="1"/>
  <c r="D155" i="58" l="1"/>
  <c r="E155" i="58" s="1"/>
  <c r="F155" i="58"/>
  <c r="D151" i="23"/>
  <c r="E151" i="23" s="1"/>
  <c r="F151" i="23" s="1"/>
  <c r="D156" i="58" l="1"/>
  <c r="E156" i="58" s="1"/>
  <c r="F156" i="58"/>
  <c r="D152" i="23"/>
  <c r="E152" i="23" s="1"/>
  <c r="F152" i="23" s="1"/>
  <c r="D157" i="58" l="1"/>
  <c r="E157" i="58" s="1"/>
  <c r="F157" i="58"/>
  <c r="D153" i="23"/>
  <c r="E153" i="23" s="1"/>
  <c r="F153" i="23" s="1"/>
  <c r="D158" i="58" l="1"/>
  <c r="E158" i="58" s="1"/>
  <c r="F158" i="58"/>
  <c r="D154" i="23"/>
  <c r="E154" i="23" s="1"/>
  <c r="F154" i="23" s="1"/>
  <c r="D159" i="58" l="1"/>
  <c r="E159" i="58" s="1"/>
  <c r="F159" i="58"/>
  <c r="D155" i="23"/>
  <c r="E155" i="23" s="1"/>
  <c r="F155" i="23" s="1"/>
  <c r="D160" i="58" l="1"/>
  <c r="E160" i="58" s="1"/>
  <c r="F160" i="58"/>
  <c r="D156" i="23"/>
  <c r="E156" i="23" s="1"/>
  <c r="F156" i="23" s="1"/>
  <c r="D161" i="58" l="1"/>
  <c r="E161" i="58" s="1"/>
  <c r="F161" i="58"/>
  <c r="D157" i="23"/>
  <c r="E157" i="23" s="1"/>
  <c r="F157" i="23" s="1"/>
  <c r="D162" i="58" l="1"/>
  <c r="E162" i="58" s="1"/>
  <c r="F162" i="58"/>
  <c r="D158" i="23"/>
  <c r="E158" i="23" s="1"/>
  <c r="F158" i="23" s="1"/>
  <c r="D163" i="58" l="1"/>
  <c r="E163" i="58" s="1"/>
  <c r="F163" i="58"/>
  <c r="D159" i="23"/>
  <c r="E159" i="23" s="1"/>
  <c r="F159" i="23" s="1"/>
  <c r="D164" i="58" l="1"/>
  <c r="E164" i="58" s="1"/>
  <c r="F164" i="58"/>
  <c r="D160" i="23"/>
  <c r="E160" i="23" s="1"/>
  <c r="F160" i="23" s="1"/>
  <c r="D165" i="58" l="1"/>
  <c r="E165" i="58" s="1"/>
  <c r="F165" i="58"/>
  <c r="D161" i="23"/>
  <c r="E161" i="23" s="1"/>
  <c r="F161" i="23" s="1"/>
  <c r="D166" i="58" l="1"/>
  <c r="E166" i="58" s="1"/>
  <c r="F166" i="58"/>
  <c r="D162" i="23"/>
  <c r="E162" i="23" s="1"/>
  <c r="F162" i="23" s="1"/>
  <c r="D167" i="58" l="1"/>
  <c r="E167" i="58" s="1"/>
  <c r="F167" i="58"/>
  <c r="D163" i="23"/>
  <c r="E163" i="23" s="1"/>
  <c r="F163" i="23" s="1"/>
  <c r="D168" i="58" l="1"/>
  <c r="E168" i="58" s="1"/>
  <c r="F168" i="58"/>
  <c r="D164" i="23"/>
  <c r="E164" i="23" s="1"/>
  <c r="F164" i="23" s="1"/>
  <c r="D169" i="58" l="1"/>
  <c r="E169" i="58" s="1"/>
  <c r="F169" i="58"/>
  <c r="D165" i="23"/>
  <c r="E165" i="23" s="1"/>
  <c r="F165" i="23" s="1"/>
  <c r="D170" i="58" l="1"/>
  <c r="E170" i="58" s="1"/>
  <c r="F170" i="58"/>
  <c r="D166" i="23"/>
  <c r="E166" i="23" s="1"/>
  <c r="F166" i="23" s="1"/>
  <c r="D171" i="58" l="1"/>
  <c r="E171" i="58" s="1"/>
  <c r="F171" i="58"/>
  <c r="D167" i="23"/>
  <c r="E167" i="23" s="1"/>
  <c r="F167" i="23" s="1"/>
  <c r="D172" i="58" l="1"/>
  <c r="E172" i="58" s="1"/>
  <c r="F172" i="58"/>
  <c r="D168" i="23"/>
  <c r="E168" i="23" s="1"/>
  <c r="F168" i="23" s="1"/>
  <c r="D173" i="58" l="1"/>
  <c r="E173" i="58" s="1"/>
  <c r="F173" i="58"/>
  <c r="D169" i="23"/>
  <c r="E169" i="23" s="1"/>
  <c r="F169" i="23" s="1"/>
  <c r="D174" i="58" l="1"/>
  <c r="E174" i="58" s="1"/>
  <c r="F174" i="58"/>
  <c r="D170" i="23"/>
  <c r="E170" i="23" s="1"/>
  <c r="F170" i="23" s="1"/>
  <c r="D175" i="58" l="1"/>
  <c r="E175" i="58" s="1"/>
  <c r="F175" i="58"/>
  <c r="D171" i="23"/>
  <c r="E171" i="23" s="1"/>
  <c r="F171" i="23" s="1"/>
  <c r="D176" i="58" l="1"/>
  <c r="E176" i="58" s="1"/>
  <c r="F176" i="58"/>
  <c r="D172" i="23"/>
  <c r="E172" i="23" s="1"/>
  <c r="F172" i="23" s="1"/>
  <c r="D177" i="58" l="1"/>
  <c r="E177" i="58" s="1"/>
  <c r="F177" i="58"/>
  <c r="D173" i="23"/>
  <c r="E173" i="23" s="1"/>
  <c r="F173" i="23" s="1"/>
  <c r="D178" i="58" l="1"/>
  <c r="E178" i="58" s="1"/>
  <c r="F178" i="58"/>
  <c r="D174" i="23"/>
  <c r="E174" i="23" s="1"/>
  <c r="F174" i="23" s="1"/>
  <c r="D179" i="58" l="1"/>
  <c r="E179" i="58" s="1"/>
  <c r="F179" i="58"/>
  <c r="D175" i="23"/>
  <c r="E175" i="23" s="1"/>
  <c r="F175" i="23" s="1"/>
  <c r="D180" i="58" l="1"/>
  <c r="E180" i="58" s="1"/>
  <c r="F180" i="58"/>
  <c r="D176" i="23"/>
  <c r="E176" i="23" s="1"/>
  <c r="F176" i="23" s="1"/>
  <c r="D181" i="58" l="1"/>
  <c r="E181" i="58" s="1"/>
  <c r="F181" i="58"/>
  <c r="D177" i="23"/>
  <c r="E177" i="23" s="1"/>
  <c r="F177" i="23" s="1"/>
  <c r="D182" i="58" l="1"/>
  <c r="E182" i="58" s="1"/>
  <c r="F182" i="58"/>
  <c r="D178" i="23"/>
  <c r="E178" i="23" s="1"/>
  <c r="F178" i="23" s="1"/>
  <c r="D183" i="58" l="1"/>
  <c r="E183" i="58" s="1"/>
  <c r="F183" i="58"/>
  <c r="D179" i="23"/>
  <c r="E179" i="23" s="1"/>
  <c r="F179" i="23" s="1"/>
  <c r="D184" i="58" l="1"/>
  <c r="E184" i="58" s="1"/>
  <c r="F184" i="58"/>
  <c r="D180" i="23"/>
  <c r="E180" i="23" s="1"/>
  <c r="F180" i="23" s="1"/>
  <c r="D185" i="58" l="1"/>
  <c r="E185" i="58" s="1"/>
  <c r="F185" i="58"/>
  <c r="D181" i="23"/>
  <c r="E181" i="23" s="1"/>
  <c r="F181" i="23" s="1"/>
  <c r="D186" i="58" l="1"/>
  <c r="E186" i="58" s="1"/>
  <c r="F186" i="58"/>
  <c r="D182" i="23"/>
  <c r="E182" i="23" s="1"/>
  <c r="F182" i="23" s="1"/>
  <c r="D187" i="58" l="1"/>
  <c r="E187" i="58" s="1"/>
  <c r="F187" i="58"/>
  <c r="D183" i="23"/>
  <c r="E183" i="23" s="1"/>
  <c r="F183" i="23" s="1"/>
  <c r="D188" i="58" l="1"/>
  <c r="E188" i="58" s="1"/>
  <c r="F188" i="58"/>
  <c r="D184" i="23"/>
  <c r="E184" i="23" s="1"/>
  <c r="F184" i="23" s="1"/>
  <c r="D189" i="58" l="1"/>
  <c r="E189" i="58" s="1"/>
  <c r="F189" i="58"/>
  <c r="D185" i="23"/>
  <c r="E185" i="23" s="1"/>
  <c r="F185" i="23" s="1"/>
  <c r="D190" i="58" l="1"/>
  <c r="E190" i="58" s="1"/>
  <c r="F190" i="58"/>
  <c r="D186" i="23"/>
  <c r="E186" i="23" s="1"/>
  <c r="F186" i="23" s="1"/>
  <c r="D191" i="58" l="1"/>
  <c r="E191" i="58" s="1"/>
  <c r="F191" i="58"/>
  <c r="D187" i="23"/>
  <c r="E187" i="23" s="1"/>
  <c r="F187" i="23" s="1"/>
  <c r="D192" i="58" l="1"/>
  <c r="E192" i="58" s="1"/>
  <c r="F192" i="58"/>
  <c r="D188" i="23"/>
  <c r="E188" i="23" s="1"/>
  <c r="F188" i="23" s="1"/>
  <c r="D193" i="58" l="1"/>
  <c r="E193" i="58" s="1"/>
  <c r="F193" i="58"/>
  <c r="D189" i="23"/>
  <c r="E189" i="23" s="1"/>
  <c r="F189" i="23" s="1"/>
  <c r="D194" i="58" l="1"/>
  <c r="E194" i="58" s="1"/>
  <c r="F194" i="58"/>
  <c r="D190" i="23"/>
  <c r="E190" i="23" s="1"/>
  <c r="F190" i="23" s="1"/>
  <c r="D195" i="58" l="1"/>
  <c r="E195" i="58" s="1"/>
  <c r="F195" i="58"/>
  <c r="D191" i="23"/>
  <c r="E191" i="23" s="1"/>
  <c r="F191" i="23" s="1"/>
  <c r="D196" i="58" l="1"/>
  <c r="E196" i="58" s="1"/>
  <c r="F196" i="58"/>
  <c r="D192" i="23"/>
  <c r="E192" i="23" s="1"/>
  <c r="F192" i="23" s="1"/>
  <c r="D197" i="58" l="1"/>
  <c r="E197" i="58" s="1"/>
  <c r="F197" i="58"/>
  <c r="D193" i="23"/>
  <c r="E193" i="23" s="1"/>
  <c r="F193" i="23" s="1"/>
  <c r="D198" i="58" l="1"/>
  <c r="E198" i="58" s="1"/>
  <c r="F198" i="58"/>
  <c r="D194" i="23"/>
  <c r="E194" i="23" s="1"/>
  <c r="F194" i="23" s="1"/>
  <c r="D199" i="58" l="1"/>
  <c r="E199" i="58" s="1"/>
  <c r="F199" i="58"/>
  <c r="D195" i="23"/>
  <c r="E195" i="23" s="1"/>
  <c r="F195" i="23" s="1"/>
  <c r="D200" i="58" l="1"/>
  <c r="E200" i="58" s="1"/>
  <c r="F200" i="58"/>
  <c r="D196" i="23"/>
  <c r="E196" i="23" s="1"/>
  <c r="F196" i="23" s="1"/>
  <c r="D201" i="58" l="1"/>
  <c r="E201" i="58" s="1"/>
  <c r="F201" i="58"/>
  <c r="D197" i="23"/>
  <c r="E197" i="23" s="1"/>
  <c r="F197" i="23" s="1"/>
  <c r="D202" i="58" l="1"/>
  <c r="E202" i="58" s="1"/>
  <c r="F202" i="58"/>
  <c r="D198" i="23"/>
  <c r="E198" i="23" s="1"/>
  <c r="F198" i="23" s="1"/>
  <c r="D203" i="58" l="1"/>
  <c r="E203" i="58" s="1"/>
  <c r="F203" i="58"/>
  <c r="D199" i="23"/>
  <c r="E199" i="23" s="1"/>
  <c r="F199" i="23" s="1"/>
  <c r="D204" i="58" l="1"/>
  <c r="E204" i="58" s="1"/>
  <c r="F204" i="58"/>
  <c r="D200" i="23"/>
  <c r="E200" i="23" s="1"/>
  <c r="F200" i="23" s="1"/>
  <c r="D205" i="58" l="1"/>
  <c r="E205" i="58" s="1"/>
  <c r="F205" i="58"/>
  <c r="D201" i="23"/>
  <c r="E201" i="23" s="1"/>
  <c r="F201" i="23" s="1"/>
  <c r="D206" i="58" l="1"/>
  <c r="E206" i="58" s="1"/>
  <c r="F206" i="58"/>
  <c r="D202" i="23"/>
  <c r="E202" i="23" s="1"/>
  <c r="F202" i="23" s="1"/>
  <c r="D207" i="58" l="1"/>
  <c r="E207" i="58" s="1"/>
  <c r="F207" i="58"/>
  <c r="D203" i="23"/>
  <c r="E203" i="23" s="1"/>
  <c r="F203" i="23" s="1"/>
  <c r="D208" i="58" l="1"/>
  <c r="E208" i="58" s="1"/>
  <c r="F208" i="58"/>
  <c r="D204" i="23"/>
  <c r="E204" i="23" s="1"/>
  <c r="F204" i="23" s="1"/>
  <c r="D209" i="58" l="1"/>
  <c r="E209" i="58" s="1"/>
  <c r="F209" i="58"/>
  <c r="D205" i="23"/>
  <c r="E205" i="23" s="1"/>
  <c r="F205" i="23" s="1"/>
  <c r="D210" i="58" l="1"/>
  <c r="E210" i="58" s="1"/>
  <c r="F210" i="58"/>
  <c r="D206" i="23"/>
  <c r="E206" i="23" s="1"/>
  <c r="F206" i="23" s="1"/>
  <c r="D211" i="58" l="1"/>
  <c r="E211" i="58" s="1"/>
  <c r="F211" i="58"/>
  <c r="D207" i="23"/>
  <c r="E207" i="23" s="1"/>
  <c r="F207" i="23" s="1"/>
  <c r="D212" i="58" l="1"/>
  <c r="E212" i="58" s="1"/>
  <c r="F212" i="58"/>
  <c r="D208" i="23"/>
  <c r="E208" i="23" s="1"/>
  <c r="F208" i="23" s="1"/>
  <c r="D213" i="58" l="1"/>
  <c r="E213" i="58" s="1"/>
  <c r="F213" i="58"/>
  <c r="D209" i="23"/>
  <c r="E209" i="23" s="1"/>
  <c r="F209" i="23" s="1"/>
  <c r="D214" i="58" l="1"/>
  <c r="E214" i="58" s="1"/>
  <c r="F214" i="58"/>
  <c r="D210" i="23"/>
  <c r="E210" i="23" s="1"/>
  <c r="F210" i="23" s="1"/>
  <c r="D215" i="58" l="1"/>
  <c r="E215" i="58" s="1"/>
  <c r="F215" i="58"/>
  <c r="D211" i="23"/>
  <c r="E211" i="23" s="1"/>
  <c r="F211" i="23" s="1"/>
  <c r="D216" i="58" l="1"/>
  <c r="E216" i="58" s="1"/>
  <c r="F216" i="58"/>
  <c r="D212" i="23"/>
  <c r="E212" i="23" s="1"/>
  <c r="F212" i="23" s="1"/>
  <c r="D217" i="58" l="1"/>
  <c r="E217" i="58" s="1"/>
  <c r="F217" i="58"/>
  <c r="D213" i="23"/>
  <c r="E213" i="23" s="1"/>
  <c r="F213" i="23" s="1"/>
  <c r="D218" i="58" l="1"/>
  <c r="E218" i="58" s="1"/>
  <c r="F218" i="58"/>
  <c r="D214" i="23"/>
  <c r="E214" i="23" s="1"/>
  <c r="F214" i="23" s="1"/>
  <c r="D219" i="58" l="1"/>
  <c r="E219" i="58" s="1"/>
  <c r="F219" i="58"/>
  <c r="D215" i="23"/>
  <c r="E215" i="23" s="1"/>
  <c r="F215" i="23" s="1"/>
  <c r="D220" i="58" l="1"/>
  <c r="E220" i="58" s="1"/>
  <c r="F220" i="58"/>
  <c r="D216" i="23"/>
  <c r="E216" i="23" s="1"/>
  <c r="F216" i="23" s="1"/>
  <c r="D221" i="58" l="1"/>
  <c r="E221" i="58" s="1"/>
  <c r="F221" i="58"/>
  <c r="D217" i="23"/>
  <c r="E217" i="23" s="1"/>
  <c r="F217" i="23" s="1"/>
  <c r="D222" i="58" l="1"/>
  <c r="E222" i="58" s="1"/>
  <c r="F222" i="58"/>
  <c r="D218" i="23"/>
  <c r="E218" i="23" s="1"/>
  <c r="F218" i="23" s="1"/>
  <c r="D223" i="58" l="1"/>
  <c r="E223" i="58" s="1"/>
  <c r="F223" i="58"/>
  <c r="D219" i="23"/>
  <c r="E219" i="23" s="1"/>
  <c r="F219" i="23" s="1"/>
  <c r="D224" i="58" l="1"/>
  <c r="E224" i="58" s="1"/>
  <c r="F224" i="58"/>
  <c r="D220" i="23"/>
  <c r="E220" i="23" s="1"/>
  <c r="F220" i="23" s="1"/>
  <c r="D225" i="58" l="1"/>
  <c r="E225" i="58" s="1"/>
  <c r="F225" i="58"/>
  <c r="D221" i="23"/>
  <c r="E221" i="23" s="1"/>
  <c r="F221" i="23" s="1"/>
  <c r="D226" i="58" l="1"/>
  <c r="E226" i="58" s="1"/>
  <c r="F226" i="58"/>
  <c r="D222" i="23"/>
  <c r="E222" i="23" s="1"/>
  <c r="F222" i="23" s="1"/>
  <c r="D227" i="58" l="1"/>
  <c r="E227" i="58" s="1"/>
  <c r="F227" i="58"/>
  <c r="D223" i="23"/>
  <c r="E223" i="23" s="1"/>
  <c r="F223" i="23" s="1"/>
  <c r="D228" i="58" l="1"/>
  <c r="E228" i="58" s="1"/>
  <c r="F228" i="58"/>
  <c r="D224" i="23"/>
  <c r="E224" i="23" s="1"/>
  <c r="F224" i="23" s="1"/>
  <c r="D229" i="58" l="1"/>
  <c r="E229" i="58" s="1"/>
  <c r="F229" i="58"/>
  <c r="D225" i="23"/>
  <c r="E225" i="23" s="1"/>
  <c r="F225" i="23" s="1"/>
  <c r="D230" i="58" l="1"/>
  <c r="E230" i="58" s="1"/>
  <c r="F230" i="58"/>
  <c r="D226" i="23"/>
  <c r="E226" i="23" s="1"/>
  <c r="F226" i="23" s="1"/>
  <c r="D231" i="58" l="1"/>
  <c r="E231" i="58" s="1"/>
  <c r="F231" i="58"/>
  <c r="D227" i="23"/>
  <c r="E227" i="23" s="1"/>
  <c r="F227" i="23" s="1"/>
  <c r="D232" i="58" l="1"/>
  <c r="E232" i="58" s="1"/>
  <c r="F232" i="58"/>
  <c r="D228" i="23"/>
  <c r="E228" i="23" s="1"/>
  <c r="F228" i="23" s="1"/>
  <c r="D233" i="58" l="1"/>
  <c r="E233" i="58" s="1"/>
  <c r="F233" i="58"/>
  <c r="D229" i="23"/>
  <c r="E229" i="23" s="1"/>
  <c r="F229" i="23" s="1"/>
  <c r="D234" i="58" l="1"/>
  <c r="E234" i="58" s="1"/>
  <c r="F234" i="58"/>
  <c r="D230" i="23"/>
  <c r="E230" i="23" s="1"/>
  <c r="F230" i="23" s="1"/>
  <c r="D235" i="58" l="1"/>
  <c r="E235" i="58" s="1"/>
  <c r="F235" i="58"/>
  <c r="D231" i="23"/>
  <c r="E231" i="23" s="1"/>
  <c r="F231" i="23" s="1"/>
  <c r="D236" i="58" l="1"/>
  <c r="E236" i="58" s="1"/>
  <c r="F236" i="58"/>
  <c r="D232" i="23"/>
  <c r="E232" i="23" s="1"/>
  <c r="F232" i="23" s="1"/>
  <c r="D237" i="58" l="1"/>
  <c r="E237" i="58" s="1"/>
  <c r="F237" i="58"/>
  <c r="D233" i="23"/>
  <c r="E233" i="23" s="1"/>
  <c r="F233" i="23" s="1"/>
  <c r="D238" i="58" l="1"/>
  <c r="E238" i="58" s="1"/>
  <c r="F238" i="58"/>
  <c r="D234" i="23"/>
  <c r="E234" i="23" s="1"/>
  <c r="F234" i="23" s="1"/>
  <c r="D239" i="58" l="1"/>
  <c r="E239" i="58" s="1"/>
  <c r="F239" i="58"/>
  <c r="D235" i="23"/>
  <c r="E235" i="23" s="1"/>
  <c r="F235" i="23" s="1"/>
  <c r="D240" i="58" l="1"/>
  <c r="E240" i="58" s="1"/>
  <c r="F240" i="58" s="1"/>
  <c r="D236" i="23"/>
  <c r="E236" i="23" s="1"/>
  <c r="F236" i="23" s="1"/>
  <c r="D241" i="58" l="1"/>
  <c r="E241" i="58" s="1"/>
  <c r="F241" i="58" s="1"/>
  <c r="D237" i="23"/>
  <c r="E237" i="23" s="1"/>
  <c r="F237" i="23" s="1"/>
  <c r="D242" i="58" l="1"/>
  <c r="E242" i="58" s="1"/>
  <c r="F242" i="58"/>
  <c r="D238" i="23"/>
  <c r="E238" i="23" s="1"/>
  <c r="F238" i="23" s="1"/>
  <c r="D243" i="58" l="1"/>
  <c r="E243" i="58" s="1"/>
  <c r="F243" i="58"/>
  <c r="D239" i="23"/>
  <c r="E239" i="23" s="1"/>
  <c r="F239" i="23" s="1"/>
  <c r="D244" i="58" l="1"/>
  <c r="E244" i="58" s="1"/>
  <c r="F244" i="58" s="1"/>
  <c r="D240" i="23"/>
  <c r="E240" i="23" s="1"/>
  <c r="F240" i="23" s="1"/>
  <c r="D245" i="58" l="1"/>
  <c r="E245" i="58" s="1"/>
  <c r="F245" i="58" s="1"/>
  <c r="D241" i="23"/>
  <c r="E241" i="23" s="1"/>
  <c r="F241" i="23" s="1"/>
  <c r="D246" i="58" l="1"/>
  <c r="E246" i="58" s="1"/>
  <c r="F246" i="58"/>
  <c r="D242" i="23"/>
  <c r="E242" i="23" s="1"/>
  <c r="F242" i="23" s="1"/>
  <c r="D247" i="58" l="1"/>
  <c r="E247" i="58" s="1"/>
  <c r="F247" i="58"/>
  <c r="D243" i="23"/>
  <c r="E243" i="23" s="1"/>
  <c r="F243" i="23" s="1"/>
  <c r="D248" i="58" l="1"/>
  <c r="E248" i="58" s="1"/>
  <c r="F248" i="58" s="1"/>
  <c r="D244" i="23"/>
  <c r="E244" i="23" s="1"/>
  <c r="F244" i="23" s="1"/>
  <c r="D249" i="58" l="1"/>
  <c r="E249" i="58" s="1"/>
  <c r="F249" i="58" s="1"/>
  <c r="D245" i="23"/>
  <c r="E245" i="23" s="1"/>
  <c r="F245" i="23" s="1"/>
  <c r="D250" i="58" l="1"/>
  <c r="E250" i="58" s="1"/>
  <c r="F250" i="58"/>
  <c r="D246" i="23"/>
  <c r="E246" i="23" s="1"/>
  <c r="F246" i="23" s="1"/>
  <c r="D251" i="58" l="1"/>
  <c r="E251" i="58" s="1"/>
  <c r="F251" i="58"/>
  <c r="D247" i="23"/>
  <c r="E247" i="23" s="1"/>
  <c r="F247" i="23" s="1"/>
  <c r="D252" i="58" l="1"/>
  <c r="E252" i="58" s="1"/>
  <c r="F252" i="58" s="1"/>
  <c r="D248" i="23"/>
  <c r="E248" i="23" s="1"/>
  <c r="F248" i="23" s="1"/>
  <c r="D253" i="58" l="1"/>
  <c r="E253" i="58" s="1"/>
  <c r="F253" i="58" s="1"/>
  <c r="D249" i="23"/>
  <c r="E249" i="23" s="1"/>
  <c r="F249" i="23" s="1"/>
  <c r="D254" i="58" l="1"/>
  <c r="E254" i="58" s="1"/>
  <c r="F254" i="58"/>
  <c r="D250" i="23"/>
  <c r="E250" i="23" s="1"/>
  <c r="F250" i="23" s="1"/>
  <c r="D255" i="58" l="1"/>
  <c r="E255" i="58" s="1"/>
  <c r="F255" i="58" s="1"/>
  <c r="D251" i="23"/>
  <c r="E251" i="23" s="1"/>
  <c r="F251" i="23" s="1"/>
  <c r="D256" i="58" l="1"/>
  <c r="E256" i="58" s="1"/>
  <c r="F256" i="58" s="1"/>
  <c r="D252" i="23"/>
  <c r="E252" i="23" s="1"/>
  <c r="F252" i="23" s="1"/>
  <c r="D257" i="58" l="1"/>
  <c r="E257" i="58" s="1"/>
  <c r="F257" i="58" s="1"/>
  <c r="D253" i="23"/>
  <c r="E253" i="23" s="1"/>
  <c r="F253" i="23" s="1"/>
  <c r="D258" i="58" l="1"/>
  <c r="E258" i="58" s="1"/>
  <c r="F258" i="58" s="1"/>
  <c r="D254" i="23"/>
  <c r="E254" i="23" s="1"/>
  <c r="F254" i="23" s="1"/>
  <c r="D259" i="58" l="1"/>
  <c r="E259" i="58" s="1"/>
  <c r="F259" i="58" s="1"/>
  <c r="D255" i="23"/>
  <c r="E255" i="23" s="1"/>
  <c r="F255" i="23" s="1"/>
  <c r="D260" i="58" l="1"/>
  <c r="E260" i="58" s="1"/>
  <c r="F260" i="58" s="1"/>
  <c r="D256" i="23"/>
  <c r="E256" i="23" s="1"/>
  <c r="F256" i="23" s="1"/>
  <c r="D261" i="58" l="1"/>
  <c r="E261" i="58" s="1"/>
  <c r="F261" i="58" s="1"/>
  <c r="D257" i="23"/>
  <c r="E257" i="23" s="1"/>
  <c r="F257" i="23" s="1"/>
  <c r="T22" i="58" l="1"/>
  <c r="D262" i="58"/>
  <c r="E262" i="58" s="1"/>
  <c r="F262" i="58" s="1"/>
  <c r="D258" i="23"/>
  <c r="E258" i="23" s="1"/>
  <c r="F258" i="23" s="1"/>
  <c r="D263" i="58" l="1"/>
  <c r="E263" i="58" s="1"/>
  <c r="F263" i="58" s="1"/>
  <c r="D259" i="23"/>
  <c r="E259" i="23" s="1"/>
  <c r="F259" i="23" s="1"/>
  <c r="D264" i="58" l="1"/>
  <c r="E264" i="58" s="1"/>
  <c r="F264" i="58" s="1"/>
  <c r="D260" i="23"/>
  <c r="E260" i="23" s="1"/>
  <c r="F260" i="23" s="1"/>
  <c r="D265" i="58" l="1"/>
  <c r="E265" i="58" s="1"/>
  <c r="F265" i="58" s="1"/>
  <c r="D261" i="23"/>
  <c r="E261" i="23" s="1"/>
  <c r="F261" i="23" s="1"/>
  <c r="D266" i="58" l="1"/>
  <c r="E266" i="58" s="1"/>
  <c r="F266" i="58" s="1"/>
  <c r="D262" i="23"/>
  <c r="E262" i="23" s="1"/>
  <c r="F262" i="23" s="1"/>
  <c r="M23" i="23" s="1"/>
  <c r="D267" i="58" l="1"/>
  <c r="E267" i="58" s="1"/>
  <c r="F267" i="58" s="1"/>
  <c r="D263" i="23"/>
  <c r="D268" i="58" l="1"/>
  <c r="E268" i="58" s="1"/>
  <c r="F268" i="58" s="1"/>
  <c r="E263" i="23"/>
  <c r="D264" i="23"/>
  <c r="C10" i="13"/>
  <c r="C9" i="13"/>
  <c r="C11" i="13" s="1"/>
  <c r="B5" i="13"/>
  <c r="B2" i="13"/>
  <c r="B2" i="12"/>
  <c r="B5" i="12"/>
  <c r="B2" i="11"/>
  <c r="B2" i="10"/>
  <c r="C10" i="11"/>
  <c r="C9" i="11"/>
  <c r="C11" i="11" s="1"/>
  <c r="D10" i="11"/>
  <c r="D11" i="12"/>
  <c r="D11" i="13"/>
  <c r="D9" i="10"/>
  <c r="D11" i="10"/>
  <c r="D10" i="13"/>
  <c r="D9" i="12"/>
  <c r="D9" i="13"/>
  <c r="D11" i="11"/>
  <c r="D10" i="12"/>
  <c r="D9" i="11"/>
  <c r="D10" i="10"/>
  <c r="D269" i="58" l="1"/>
  <c r="E269" i="58" s="1"/>
  <c r="F269" i="58" s="1"/>
  <c r="F263" i="23"/>
  <c r="E264" i="23"/>
  <c r="B8" i="6"/>
  <c r="B9" i="6"/>
  <c r="B11" i="6" s="1"/>
  <c r="B7" i="6"/>
  <c r="C11" i="6"/>
  <c r="C8" i="6"/>
  <c r="C9" i="6"/>
  <c r="C10" i="6"/>
  <c r="C7" i="6"/>
  <c r="D270" i="58" l="1"/>
  <c r="E270" i="58" s="1"/>
  <c r="F270" i="58" s="1"/>
  <c r="B10" i="6"/>
  <c r="D271" i="58" l="1"/>
  <c r="E271" i="58" s="1"/>
  <c r="F271" i="58" s="1"/>
  <c r="T22" i="57"/>
  <c r="E1" i="3"/>
  <c r="E1" i="2"/>
  <c r="I9" i="1"/>
  <c r="D17" i="1"/>
  <c r="D272" i="58" l="1"/>
  <c r="E272" i="58" s="1"/>
  <c r="F272" i="58" s="1"/>
  <c r="D273" i="58" l="1"/>
  <c r="E273" i="58" s="1"/>
  <c r="F273" i="58" s="1"/>
  <c r="D274" i="58" l="1"/>
  <c r="E274" i="58" s="1"/>
  <c r="F274" i="58" s="1"/>
  <c r="D275" i="58" l="1"/>
  <c r="E275" i="58" s="1"/>
  <c r="F275" i="58" s="1"/>
  <c r="F276" i="58" l="1"/>
  <c r="D276" i="58"/>
  <c r="E276" i="58" s="1"/>
  <c r="D277" i="58" l="1"/>
  <c r="E277" i="58" s="1"/>
  <c r="F277" i="58" s="1"/>
  <c r="D278" i="58" l="1"/>
  <c r="E278" i="58" s="1"/>
  <c r="F278" i="58" s="1"/>
  <c r="D279" i="58" l="1"/>
  <c r="E279" i="58" s="1"/>
  <c r="F279" i="58" s="1"/>
  <c r="D280" i="58" l="1"/>
  <c r="E280" i="58" s="1"/>
  <c r="F280" i="58" s="1"/>
  <c r="D281" i="58" l="1"/>
  <c r="E281" i="58" s="1"/>
  <c r="F281" i="58" s="1"/>
  <c r="D282" i="58" l="1"/>
  <c r="E282" i="58" s="1"/>
  <c r="F282" i="58" s="1"/>
  <c r="D283" i="58" l="1"/>
  <c r="E283" i="58" s="1"/>
  <c r="F283" i="58" s="1"/>
  <c r="D284" i="58" l="1"/>
  <c r="E284" i="58" s="1"/>
  <c r="F284" i="58" s="1"/>
  <c r="D285" i="58" l="1"/>
  <c r="E285" i="58" s="1"/>
  <c r="F285" i="58" s="1"/>
  <c r="D286" i="58" l="1"/>
  <c r="E286" i="58" s="1"/>
  <c r="F286" i="58" s="1"/>
  <c r="D287" i="58" l="1"/>
  <c r="E287" i="58" s="1"/>
  <c r="F287" i="58" s="1"/>
  <c r="D288" i="58" l="1"/>
  <c r="E288" i="58" s="1"/>
  <c r="F288" i="58" s="1"/>
  <c r="D289" i="58" l="1"/>
  <c r="E289" i="58" s="1"/>
  <c r="F289" i="58" s="1"/>
  <c r="D290" i="58" l="1"/>
  <c r="E290" i="58" s="1"/>
  <c r="F290" i="58" s="1"/>
  <c r="D291" i="58" l="1"/>
  <c r="E291" i="58" s="1"/>
  <c r="F291" i="58" s="1"/>
  <c r="D292" i="58" l="1"/>
  <c r="E292" i="58" s="1"/>
  <c r="F292" i="58" s="1"/>
  <c r="D293" i="58" l="1"/>
  <c r="E293" i="58" s="1"/>
  <c r="F293" i="58" s="1"/>
  <c r="D294" i="58" l="1"/>
  <c r="E294" i="58" s="1"/>
  <c r="F294" i="58" s="1"/>
  <c r="D295" i="58" l="1"/>
  <c r="E295" i="58" s="1"/>
  <c r="F295" i="58" s="1"/>
  <c r="D296" i="58" l="1"/>
  <c r="E296" i="58" s="1"/>
  <c r="F296" i="58" s="1"/>
  <c r="D297" i="58" l="1"/>
  <c r="E297" i="58" s="1"/>
  <c r="F297" i="58" s="1"/>
  <c r="D298" i="58" l="1"/>
  <c r="E298" i="58" s="1"/>
  <c r="F298" i="58" s="1"/>
  <c r="D299" i="58" l="1"/>
  <c r="E299" i="58" s="1"/>
  <c r="F299" i="58"/>
  <c r="D300" i="58" l="1"/>
  <c r="E300" i="58" s="1"/>
  <c r="F300" i="58"/>
  <c r="D301" i="58" l="1"/>
  <c r="E301" i="58" s="1"/>
  <c r="F301" i="58"/>
  <c r="D302" i="58" l="1"/>
  <c r="E302" i="58" s="1"/>
  <c r="F302" i="58"/>
  <c r="D303" i="58" l="1"/>
  <c r="E303" i="58" s="1"/>
  <c r="F303" i="58"/>
  <c r="D304" i="58" l="1"/>
  <c r="E304" i="58" s="1"/>
  <c r="F304" i="58"/>
  <c r="D305" i="58" l="1"/>
  <c r="E305" i="58" s="1"/>
  <c r="F305" i="58"/>
  <c r="D306" i="58" l="1"/>
  <c r="E306" i="58" s="1"/>
  <c r="F306" i="58"/>
  <c r="D307" i="58" l="1"/>
  <c r="E307" i="58" s="1"/>
  <c r="F307" i="58"/>
  <c r="D308" i="58" l="1"/>
  <c r="E308" i="58" s="1"/>
  <c r="F308" i="58"/>
  <c r="D309" i="58" l="1"/>
  <c r="E309" i="58" s="1"/>
  <c r="F309" i="58"/>
  <c r="D310" i="58" l="1"/>
  <c r="E310" i="58" s="1"/>
  <c r="F310" i="58"/>
  <c r="D311" i="58" l="1"/>
  <c r="E311" i="58" s="1"/>
  <c r="F311" i="58" s="1"/>
  <c r="D312" i="58" l="1"/>
  <c r="E312" i="58" s="1"/>
  <c r="F312" i="58"/>
  <c r="D313" i="58" l="1"/>
  <c r="E313" i="58" s="1"/>
  <c r="F313" i="58"/>
  <c r="D314" i="58" l="1"/>
  <c r="E314" i="58" s="1"/>
  <c r="F314" i="58"/>
  <c r="D315" i="58" l="1"/>
  <c r="E315" i="58" s="1"/>
  <c r="F315" i="58"/>
  <c r="D316" i="58" l="1"/>
  <c r="E316" i="58" s="1"/>
  <c r="F316" i="58"/>
  <c r="D317" i="58" l="1"/>
  <c r="E317" i="58" s="1"/>
  <c r="F317" i="58"/>
  <c r="D318" i="58" l="1"/>
  <c r="E318" i="58" s="1"/>
  <c r="F318" i="58" s="1"/>
  <c r="D319" i="58" l="1"/>
  <c r="E319" i="58" s="1"/>
  <c r="F319" i="58"/>
  <c r="D320" i="58" l="1"/>
  <c r="E320" i="58" s="1"/>
  <c r="F320" i="58"/>
  <c r="D321" i="58" l="1"/>
  <c r="E321" i="58" s="1"/>
  <c r="F321" i="58" s="1"/>
  <c r="D322" i="58" l="1"/>
  <c r="E322" i="58" s="1"/>
  <c r="F322" i="58"/>
  <c r="D323" i="58" l="1"/>
  <c r="E323" i="58" s="1"/>
  <c r="F323" i="58" s="1"/>
  <c r="D324" i="58" l="1"/>
  <c r="E324" i="58" s="1"/>
  <c r="F324" i="58"/>
  <c r="D325" i="58" l="1"/>
  <c r="E325" i="58" s="1"/>
  <c r="F325" i="58" s="1"/>
  <c r="D326" i="58" l="1"/>
  <c r="E326" i="58" s="1"/>
  <c r="F326" i="58" s="1"/>
  <c r="D327" i="58" l="1"/>
  <c r="E327" i="58" s="1"/>
  <c r="F327" i="58" s="1"/>
  <c r="D328" i="58" l="1"/>
  <c r="E328" i="58" s="1"/>
  <c r="F328" i="58"/>
  <c r="D329" i="58" l="1"/>
  <c r="E329" i="58" s="1"/>
  <c r="F329" i="58"/>
  <c r="D330" i="58" l="1"/>
  <c r="E330" i="58" s="1"/>
  <c r="F330" i="58"/>
  <c r="D331" i="58" l="1"/>
  <c r="E331" i="58" s="1"/>
  <c r="F331" i="58"/>
  <c r="D332" i="58" l="1"/>
  <c r="E332" i="58" s="1"/>
  <c r="F332" i="58"/>
  <c r="D333" i="58" l="1"/>
  <c r="E333" i="58" s="1"/>
  <c r="F333" i="58"/>
  <c r="D334" i="58" l="1"/>
  <c r="E334" i="58" s="1"/>
  <c r="F334" i="58"/>
  <c r="D335" i="58" l="1"/>
  <c r="E335" i="58" s="1"/>
  <c r="F335" i="58"/>
  <c r="D336" i="58" l="1"/>
  <c r="E336" i="58" s="1"/>
  <c r="F336" i="58"/>
  <c r="D337" i="58" l="1"/>
  <c r="E337" i="58" s="1"/>
  <c r="F337" i="58"/>
  <c r="D338" i="58" l="1"/>
  <c r="E338" i="58" s="1"/>
  <c r="F338" i="58"/>
  <c r="D339" i="58" l="1"/>
  <c r="E339" i="58" s="1"/>
  <c r="F339" i="58"/>
  <c r="D340" i="58" l="1"/>
  <c r="E340" i="58" s="1"/>
  <c r="F340" i="58"/>
  <c r="D341" i="58" l="1"/>
  <c r="E341" i="58" s="1"/>
  <c r="F341" i="58"/>
  <c r="D342" i="58" l="1"/>
  <c r="E342" i="58" s="1"/>
  <c r="F342" i="58"/>
  <c r="D343" i="58" l="1"/>
  <c r="E343" i="58" s="1"/>
  <c r="F343" i="58"/>
  <c r="D344" i="58" l="1"/>
  <c r="E344" i="58" s="1"/>
  <c r="F344" i="58"/>
  <c r="D345" i="58" l="1"/>
  <c r="E345" i="58" s="1"/>
  <c r="F345" i="58"/>
  <c r="D346" i="58" l="1"/>
  <c r="E346" i="58" s="1"/>
  <c r="F346" i="58"/>
  <c r="D347" i="58" l="1"/>
  <c r="E347" i="58" s="1"/>
  <c r="F347" i="58"/>
  <c r="D348" i="58" l="1"/>
  <c r="E348" i="58" s="1"/>
  <c r="F348" i="58"/>
  <c r="D349" i="58" l="1"/>
  <c r="E349" i="58" s="1"/>
  <c r="F349" i="58"/>
  <c r="D350" i="58" l="1"/>
  <c r="E350" i="58" s="1"/>
  <c r="F350" i="58"/>
  <c r="D351" i="58" l="1"/>
  <c r="E351" i="58" s="1"/>
  <c r="F351" i="58"/>
  <c r="D352" i="58" l="1"/>
  <c r="E352" i="58" s="1"/>
  <c r="F352" i="58"/>
  <c r="D353" i="58" l="1"/>
  <c r="E353" i="58" s="1"/>
  <c r="F353" i="58"/>
  <c r="D354" i="58" l="1"/>
  <c r="E354" i="58" s="1"/>
  <c r="F354" i="58"/>
  <c r="D355" i="58" l="1"/>
  <c r="E355" i="58" s="1"/>
  <c r="F355" i="58"/>
  <c r="D356" i="58" l="1"/>
  <c r="E356" i="58" s="1"/>
  <c r="F356" i="58"/>
  <c r="D357" i="58" l="1"/>
  <c r="E357" i="58" s="1"/>
  <c r="F357" i="58"/>
  <c r="D358" i="58" l="1"/>
  <c r="E358" i="58" s="1"/>
  <c r="F358" i="58"/>
  <c r="D359" i="58" l="1"/>
  <c r="E359" i="58" s="1"/>
  <c r="F359" i="58"/>
  <c r="D360" i="58" l="1"/>
  <c r="E360" i="58" s="1"/>
  <c r="F360" i="58"/>
  <c r="D361" i="58" l="1"/>
  <c r="E361" i="58" s="1"/>
  <c r="F361" i="58"/>
  <c r="D362" i="58" l="1"/>
  <c r="E362" i="58" s="1"/>
  <c r="F362" i="58"/>
  <c r="D363" i="58" l="1"/>
  <c r="E363" i="58" s="1"/>
  <c r="F363" i="58"/>
  <c r="D364" i="58" l="1"/>
  <c r="E364" i="58" s="1"/>
  <c r="F364" i="58"/>
  <c r="D365" i="58" l="1"/>
  <c r="E365" i="58" s="1"/>
  <c r="F365" i="58"/>
  <c r="D366" i="58" l="1"/>
  <c r="E366" i="58" s="1"/>
  <c r="F366" i="58"/>
  <c r="D367" i="58" l="1"/>
  <c r="E367" i="58" s="1"/>
  <c r="F367" i="58"/>
  <c r="D368" i="58" l="1"/>
  <c r="E368" i="58" s="1"/>
  <c r="F368" i="58"/>
  <c r="D369" i="58" l="1"/>
  <c r="E369" i="58" s="1"/>
  <c r="F369" i="58"/>
  <c r="D370" i="58" l="1"/>
  <c r="E370" i="58" s="1"/>
  <c r="F370" i="58"/>
  <c r="D371" i="58" l="1"/>
  <c r="E371" i="58" s="1"/>
  <c r="F371" i="58"/>
  <c r="D372" i="58" l="1"/>
  <c r="E372" i="58" s="1"/>
  <c r="F372" i="58"/>
  <c r="D373" i="58" l="1"/>
  <c r="E373" i="58" s="1"/>
  <c r="F373" i="58"/>
  <c r="D374" i="58" l="1"/>
  <c r="E374" i="58" s="1"/>
  <c r="F374" i="58"/>
  <c r="D375" i="58" l="1"/>
  <c r="E375" i="58" s="1"/>
  <c r="F375" i="58"/>
  <c r="D376" i="58" l="1"/>
  <c r="E376" i="58" s="1"/>
  <c r="F376" i="58"/>
  <c r="D377" i="58" l="1"/>
  <c r="E377" i="58" s="1"/>
  <c r="F377" i="58"/>
  <c r="D378" i="58" l="1"/>
  <c r="E378" i="58" s="1"/>
  <c r="F378" i="58"/>
  <c r="D379" i="58" l="1"/>
  <c r="E379" i="58" s="1"/>
  <c r="F379" i="58"/>
  <c r="D380" i="58" l="1"/>
  <c r="E380" i="58" s="1"/>
  <c r="F380" i="58"/>
  <c r="D381" i="58" l="1"/>
  <c r="E381" i="58" s="1"/>
  <c r="F381" i="58"/>
  <c r="D382" i="58" l="1"/>
  <c r="E382" i="58" s="1"/>
  <c r="F382" i="5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<sst xmlns="http://schemas.openxmlformats.org/spreadsheetml/2006/main" count="965" uniqueCount="407">
  <si>
    <t>First Built-in Functions in 1979 VisiCalc:</t>
  </si>
  <si>
    <t>@SUM</t>
  </si>
  <si>
    <t>@ERROR</t>
  </si>
  <si>
    <t>https://www.classic-computers.org.nz/system-80/software-manuals/manuals-visicalc.pdf</t>
  </si>
  <si>
    <t>@NA</t>
  </si>
  <si>
    <t>MAX</t>
  </si>
  <si>
    <t>MIN</t>
  </si>
  <si>
    <t>AVERAGE</t>
  </si>
  <si>
    <t>COUNT</t>
  </si>
  <si>
    <t>NPV</t>
  </si>
  <si>
    <t>Page 81</t>
  </si>
  <si>
    <t>In the original VisiCalc manual</t>
  </si>
  <si>
    <t>LOOKUP</t>
  </si>
  <si>
    <t>ABS</t>
  </si>
  <si>
    <t>INT</t>
  </si>
  <si>
    <t>EXP</t>
  </si>
  <si>
    <t>LN</t>
  </si>
  <si>
    <t>SIN</t>
  </si>
  <si>
    <t>PI</t>
  </si>
  <si>
    <t>LOG10</t>
  </si>
  <si>
    <t>COS</t>
  </si>
  <si>
    <t>TAN</t>
  </si>
  <si>
    <t>ASIN</t>
  </si>
  <si>
    <t>ACOS</t>
  </si>
  <si>
    <t>ATAN</t>
  </si>
  <si>
    <t>SUM</t>
  </si>
  <si>
    <t>NA</t>
  </si>
  <si>
    <t>ERROR</t>
  </si>
  <si>
    <t>@MAX</t>
  </si>
  <si>
    <t>@MIN</t>
  </si>
  <si>
    <t>@AVERAGE</t>
  </si>
  <si>
    <t>@COUNT</t>
  </si>
  <si>
    <t>@NPV</t>
  </si>
  <si>
    <t>@LOOKUP</t>
  </si>
  <si>
    <t>@ABS</t>
  </si>
  <si>
    <t>@INT</t>
  </si>
  <si>
    <t>@EXP</t>
  </si>
  <si>
    <t>@LOG10</t>
  </si>
  <si>
    <t>@LN</t>
  </si>
  <si>
    <t>@PI</t>
  </si>
  <si>
    <t>@SIN</t>
  </si>
  <si>
    <t>@COS</t>
  </si>
  <si>
    <t>@TAN</t>
  </si>
  <si>
    <t>@ASIN</t>
  </si>
  <si>
    <t>@ACOS</t>
  </si>
  <si>
    <t>@ATAN</t>
  </si>
  <si>
    <t>Numbers</t>
  </si>
  <si>
    <t>Function</t>
  </si>
  <si>
    <t>Description</t>
  </si>
  <si>
    <t>ACCRINT function</t>
  </si>
  <si>
    <t>Returns the accrued interest for a security that pays periodic interest</t>
  </si>
  <si>
    <t>ACCRINTM function</t>
  </si>
  <si>
    <t>Returns the accrued interest for a security that pays interest at maturity</t>
  </si>
  <si>
    <t>AMORDEGRC function</t>
  </si>
  <si>
    <t>Returns the depreciation for each accounting period by using a depreciation coefficient</t>
  </si>
  <si>
    <t>AMORLINC function</t>
  </si>
  <si>
    <t>Returns the depreciation for each accounting period</t>
  </si>
  <si>
    <t>COUPDAYBS function</t>
  </si>
  <si>
    <t>Returns the number of days from the beginning of the coupon period to the settlement date</t>
  </si>
  <si>
    <t>COUPDAYS function</t>
  </si>
  <si>
    <t>Returns the number of days in the coupon period that contains the settlement date</t>
  </si>
  <si>
    <t>COUPDAYSNC function</t>
  </si>
  <si>
    <t>Returns the number of days from the settlement date to the next coupon date</t>
  </si>
  <si>
    <t>COUPNCD function</t>
  </si>
  <si>
    <t>Returns the next coupon date after the settlement date</t>
  </si>
  <si>
    <t>COUPNUM function</t>
  </si>
  <si>
    <t>Returns the number of coupons payable between the settlement date and maturity date</t>
  </si>
  <si>
    <t>COUPPCD function</t>
  </si>
  <si>
    <t>Returns the previous coupon date before the settlement date</t>
  </si>
  <si>
    <t>CUMIPMT function</t>
  </si>
  <si>
    <t>Returns the cumulative interest paid between two periods</t>
  </si>
  <si>
    <t>CUMPRINC function</t>
  </si>
  <si>
    <t>Returns the cumulative principal paid on a loan between two periods</t>
  </si>
  <si>
    <t>DB function</t>
  </si>
  <si>
    <t>Returns the depreciation of an asset for a specified period by using the fixed-declining balance method</t>
  </si>
  <si>
    <t>DDB function</t>
  </si>
  <si>
    <t>Returns the depreciation of an asset for a specified period by using the double-declining balance method or some other method that you specify</t>
  </si>
  <si>
    <t>DISC function</t>
  </si>
  <si>
    <t>Returns the discount rate for a security</t>
  </si>
  <si>
    <t>DOLLARDE function</t>
  </si>
  <si>
    <t>Converts a dollar price, expressed as a fraction, into a dollar price, expressed as a decimal number</t>
  </si>
  <si>
    <t>DOLLARFR function</t>
  </si>
  <si>
    <t>Converts a dollar price, expressed as a decimal number, into a dollar price, expressed as a fraction</t>
  </si>
  <si>
    <t>DURATION function</t>
  </si>
  <si>
    <t>Returns the annual duration of a security with periodic interest payments</t>
  </si>
  <si>
    <t>EFFECT function</t>
  </si>
  <si>
    <t>Returns the effective annual interest rate</t>
  </si>
  <si>
    <t>FV function</t>
  </si>
  <si>
    <t>Returns the future value of an investment</t>
  </si>
  <si>
    <t>FVSCHEDULE function</t>
  </si>
  <si>
    <t>Returns the future value of an initial principal after applying a series of compound interest rates</t>
  </si>
  <si>
    <t>INTRATE function</t>
  </si>
  <si>
    <t>Returns the interest rate for a fully invested security</t>
  </si>
  <si>
    <t>IPMT function</t>
  </si>
  <si>
    <t>Returns the interest payment for an investment for a given period</t>
  </si>
  <si>
    <t>IRR function</t>
  </si>
  <si>
    <t>Returns the internal rate of return for a series of cash flows</t>
  </si>
  <si>
    <t>ISPMT function</t>
  </si>
  <si>
    <t>Calculates the interest paid during a specific period of an investment</t>
  </si>
  <si>
    <t>MDURATION function</t>
  </si>
  <si>
    <t>Returns the Macauley modified duration for a security with an assumed par value of $100</t>
  </si>
  <si>
    <t>MIRR function</t>
  </si>
  <si>
    <t>Returns the internal rate of return where positive and negative cash flows are financed at different rates</t>
  </si>
  <si>
    <t>NOMINAL function</t>
  </si>
  <si>
    <t>Returns the annual nominal interest rate</t>
  </si>
  <si>
    <t>NPER function</t>
  </si>
  <si>
    <t>Returns the number of periods for an investment</t>
  </si>
  <si>
    <t>NPV function</t>
  </si>
  <si>
    <t>Returns the net present value of an investment based on a series of periodic cash flows and a discount rate</t>
  </si>
  <si>
    <t>ODDFPRICE function</t>
  </si>
  <si>
    <t>Returns the price per $100 face value of a security with an odd first period</t>
  </si>
  <si>
    <t>ODDFYIELD function</t>
  </si>
  <si>
    <t>Returns the yield of a security with an odd first period</t>
  </si>
  <si>
    <t>ODDLPRICE function</t>
  </si>
  <si>
    <t>Returns the price per $100 face value of a security with an odd last period</t>
  </si>
  <si>
    <t>ODDLYIELD function</t>
  </si>
  <si>
    <t>Returns the yield of a security with an odd last period</t>
  </si>
  <si>
    <t>PDURATION function</t>
  </si>
  <si>
    <t>Returns the number of periods required by an investment to reach a specified value</t>
  </si>
  <si>
    <t>PMT function</t>
  </si>
  <si>
    <t>Returns the periodic payment for an annuity</t>
  </si>
  <si>
    <t>PPMT function</t>
  </si>
  <si>
    <t>Returns the payment on the principal for an investment for a given period</t>
  </si>
  <si>
    <t>PRICE function</t>
  </si>
  <si>
    <t>Returns the price per $100 face value of a security that pays periodic interest</t>
  </si>
  <si>
    <t>PRICEDISC function</t>
  </si>
  <si>
    <t>Returns the price per $100 face value of a discounted security</t>
  </si>
  <si>
    <t>PRICEMAT function</t>
  </si>
  <si>
    <t>Returns the price per $100 face value of a security that pays interest at maturity</t>
  </si>
  <si>
    <t>PV function</t>
  </si>
  <si>
    <t>Returns the present value of an investment</t>
  </si>
  <si>
    <t>RATE function</t>
  </si>
  <si>
    <t>Returns the interest rate per period of an annuity</t>
  </si>
  <si>
    <t>RECEIVED function</t>
  </si>
  <si>
    <t>Returns the amount received at maturity for a fully invested security</t>
  </si>
  <si>
    <t>RRI function</t>
  </si>
  <si>
    <t>Returns an equivalent interest rate for the growth of an investment</t>
  </si>
  <si>
    <t>SLN function</t>
  </si>
  <si>
    <t>Returns the straight-line depreciation of an asset for one period</t>
  </si>
  <si>
    <t>SYD function</t>
  </si>
  <si>
    <t>Returns the sum-of-years' digits depreciation of an asset for a specified period</t>
  </si>
  <si>
    <t>TBILLEQ function</t>
  </si>
  <si>
    <t>Returns the bond-equivalent yield for a Treasury bill</t>
  </si>
  <si>
    <t>TBILLPRICE function</t>
  </si>
  <si>
    <t>Returns the price per $100 face value for a Treasury bill</t>
  </si>
  <si>
    <t>TBILLYIELD function</t>
  </si>
  <si>
    <t>Returns the yield for a Treasury bill</t>
  </si>
  <si>
    <t>VDB function</t>
  </si>
  <si>
    <t>Returns the depreciation of an asset for a specified or partial period by using a declining balance method</t>
  </si>
  <si>
    <t>XIRR function</t>
  </si>
  <si>
    <t>Returns the internal rate of return for a schedule of cash flows that is not necessarily periodic</t>
  </si>
  <si>
    <t>XNPV function</t>
  </si>
  <si>
    <t>Returns the net present value for a schedule of cash flows that is not necessarily periodic</t>
  </si>
  <si>
    <t>YIELD function</t>
  </si>
  <si>
    <t>Returns the yield on a security that pays periodic interest</t>
  </si>
  <si>
    <t>YIELDDISC function</t>
  </si>
  <si>
    <t>Returns the annual yield for a discounted security; for example, a Treasury bill</t>
  </si>
  <si>
    <t>YIELDMAT function</t>
  </si>
  <si>
    <t>Returns the annual yield of a security that pays interest at maturity</t>
  </si>
  <si>
    <t>Total</t>
  </si>
  <si>
    <t>FUNCTION</t>
  </si>
  <si>
    <t>DESCRIPTION</t>
  </si>
  <si>
    <t>ACCRINT</t>
  </si>
  <si>
    <t>Returns the accrued interest for a security that pays periodic interest.</t>
  </si>
  <si>
    <t>ACCRINTM</t>
  </si>
  <si>
    <t>Returns the accrued interest for a security that pays interest at maturity.</t>
  </si>
  <si>
    <t>AMORDEGRC</t>
  </si>
  <si>
    <t>Returns the depreciation for each accounting period. This function is provided for the French accounting system. If an asset is purchased in the middle of the accounting period, the prorated depreciation is taken into account. The function is similar to AMORLINC, except that a depreciation coefficient is applied in the calculation depending on the life of the assets.</t>
  </si>
  <si>
    <t>AMORLINC</t>
  </si>
  <si>
    <t>Returns the depreciation for each accounting period. This function is provided for the French accounting system. If an asset is purchased in the middle of the accounting period, the prorated depreciation is taken into account.</t>
  </si>
  <si>
    <t>COUPDAYBS</t>
  </si>
  <si>
    <t>Returns the number of days from the beginning of a coupon period until its settlement date.</t>
  </si>
  <si>
    <t>COUPDAYS</t>
  </si>
  <si>
    <t>Returns the number of days in the coupon period that contains the settlement date.</t>
  </si>
  <si>
    <t>COUPDAYSNC</t>
  </si>
  <si>
    <t>Returns the number of days from the settlement date to the next coupon date.</t>
  </si>
  <si>
    <t>COUPNCD</t>
  </si>
  <si>
    <t>Returns the next coupon date after the settlement date.</t>
  </si>
  <si>
    <t>COUPNUM</t>
  </si>
  <si>
    <t>Returns the number of coupons payable between the settlement date and maturity date, rounded up to the nearest whole coupon.</t>
  </si>
  <si>
    <t>COUPPCD</t>
  </si>
  <si>
    <t>Returns the previous coupon date before the settlement date.</t>
  </si>
  <si>
    <t>CUMIPMT</t>
  </si>
  <si>
    <t>Returns the cumulative interest paid on a loan between start_period and end_period.</t>
  </si>
  <si>
    <t>CUMPRINC</t>
  </si>
  <si>
    <t>Returns the cumulative principal paid on a loan between start_period and end_period.</t>
  </si>
  <si>
    <t>DB</t>
  </si>
  <si>
    <t>Returns the depreciation of an asset for a specified period using the fixed-declining balance method.</t>
  </si>
  <si>
    <t>DDB</t>
  </si>
  <si>
    <t>Returns the depreciation of an asset for a specified period using the double-declining balance method or some other method you specify.</t>
  </si>
  <si>
    <t>DISC</t>
  </si>
  <si>
    <t>Returns the discount rate for a security.</t>
  </si>
  <si>
    <t>DOLLARDE</t>
  </si>
  <si>
    <t>Converts a dollar price expressed as an integer part and a fraction part, such as 1.02, into a dollar price expressed as a decimal number. Fractional dollar numbers are sometimes used for securities prices.</t>
  </si>
  <si>
    <t>DOLLARFR</t>
  </si>
  <si>
    <t>Converts a dollar price expressed as a decimal number into a dollar price expressed as an integer part and a fraction part, such as 1.02. Fractional dollar numbers are sometimes used for securities prices.</t>
  </si>
  <si>
    <t>DURATION</t>
  </si>
  <si>
    <t>Returns the Macauley duration for an assumed par value of $100. Duration is defined as the weighted average of the present value of cash flows, and is used as a measure of a bond price's response to changes in yield.</t>
  </si>
  <si>
    <t>EFFECT</t>
  </si>
  <si>
    <t>Returns the effective annual interest rate, given the nominal annual interest rate and the number of compounding periods per year.</t>
  </si>
  <si>
    <t>FV</t>
  </si>
  <si>
    <t>Calculates the future value of an investment based on a constant interest rate. You can use FV with either periodic, constant payments, or a single lump sum payment.</t>
  </si>
  <si>
    <t>INTRATE</t>
  </si>
  <si>
    <t>Returns the interest rate for a fully invested security.</t>
  </si>
  <si>
    <t>IPMT</t>
  </si>
  <si>
    <t>Returns the interest payment for a given period for an investment based on periodic, constant payments and a constant interest rate.</t>
  </si>
  <si>
    <t>ISPMT</t>
  </si>
  <si>
    <t>Calculates the interest paid (or received) for the specified period of a loan (or investment) with even principal payments.</t>
  </si>
  <si>
    <t>MDURATION</t>
  </si>
  <si>
    <t>Returns the modified Macauley duration for a security with an assumed par value of $100.</t>
  </si>
  <si>
    <t>NOMINAL</t>
  </si>
  <si>
    <t>Returns the nominal annual interest rate, given the effective rate and the number of compounding periods per year.</t>
  </si>
  <si>
    <t>NPER</t>
  </si>
  <si>
    <t>Returns the number of periods for an investment based on periodic, constant payments and a constant interest rate.</t>
  </si>
  <si>
    <t>ODDFPRICE</t>
  </si>
  <si>
    <t>Returns the price per $100 face value of a security having an odd (short or long) first period.</t>
  </si>
  <si>
    <t>ODDFYIELD</t>
  </si>
  <si>
    <t>Returns the yield of a security that has an odd (short or long) first period.</t>
  </si>
  <si>
    <t>ODDLPRICE</t>
  </si>
  <si>
    <t>Returns the price per $100 face value of a security having an odd (short or long) last period.</t>
  </si>
  <si>
    <t>ODDLYIELD</t>
  </si>
  <si>
    <t>Returns the yield of a security that has an odd (short or long) last period.</t>
  </si>
  <si>
    <t>PDURATION</t>
  </si>
  <si>
    <t>Returns the number of periods required by an investment to reach a specified value.</t>
  </si>
  <si>
    <t>PMT</t>
  </si>
  <si>
    <t>Calculates the payment for a loan based on constant payments and a constant interest rate.</t>
  </si>
  <si>
    <t>PPMT</t>
  </si>
  <si>
    <t>Returns the payment on the principal for a given period for an investment based on periodic, constant payments and a constant interest rate.</t>
  </si>
  <si>
    <t>PRICE</t>
  </si>
  <si>
    <t>Returns the price per $100 face value of a security that pays periodic interest.</t>
  </si>
  <si>
    <t>PRICEDISC</t>
  </si>
  <si>
    <t>Returns the price per $100 face value of a discounted security.</t>
  </si>
  <si>
    <t>PRICEMAT</t>
  </si>
  <si>
    <t>Returns the price per $100 face value of a security that pays interest at maturity.</t>
  </si>
  <si>
    <t>PV</t>
  </si>
  <si>
    <t>calculates the present value of a loan or an investment, based on a constant interest rate. You can use PV with either periodic, constant payments (such as a mortgage or other loan), or a future value that's your investment goal.</t>
  </si>
  <si>
    <t>RATE</t>
  </si>
  <si>
    <t>Returns the interest rate per period of an annuity. RATE is calculated by iteration and can have zero or more solutions. If the successive results of RATE do not converge to within 0.0000001 after 20 iterations, RATE returns an error.</t>
  </si>
  <si>
    <t>RECEIVED</t>
  </si>
  <si>
    <t>Returns the amount received at maturity for a fully invested security.</t>
  </si>
  <si>
    <t>RRI</t>
  </si>
  <si>
    <t>Returns an equivalent interest rate for the growth of an investment.</t>
  </si>
  <si>
    <t>SLN</t>
  </si>
  <si>
    <t>Returns the straight-line depreciation of an asset for one period.</t>
  </si>
  <si>
    <t>SYD</t>
  </si>
  <si>
    <t>Returns the sum-of-years' digits depreciation of an asset for a specified period.</t>
  </si>
  <si>
    <t>TBILLEQ</t>
  </si>
  <si>
    <t>Returns the bond-equivalent yield for a Treasury bill.</t>
  </si>
  <si>
    <t>TBILLPRICE</t>
  </si>
  <si>
    <t>Returns the price per $100 face value for a Treasury bill.</t>
  </si>
  <si>
    <t>TBILLYIELD</t>
  </si>
  <si>
    <t>Returns the yield for a Treasury bill.</t>
  </si>
  <si>
    <t>VDB</t>
  </si>
  <si>
    <t>Returns the depreciation of an asset for any period you specify, including partial periods, using the double-declining balance method or some other method you specify. VDB stands for variable declining balance.</t>
  </si>
  <si>
    <t>XIRR</t>
  </si>
  <si>
    <t>Returns the internal rate of return for a schedule of cash flows that is not necessarily periodic.</t>
  </si>
  <si>
    <t>XNPV</t>
  </si>
  <si>
    <t>Returns the net present value for a schedule of cash flows.</t>
  </si>
  <si>
    <t>YIELD</t>
  </si>
  <si>
    <t>Returns the yield on a security that pays periodic interest. Use YIELD to calculate bond yield.</t>
  </si>
  <si>
    <t>YIELDDISC</t>
  </si>
  <si>
    <t>Returns the annual yield for a discounted security.</t>
  </si>
  <si>
    <t>YIELDMAT</t>
  </si>
  <si>
    <t>Returns the annual yield of a security that pays interest at maturity.</t>
  </si>
  <si>
    <t>Count</t>
  </si>
  <si>
    <t>PMT function from borrower point of view</t>
  </si>
  <si>
    <t>Price of car</t>
  </si>
  <si>
    <t>Down payment</t>
  </si>
  <si>
    <t>Annual interest rate</t>
  </si>
  <si>
    <t>Years for loan</t>
  </si>
  <si>
    <t>Compounding periods per year</t>
  </si>
  <si>
    <r>
      <t xml:space="preserve">Period rate = monthly interest rate = </t>
    </r>
    <r>
      <rPr>
        <b/>
        <sz val="11"/>
        <color theme="1"/>
        <rFont val="Calibri"/>
        <family val="2"/>
        <scheme val="minor"/>
      </rPr>
      <t>rate</t>
    </r>
  </si>
  <si>
    <r>
      <t xml:space="preserve">Total number of periods = total months = </t>
    </r>
    <r>
      <rPr>
        <b/>
        <sz val="11"/>
        <color theme="1"/>
        <rFont val="Calibri"/>
        <family val="2"/>
        <scheme val="minor"/>
      </rPr>
      <t>nper</t>
    </r>
  </si>
  <si>
    <r>
      <t xml:space="preserve">Present value = loan amount = </t>
    </r>
    <r>
      <rPr>
        <b/>
        <sz val="11"/>
        <color theme="1"/>
        <rFont val="Calibri"/>
        <family val="2"/>
        <scheme val="minor"/>
      </rPr>
      <t>pv</t>
    </r>
  </si>
  <si>
    <r>
      <t xml:space="preserve">Periodic PMT = Monthly Payment = </t>
    </r>
    <r>
      <rPr>
        <b/>
        <sz val="11"/>
        <color theme="1"/>
        <rFont val="Calibri"/>
        <family val="2"/>
        <scheme val="minor"/>
      </rPr>
      <t>pmt</t>
    </r>
  </si>
  <si>
    <t>Q #1</t>
  </si>
  <si>
    <r>
      <t xml:space="preserve">Amount to invest today = </t>
    </r>
    <r>
      <rPr>
        <b/>
        <sz val="11"/>
        <color theme="1"/>
        <rFont val="Calibri"/>
        <family val="2"/>
        <scheme val="minor"/>
      </rPr>
      <t>pv</t>
    </r>
  </si>
  <si>
    <t>Annual interest rate = APR</t>
  </si>
  <si>
    <t>Years</t>
  </si>
  <si>
    <t>Formulas:</t>
  </si>
  <si>
    <t>Variables and function arguments:</t>
  </si>
  <si>
    <r>
      <t xml:space="preserve">Period rate = </t>
    </r>
    <r>
      <rPr>
        <b/>
        <sz val="11"/>
        <color theme="1"/>
        <rFont val="Calibri"/>
        <family val="2"/>
        <scheme val="minor"/>
      </rPr>
      <t>rate</t>
    </r>
  </si>
  <si>
    <r>
      <t xml:space="preserve">Total number of periods = </t>
    </r>
    <r>
      <rPr>
        <b/>
        <sz val="11"/>
        <color theme="1"/>
        <rFont val="Calibri"/>
        <family val="2"/>
        <scheme val="minor"/>
      </rPr>
      <t>nper</t>
    </r>
  </si>
  <si>
    <t>Inputs &amp; formulas:</t>
  </si>
  <si>
    <t>daily</t>
  </si>
  <si>
    <t>monthly</t>
  </si>
  <si>
    <t>quarterly</t>
  </si>
  <si>
    <t>yearly</t>
  </si>
  <si>
    <t>Future value = fv</t>
  </si>
  <si>
    <t>Present value = pv</t>
  </si>
  <si>
    <t>Q #2</t>
  </si>
  <si>
    <t>Q #3</t>
  </si>
  <si>
    <r>
      <t xml:space="preserve">Withdrawal amount at the beginning of each month = </t>
    </r>
    <r>
      <rPr>
        <b/>
        <sz val="11"/>
        <color theme="1"/>
        <rFont val="Calibri"/>
        <family val="2"/>
        <scheme val="minor"/>
      </rPr>
      <t>pmt</t>
    </r>
  </si>
  <si>
    <t>Q #4</t>
  </si>
  <si>
    <r>
      <rPr>
        <b/>
        <sz val="11"/>
        <color theme="1"/>
        <rFont val="Calibri"/>
        <family val="2"/>
        <scheme val="minor"/>
      </rPr>
      <t>Type</t>
    </r>
    <r>
      <rPr>
        <sz val="11"/>
        <color theme="1"/>
        <rFont val="Calibri"/>
        <family val="2"/>
        <scheme val="minor"/>
      </rPr>
      <t xml:space="preserve"> of annuity: End = 0 or omit, Begin = 1</t>
    </r>
  </si>
  <si>
    <r>
      <t xml:space="preserve">Amount in stock account at time 0 = </t>
    </r>
    <r>
      <rPr>
        <b/>
        <sz val="11"/>
        <color theme="1"/>
        <rFont val="Calibri"/>
        <family val="2"/>
        <scheme val="minor"/>
      </rPr>
      <t>pv</t>
    </r>
  </si>
  <si>
    <t>Amount to invest each month</t>
  </si>
  <si>
    <t>Starting account balance at time zero</t>
  </si>
  <si>
    <t>Math formula fv:</t>
  </si>
  <si>
    <t>Math formula pv:</t>
  </si>
  <si>
    <t>Math formula for pv:</t>
  </si>
  <si>
    <t>Q #5</t>
  </si>
  <si>
    <t>Math formula for pmt:</t>
  </si>
  <si>
    <r>
      <t xml:space="preserve">Amount to have on day of retirement = </t>
    </r>
    <r>
      <rPr>
        <b/>
        <sz val="11"/>
        <color theme="1"/>
        <rFont val="Calibri"/>
        <family val="2"/>
        <scheme val="minor"/>
      </rPr>
      <t>fv</t>
    </r>
  </si>
  <si>
    <t>Total deposited</t>
  </si>
  <si>
    <t>Total return gained</t>
  </si>
  <si>
    <t>Total return earned</t>
  </si>
  <si>
    <r>
      <t xml:space="preserve">Monthly investment amount = </t>
    </r>
    <r>
      <rPr>
        <b/>
        <sz val="11"/>
        <color theme="1"/>
        <rFont val="Calibri"/>
        <family val="2"/>
        <scheme val="minor"/>
      </rPr>
      <t>pmt</t>
    </r>
  </si>
  <si>
    <t>Q #6</t>
  </si>
  <si>
    <t>Q #7</t>
  </si>
  <si>
    <t>How much does the bank take as interest for each mortgage payment?</t>
  </si>
  <si>
    <t>Interest to bank</t>
  </si>
  <si>
    <t>Reduction on loan</t>
  </si>
  <si>
    <t>Balance</t>
  </si>
  <si>
    <r>
      <rPr>
        <b/>
        <sz val="11"/>
        <color theme="1"/>
        <rFont val="Calibri"/>
        <family val="2"/>
        <scheme val="minor"/>
      </rPr>
      <t>Type</t>
    </r>
    <r>
      <rPr>
        <sz val="11"/>
        <color theme="1"/>
        <rFont val="Calibri"/>
        <family val="2"/>
        <scheme val="minor"/>
      </rPr>
      <t xml:space="preserve"> of annuity: End = omit</t>
    </r>
  </si>
  <si>
    <t>Formulas manually copied down:</t>
  </si>
  <si>
    <t>Formula in just 1 cell:</t>
  </si>
  <si>
    <t>Amortization Table</t>
  </si>
  <si>
    <t xml:space="preserve">     rate   nper   pv</t>
  </si>
  <si>
    <t>Month</t>
  </si>
  <si>
    <t>Totals</t>
  </si>
  <si>
    <t>Loan Amount</t>
  </si>
  <si>
    <t>Years for Loan</t>
  </si>
  <si>
    <t>Periods per Year</t>
  </si>
  <si>
    <t>Total invested</t>
  </si>
  <si>
    <t>Monthly mortgage payment = pmt</t>
  </si>
  <si>
    <t>Q #8</t>
  </si>
  <si>
    <r>
      <t xml:space="preserve">Amount of home mortgage loan = </t>
    </r>
    <r>
      <rPr>
        <b/>
        <sz val="11"/>
        <color theme="1"/>
        <rFont val="Calibri"/>
        <family val="2"/>
        <scheme val="minor"/>
      </rPr>
      <t>pv</t>
    </r>
  </si>
  <si>
    <t>Down payment on car</t>
  </si>
  <si>
    <r>
      <t xml:space="preserve">Loan amount = price - down payment = </t>
    </r>
    <r>
      <rPr>
        <b/>
        <sz val="11"/>
        <color theme="1"/>
        <rFont val="Calibri"/>
        <family val="2"/>
        <scheme val="minor"/>
      </rPr>
      <t>pv</t>
    </r>
  </si>
  <si>
    <t>FV( rate , nper , pmt , [pv] , [type] )</t>
  </si>
  <si>
    <t>PV( rate , nper , pmt , [fv] , [type] )</t>
  </si>
  <si>
    <t>PMT( rate , nper , pv , [fv] , [type] )</t>
  </si>
  <si>
    <t>Monthly car payment = pmt</t>
  </si>
  <si>
    <r>
      <t xml:space="preserve">Balloon payment at end = </t>
    </r>
    <r>
      <rPr>
        <b/>
        <sz val="11"/>
        <color theme="1"/>
        <rFont val="Calibri"/>
        <family val="2"/>
        <scheme val="minor"/>
      </rPr>
      <t>fv</t>
    </r>
  </si>
  <si>
    <t>How long to pay off a credit card bill making only the minimum payment?</t>
  </si>
  <si>
    <r>
      <t xml:space="preserve">Minimum monthly payment = </t>
    </r>
    <r>
      <rPr>
        <b/>
        <sz val="11"/>
        <color theme="1"/>
        <rFont val="Calibri"/>
        <family val="2"/>
        <scheme val="minor"/>
      </rPr>
      <t>pmt</t>
    </r>
  </si>
  <si>
    <r>
      <t xml:space="preserve">Balance on credit card = </t>
    </r>
    <r>
      <rPr>
        <b/>
        <sz val="11"/>
        <color theme="1"/>
        <rFont val="Calibri"/>
        <family val="2"/>
        <scheme val="minor"/>
      </rPr>
      <t>pv</t>
    </r>
  </si>
  <si>
    <t>Or:</t>
  </si>
  <si>
    <t>(1+i/n)^n*x = -(1/(PV/PMT*i/n-1)) , then solve for exponent.</t>
  </si>
  <si>
    <t>NPER( rate , pmt , pv , [fv] , [type] )</t>
  </si>
  <si>
    <t>RATE( nper , pmt , pv , [fv] , [type] , [guess] )</t>
  </si>
  <si>
    <t>Adjusted APR</t>
  </si>
  <si>
    <t>Adjusted Period Rate</t>
  </si>
  <si>
    <t>Points = % of loan amount take as a fee by bank</t>
  </si>
  <si>
    <t>Total Fees taken by bank</t>
  </si>
  <si>
    <t>Fees = additional fee taken by bank</t>
  </si>
  <si>
    <r>
      <t xml:space="preserve">Monthly loan payment based on original amount (because that is how much is owed) = </t>
    </r>
    <r>
      <rPr>
        <b/>
        <sz val="11"/>
        <color theme="1"/>
        <rFont val="Calibri"/>
        <family val="2"/>
        <scheme val="minor"/>
      </rPr>
      <t>pmt</t>
    </r>
  </si>
  <si>
    <t xml:space="preserve">Amount borrower actually receives </t>
  </si>
  <si>
    <t>Q #9</t>
  </si>
  <si>
    <t>Q #10</t>
  </si>
  <si>
    <t>Cash Flows</t>
  </si>
  <si>
    <t>What is the adjusted APR when there are points and fees for a loan?</t>
  </si>
  <si>
    <t>Q #11</t>
  </si>
  <si>
    <t>How much to pay for machine with irregular cash flows and equal time periods?</t>
  </si>
  <si>
    <t>NPV( rate , value1 , value2… )</t>
  </si>
  <si>
    <t>Year 1</t>
  </si>
  <si>
    <t>Year</t>
  </si>
  <si>
    <t>Year 2</t>
  </si>
  <si>
    <t>Year 3</t>
  </si>
  <si>
    <t>NPV at time 0</t>
  </si>
  <si>
    <t>Time period =</t>
  </si>
  <si>
    <t>Estimated cash flows that machine will generate:</t>
  </si>
  <si>
    <t>Year 4</t>
  </si>
  <si>
    <t>Year 5</t>
  </si>
  <si>
    <t>Value of cash flows at time zero</t>
  </si>
  <si>
    <t>Check:</t>
  </si>
  <si>
    <t>Cost of machine at time 0</t>
  </si>
  <si>
    <t>Asset to buy =</t>
  </si>
  <si>
    <t>C &amp; C Router Machine</t>
  </si>
  <si>
    <t>Annual discount rate = RRR</t>
  </si>
  <si>
    <t>Math formula for nper:</t>
  </si>
  <si>
    <t>Math formula for NPV:</t>
  </si>
  <si>
    <t>Dates</t>
  </si>
  <si>
    <t>XNPV( rate , values , dates )</t>
  </si>
  <si>
    <t>Q #12</t>
  </si>
  <si>
    <t>How much to pay for machine with irregular cash flows and un-equal time periods?</t>
  </si>
  <si>
    <t>Period Rate</t>
  </si>
  <si>
    <t>FV of End Annuity</t>
  </si>
  <si>
    <t>How much will $25,000 invested today be worth in 15 years at an APR of 6.75%, compounded daily?</t>
  </si>
  <si>
    <t>What is the total amount invested?</t>
  </si>
  <si>
    <t>What is the total return?</t>
  </si>
  <si>
    <t>If you invest $25 at the end of each month with an estimated APR of 12.00%, how much will you have in 35 years, if the starting balance in the account is $10,000?</t>
  </si>
  <si>
    <t>What is the total withdrawn over 30 years?</t>
  </si>
  <si>
    <t>What is the total return earned?</t>
  </si>
  <si>
    <t>What is the monthly payment for a 5-year, $40,000 car loan with a $10,000 balloon payment and a 3.75% APR?</t>
  </si>
  <si>
    <t>RRR</t>
  </si>
  <si>
    <t>Date</t>
  </si>
  <si>
    <t>Cash Flow</t>
  </si>
  <si>
    <t>NPV Long Hand</t>
  </si>
  <si>
    <t>Formula:</t>
  </si>
  <si>
    <t>XNPX Longhand</t>
  </si>
  <si>
    <t>Integer</t>
  </si>
  <si>
    <t>Proportion of Days</t>
  </si>
  <si>
    <t>Year 0</t>
  </si>
  <si>
    <t>NPV-XNPV</t>
  </si>
  <si>
    <t>Difference</t>
  </si>
  <si>
    <t>Exponent with Old School formula:</t>
  </si>
  <si>
    <t>Exponent with New School formula:</t>
  </si>
  <si>
    <t>Algorithm that shows individual discounted cash flows and differences between the two functions:</t>
  </si>
  <si>
    <t>How much should you deposit today to have $100,000 in 15 years, at an APR of 12.50%, compounded quarterly?</t>
  </si>
  <si>
    <t xml:space="preserve">How much should you deposit today if the APR is 5,00% and you want to withdraw $5,000 at the beginning of each month for the next 30 years, at an APR of 5.00%? </t>
  </si>
  <si>
    <t>How long to pay off a credit card bill if you make only the minimum payment ($75) if the balance is $5,000, at an APR of 16.75%?</t>
  </si>
  <si>
    <t>What is the maximum you should pay for machine with end-of-the-year cash flows $90,000, $100,000, $90,000, $80,000, and $125,000 and a required rate of return of 17.00%? If the cost of the machine is $310,000, what is the net present value?</t>
  </si>
  <si>
    <t>What is the maximum you should pay for a machine with scheduled cash flows of $90,000, $100,000, $90,000, $80,000, and $125,000 that occur on the following dates: 3/1/23, 3/1/24, 5/1/25, 7/1/26, and 7/1/28, with a required rate of return of 17.00% and a machine cost of $310,000 incurred on 6/1/22? What is the net present value?</t>
  </si>
  <si>
    <t>What is the interest that is taken out of your home mortgage payment each month? To answer this, create an amortization table for a 30-year $525,000 home mortgage loan at 4% APR.</t>
  </si>
  <si>
    <t>What is the net present value for the yearly cash flows $55,000, $10,000, $20,000, $30,000, and $30,000 at a discount rate of 15% and a cost at time zero of –$100,000? Answer this question is two ways:
•	In cell F15, use the NPV function.
•	In cell F16, use the XNPV function.
Is there a difference between the results of these two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</si>
</sst>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43" formatCode="_(* #,##0.00_);_(* \(#,##0.00\);_(* &quot;-&quot;??_);_(@_)"/>
    <numFmt numFmtId="164" formatCode="&quot;$&quot;#,##0.00"/>
    <numFmt numFmtId="165" formatCode="m/dd/yyyy"/>
  </numFmts>
  <fonts count="14"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sz val="11"/>
      <color theme="0"/>
      <name val="Calibri"/>
      <family val="2"/>
      <scheme val="minor"/>
    </font>
    <font>
      <sz val="11"/>
      <color theme="0"/>
      <name val="Calibri"/>
      <family val="2"/>
      <scheme val="minor"/>
    </font>
    <font>
      <sz val="10"/>
      <color theme="1"/>
      <name val="Calibri"/>
      <family val="2"/>
      <scheme val="minor"/>
    </font>
    <font>
      <sz val="11"/>
      <color theme="1"/>
      <name val="Calibri"/>
      <family val="2"/>
      <scheme val="minor"/>
    </font>
    <font>
      <sz val="14"/>
      <color theme="1"/>
      <name val="Calibri"/>
      <family val="2"/>
      <scheme val="minor"/>
    </font>
    <font>
      <b/>
      <u/>
      <sz val="11"/>
      <color theme="1"/>
      <name val="Calibri"/>
      <family val="2"/>
      <scheme val="minor"/>
    </font>
    <font>
      <sz val="8"/>
      <name val="Calibri"/>
      <family val="2"/>
      <scheme val="minor"/>
    </font>
    <font>
      <sz val="11"/>
      <color rgb="FF363636"/>
      <name val="Segoe UI"/>
      <family val="2"/>
    </font>
    <font>
      <sz val="12"/>
      <color theme="1"/>
      <name val="Calibri"/>
      <family val="2"/>
      <scheme val="minor"/>
    </font>
    <font>
      <sz val="12"/>
      <color indexed="8"/>
      <name val="Calibri"/>
      <family val="2"/>
      <scheme val="minor"/>
    </font>
  </fonts>
  <fills count="9">
    <fill>
      <patternFill patternType="none"/>
    </fill>
    <fill>
      <patternFill patternType="gray125"/>
    </fill>
    <fill>
      <patternFill patternType="solid">
        <fgColor rgb="FF002060"/>
        <bgColor indexed="64"/>
      </patternFill>
    </fill>
    <fill>
      <patternFill patternType="solid">
        <fgColor rgb="FFCCFFCC"/>
        <bgColor indexed="64"/>
      </patternFill>
    </fill>
    <fill>
      <patternFill patternType="solid">
        <fgColor rgb="FFFFFFCC"/>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xf numFmtId="43" fontId="7" fillId="0" borderId="0" applyFont="0" applyFill="0" applyBorder="0" applyAlignment="0" applyProtection="0"/>
  </cellStyleXfs>
  <cellXfs count="89">
    <xf numFmtId="0" fontId="0" fillId="0" borderId="0" xfId="0"/>
    <xf numFmtId="0" fontId="2" fillId="0" borderId="0" xfId="0" applyFont="1"/>
    <xf numFmtId="0" fontId="0" fillId="0" borderId="0" xfId="0" quotePrefix="1"/>
    <xf numFmtId="0" fontId="3" fillId="0" borderId="0" xfId="1"/>
    <xf numFmtId="0" fontId="0" fillId="0" borderId="1" xfId="0" applyBorder="1"/>
    <xf numFmtId="0" fontId="0" fillId="0" borderId="1" xfId="0" applyBorder="1" applyAlignment="1">
      <alignment wrapText="1"/>
    </xf>
    <xf numFmtId="0" fontId="4" fillId="2" borderId="1" xfId="0" applyFont="1" applyFill="1" applyBorder="1"/>
    <xf numFmtId="0" fontId="0" fillId="0" borderId="1" xfId="0" applyFill="1" applyBorder="1"/>
    <xf numFmtId="4" fontId="6" fillId="0" borderId="2" xfId="0" applyNumberFormat="1" applyFont="1" applyBorder="1"/>
    <xf numFmtId="10" fontId="6" fillId="0" borderId="2" xfId="0" applyNumberFormat="1" applyFont="1" applyBorder="1"/>
    <xf numFmtId="4" fontId="6" fillId="0" borderId="1" xfId="0" applyNumberFormat="1" applyFont="1" applyBorder="1"/>
    <xf numFmtId="10" fontId="6" fillId="3" borderId="1" xfId="0" applyNumberFormat="1" applyFont="1" applyFill="1" applyBorder="1"/>
    <xf numFmtId="4" fontId="6" fillId="3" borderId="1" xfId="0" applyNumberFormat="1" applyFont="1" applyFill="1" applyBorder="1"/>
    <xf numFmtId="0" fontId="6" fillId="0" borderId="1" xfId="0" applyFont="1" applyBorder="1"/>
    <xf numFmtId="0" fontId="6" fillId="3" borderId="1" xfId="0" applyFont="1" applyFill="1" applyBorder="1"/>
    <xf numFmtId="0" fontId="5" fillId="2" borderId="0" xfId="0" applyFont="1" applyFill="1"/>
    <xf numFmtId="0" fontId="0" fillId="4" borderId="3" xfId="0" applyFill="1" applyBorder="1"/>
    <xf numFmtId="0" fontId="0" fillId="4" borderId="4" xfId="0" applyFill="1" applyBorder="1"/>
    <xf numFmtId="0" fontId="0" fillId="4" borderId="5" xfId="0" applyFill="1" applyBorder="1"/>
    <xf numFmtId="0" fontId="6" fillId="0" borderId="3" xfId="0" applyNumberFormat="1" applyFont="1" applyBorder="1"/>
    <xf numFmtId="0" fontId="6" fillId="3" borderId="3" xfId="0" applyNumberFormat="1" applyFont="1" applyFill="1" applyBorder="1"/>
    <xf numFmtId="0" fontId="6" fillId="0" borderId="6" xfId="0" applyNumberFormat="1" applyFont="1" applyBorder="1"/>
    <xf numFmtId="164" fontId="6" fillId="0" borderId="6" xfId="2" applyNumberFormat="1" applyFont="1" applyBorder="1"/>
    <xf numFmtId="164" fontId="6" fillId="3" borderId="3" xfId="0" applyNumberFormat="1" applyFont="1" applyFill="1" applyBorder="1"/>
    <xf numFmtId="164" fontId="6" fillId="0" borderId="1" xfId="2" applyNumberFormat="1" applyFont="1" applyBorder="1"/>
    <xf numFmtId="0" fontId="0" fillId="0" borderId="1" xfId="0" applyBorder="1" applyAlignment="1">
      <alignment horizontal="right"/>
    </xf>
    <xf numFmtId="0" fontId="5" fillId="2" borderId="1" xfId="0" applyFont="1" applyFill="1" applyBorder="1" applyAlignment="1">
      <alignment wrapText="1"/>
    </xf>
    <xf numFmtId="0" fontId="5" fillId="2" borderId="1" xfId="0" applyFont="1" applyFill="1" applyBorder="1"/>
    <xf numFmtId="0" fontId="9" fillId="0" borderId="0" xfId="0" applyFont="1"/>
    <xf numFmtId="0" fontId="9" fillId="0" borderId="0" xfId="0" applyFont="1" applyAlignment="1">
      <alignment horizontal="left" indent="6"/>
    </xf>
    <xf numFmtId="0" fontId="0" fillId="0" borderId="0" xfId="0" applyAlignment="1">
      <alignment horizontal="left" indent="6"/>
    </xf>
    <xf numFmtId="164" fontId="6" fillId="3" borderId="1" xfId="0" applyNumberFormat="1" applyFont="1" applyFill="1" applyBorder="1"/>
    <xf numFmtId="0" fontId="2" fillId="6" borderId="0" xfId="0" applyFont="1" applyFill="1" applyAlignment="1">
      <alignment horizontal="centerContinuous"/>
    </xf>
    <xf numFmtId="0" fontId="2" fillId="0" borderId="1" xfId="0" applyFont="1" applyBorder="1"/>
    <xf numFmtId="164" fontId="0" fillId="7" borderId="1" xfId="0" applyNumberFormat="1" applyFill="1" applyBorder="1"/>
    <xf numFmtId="0" fontId="0" fillId="0" borderId="1" xfId="0" applyFont="1" applyBorder="1" applyAlignment="1">
      <alignment wrapText="1"/>
    </xf>
    <xf numFmtId="0" fontId="5" fillId="2" borderId="0" xfId="0" applyFont="1" applyFill="1" applyAlignment="1">
      <alignment wrapText="1"/>
    </xf>
    <xf numFmtId="0" fontId="0" fillId="0" borderId="1" xfId="0" applyFont="1" applyBorder="1"/>
    <xf numFmtId="0" fontId="0" fillId="0" borderId="0" xfId="0" applyFont="1"/>
    <xf numFmtId="0" fontId="0" fillId="3" borderId="1" xfId="0" applyFont="1" applyFill="1" applyBorder="1"/>
    <xf numFmtId="0" fontId="0" fillId="4" borderId="3" xfId="0" applyFont="1" applyFill="1" applyBorder="1"/>
    <xf numFmtId="0" fontId="0" fillId="4" borderId="4" xfId="0" applyFont="1" applyFill="1" applyBorder="1"/>
    <xf numFmtId="0" fontId="0" fillId="4" borderId="5" xfId="0" applyFont="1" applyFill="1" applyBorder="1"/>
    <xf numFmtId="164" fontId="0" fillId="0" borderId="1" xfId="2" applyNumberFormat="1" applyFont="1" applyBorder="1"/>
    <xf numFmtId="164" fontId="0" fillId="3" borderId="1" xfId="2" applyNumberFormat="1" applyFont="1" applyFill="1" applyBorder="1"/>
    <xf numFmtId="164" fontId="0" fillId="3" borderId="1" xfId="0" applyNumberFormat="1" applyFont="1" applyFill="1" applyBorder="1"/>
    <xf numFmtId="0" fontId="0" fillId="3" borderId="1" xfId="0" applyNumberFormat="1" applyFont="1" applyFill="1" applyBorder="1"/>
    <xf numFmtId="0" fontId="0" fillId="0" borderId="1" xfId="0" applyFont="1" applyFill="1" applyBorder="1" applyAlignment="1">
      <alignment wrapText="1"/>
    </xf>
    <xf numFmtId="164" fontId="0" fillId="0" borderId="1" xfId="0" applyNumberFormat="1" applyBorder="1"/>
    <xf numFmtId="164" fontId="0" fillId="3" borderId="1" xfId="0" applyNumberFormat="1" applyFill="1" applyBorder="1"/>
    <xf numFmtId="0" fontId="0" fillId="0" borderId="0" xfId="0" applyBorder="1"/>
    <xf numFmtId="0" fontId="0" fillId="0" borderId="5" xfId="0" applyBorder="1"/>
    <xf numFmtId="0" fontId="0" fillId="0" borderId="0" xfId="0" applyBorder="1" applyAlignment="1">
      <alignment horizontal="left" indent="1"/>
    </xf>
    <xf numFmtId="165" fontId="0" fillId="0" borderId="1" xfId="0" applyNumberFormat="1" applyBorder="1"/>
    <xf numFmtId="0" fontId="11" fillId="0" borderId="0" xfId="0" applyFont="1"/>
    <xf numFmtId="8" fontId="0" fillId="0" borderId="0" xfId="0" applyNumberFormat="1"/>
    <xf numFmtId="0" fontId="0" fillId="4" borderId="7" xfId="0" applyFill="1" applyBorder="1"/>
    <xf numFmtId="0" fontId="0" fillId="4" borderId="8" xfId="0" applyFill="1" applyBorder="1"/>
    <xf numFmtId="0" fontId="0" fillId="4" borderId="9" xfId="0" applyFill="1" applyBorder="1"/>
    <xf numFmtId="0" fontId="0" fillId="4" borderId="10" xfId="0" applyFill="1" applyBorder="1"/>
    <xf numFmtId="0" fontId="0" fillId="4" borderId="0" xfId="0" applyFill="1" applyBorder="1"/>
    <xf numFmtId="0" fontId="0" fillId="4" borderId="11" xfId="0" applyFill="1" applyBorder="1"/>
    <xf numFmtId="0" fontId="0" fillId="4" borderId="6" xfId="0" applyFill="1" applyBorder="1"/>
    <xf numFmtId="0" fontId="0" fillId="4" borderId="12" xfId="0" applyFill="1" applyBorder="1"/>
    <xf numFmtId="0" fontId="0" fillId="4" borderId="13" xfId="0" applyFill="1" applyBorder="1"/>
    <xf numFmtId="0" fontId="0" fillId="4" borderId="3" xfId="0" applyFont="1" applyFill="1" applyBorder="1" applyAlignment="1">
      <alignment horizontal="centerContinuous" wrapText="1"/>
    </xf>
    <xf numFmtId="0" fontId="0" fillId="4" borderId="4" xfId="0" applyFont="1" applyFill="1" applyBorder="1" applyAlignment="1">
      <alignment horizontal="centerContinuous" wrapText="1"/>
    </xf>
    <xf numFmtId="0" fontId="0" fillId="4" borderId="4" xfId="0" applyFill="1" applyBorder="1" applyAlignment="1">
      <alignment horizontal="centerContinuous" wrapText="1"/>
    </xf>
    <xf numFmtId="0" fontId="0" fillId="4" borderId="5" xfId="0" applyFill="1" applyBorder="1" applyAlignment="1">
      <alignment horizontal="centerContinuous" wrapText="1"/>
    </xf>
    <xf numFmtId="0" fontId="5" fillId="8" borderId="1" xfId="0" applyFont="1" applyFill="1" applyBorder="1"/>
    <xf numFmtId="0" fontId="0" fillId="6" borderId="0" xfId="0" applyFill="1"/>
    <xf numFmtId="0" fontId="4" fillId="2" borderId="0" xfId="0" applyFont="1" applyFill="1"/>
    <xf numFmtId="14" fontId="0" fillId="0" borderId="1" xfId="0" applyNumberFormat="1" applyBorder="1"/>
    <xf numFmtId="164" fontId="0" fillId="3" borderId="3" xfId="0" applyNumberFormat="1" applyFill="1" applyBorder="1"/>
    <xf numFmtId="14" fontId="0" fillId="0" borderId="0" xfId="0" applyNumberFormat="1"/>
    <xf numFmtId="0" fontId="5" fillId="2" borderId="1" xfId="0" applyFont="1" applyFill="1" applyBorder="1" applyAlignment="1">
      <alignment horizontal="right"/>
    </xf>
    <xf numFmtId="0" fontId="0" fillId="3" borderId="1" xfId="0" applyFill="1" applyBorder="1"/>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0" fillId="5" borderId="3" xfId="0" applyFont="1" applyFill="1" applyBorder="1" applyAlignment="1">
      <alignment horizontal="center"/>
    </xf>
    <xf numFmtId="0" fontId="0" fillId="5" borderId="4" xfId="0" applyFont="1" applyFill="1" applyBorder="1" applyAlignment="1">
      <alignment horizontal="center"/>
    </xf>
    <xf numFmtId="0" fontId="0" fillId="5" borderId="5" xfId="0" applyFont="1" applyFill="1" applyBorder="1" applyAlignment="1">
      <alignment horizontal="center"/>
    </xf>
    <xf numFmtId="0" fontId="1"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13" fillId="4" borderId="3"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3" fillId="4" borderId="5" xfId="0" applyFont="1" applyFill="1" applyBorder="1" applyAlignment="1">
      <alignment horizontal="center" vertic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FFFFCC"/>
      <color rgb="FF0000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7.xml.rels><?xml version="1.0" encoding="UTF-8" standalone="yes"?>
<Relationships xmlns="http://schemas.openxmlformats.org/package/2006/relationships"><Relationship Id="rId1" Type="http://schemas.openxmlformats.org/officeDocument/2006/relationships/image" Target="../media/image3.emf"/></Relationships>
</file>

<file path=xl/drawings/_rels/drawing8.xml.rels><?xml version="1.0" encoding="UTF-8" standalone="yes"?>
<Relationships xmlns="http://schemas.openxmlformats.org/package/2006/relationships"><Relationship Id="rId1" Type="http://schemas.openxmlformats.org/officeDocument/2006/relationships/image" Target="../media/image3.emf"/></Relationships>
</file>

<file path=xl/drawings/_rels/drawing22.xml.rels><?xml version="1.0" encoding="UTF-8" standalone="yes"?>
<Relationships xmlns="http://schemas.openxmlformats.org/package/2006/relationships"><Relationship Id="rId1" Type="http://schemas.openxmlformats.org/officeDocument/2006/relationships/image" Target="../media/image4.gif"/></Relationships>
</file>

<file path=xl/drawings/_rels/drawing23.xml.rels><?xml version="1.0" encoding="UTF-8" standalone="yes"?>
<Relationships xmlns="http://schemas.openxmlformats.org/package/2006/relationships"><Relationship Id="rId1" Type="http://schemas.openxmlformats.org/officeDocument/2006/relationships/image" Target="../media/image4.gif"/></Relationships>
</file>

<file path=xl/drawings/_rels/drawing24.xml.rels><?xml version="1.0" encoding="UTF-8" standalone="yes"?>
<Relationships xmlns="http://schemas.openxmlformats.org/package/2006/relationships"><Relationship Id="rId1" Type="http://schemas.openxmlformats.org/officeDocument/2006/relationships/image" Target="../media/image4.gif"/></Relationships>
</file>

<file path=xl/drawings/_rels/drawing25.xml.rels><?xml version="1.0" encoding="UTF-8" standalone="yes"?>
<Relationships xmlns="http://schemas.openxmlformats.org/package/2006/relationships"><Relationship Id="rId2" Type="http://schemas.openxmlformats.org/officeDocument/2006/relationships/image" Target="../media/image6.jpg"/><Relationship Id="rId1" Type="http://schemas.openxmlformats.org/officeDocument/2006/relationships/image" Target="../media/image5.jpg"/></Relationships>
</file>

<file path=xl/drawings/_rels/drawing26.xml.rels><?xml version="1.0" encoding="UTF-8" standalone="yes"?>
<Relationships xmlns="http://schemas.openxmlformats.org/package/2006/relationships"><Relationship Id="rId2" Type="http://schemas.openxmlformats.org/officeDocument/2006/relationships/image" Target="../media/image6.jpg"/><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180975</xdr:colOff>
      <xdr:row>20</xdr:row>
      <xdr:rowOff>57150</xdr:rowOff>
    </xdr:to>
    <xdr:pic>
      <xdr:nvPicPr>
        <xdr:cNvPr id="4" name="Picture 3">
          <a:extLst>
            <a:ext uri="{FF2B5EF4-FFF2-40B4-BE49-F238E27FC236}">
              <a16:creationId xmlns:a16="http://schemas.microsoft.com/office/drawing/2014/main" id="{18F9272C-3A7C-4A70-A431-CBA1392B8A1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276975" cy="3867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6</xdr:col>
      <xdr:colOff>5953</xdr:colOff>
      <xdr:row>14</xdr:row>
      <xdr:rowOff>189701</xdr:rowOff>
    </xdr:to>
    <xdr:pic>
      <xdr:nvPicPr>
        <xdr:cNvPr id="3" name="Picture 2">
          <a:extLst>
            <a:ext uri="{FF2B5EF4-FFF2-40B4-BE49-F238E27FC236}">
              <a16:creationId xmlns:a16="http://schemas.microsoft.com/office/drawing/2014/main" id="{1E1F3762-E8E9-4405-8FAE-BBF14E5E23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4030265" cy="285670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1321592</xdr:colOff>
      <xdr:row>13</xdr:row>
      <xdr:rowOff>89296</xdr:rowOff>
    </xdr:from>
    <xdr:to>
      <xdr:col>2</xdr:col>
      <xdr:colOff>214312</xdr:colOff>
      <xdr:row>15</xdr:row>
      <xdr:rowOff>47625</xdr:rowOff>
    </xdr:to>
    <xdr:sp macro="" textlink="">
      <xdr:nvSpPr>
        <xdr:cNvPr id="2" name="Rectangle 1">
          <a:extLst>
            <a:ext uri="{FF2B5EF4-FFF2-40B4-BE49-F238E27FC236}">
              <a16:creationId xmlns:a16="http://schemas.microsoft.com/office/drawing/2014/main" id="{8F27775D-F178-4CFC-92DB-F60B434369C9}"/>
            </a:ext>
          </a:extLst>
        </xdr:cNvPr>
        <xdr:cNvSpPr/>
      </xdr:nvSpPr>
      <xdr:spPr>
        <a:xfrm>
          <a:off x="1643061" y="2387202"/>
          <a:ext cx="940595" cy="3393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rate</a:t>
          </a:r>
        </a:p>
      </xdr:txBody>
    </xdr:sp>
    <xdr:clientData/>
  </xdr:twoCellAnchor>
  <xdr:twoCellAnchor>
    <xdr:from>
      <xdr:col>1</xdr:col>
      <xdr:colOff>1309687</xdr:colOff>
      <xdr:row>15</xdr:row>
      <xdr:rowOff>23812</xdr:rowOff>
    </xdr:from>
    <xdr:to>
      <xdr:col>2</xdr:col>
      <xdr:colOff>988219</xdr:colOff>
      <xdr:row>16</xdr:row>
      <xdr:rowOff>113109</xdr:rowOff>
    </xdr:to>
    <xdr:sp macro="" textlink="">
      <xdr:nvSpPr>
        <xdr:cNvPr id="3" name="Rectangle 2">
          <a:extLst>
            <a:ext uri="{FF2B5EF4-FFF2-40B4-BE49-F238E27FC236}">
              <a16:creationId xmlns:a16="http://schemas.microsoft.com/office/drawing/2014/main" id="{CB64C734-D841-4627-8268-78BAF14A8213}"/>
            </a:ext>
          </a:extLst>
        </xdr:cNvPr>
        <xdr:cNvSpPr/>
      </xdr:nvSpPr>
      <xdr:spPr>
        <a:xfrm>
          <a:off x="1631156" y="2702718"/>
          <a:ext cx="1726407" cy="27979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Total number of periods</a:t>
          </a:r>
        </a:p>
      </xdr:txBody>
    </xdr:sp>
    <xdr:clientData/>
  </xdr:twoCellAnchor>
  <xdr:twoCellAnchor>
    <xdr:from>
      <xdr:col>2</xdr:col>
      <xdr:colOff>233361</xdr:colOff>
      <xdr:row>16</xdr:row>
      <xdr:rowOff>138112</xdr:rowOff>
    </xdr:from>
    <xdr:to>
      <xdr:col>3</xdr:col>
      <xdr:colOff>1172765</xdr:colOff>
      <xdr:row>18</xdr:row>
      <xdr:rowOff>95249</xdr:rowOff>
    </xdr:to>
    <xdr:sp macro="" textlink="">
      <xdr:nvSpPr>
        <xdr:cNvPr id="4" name="Rectangle 3">
          <a:extLst>
            <a:ext uri="{FF2B5EF4-FFF2-40B4-BE49-F238E27FC236}">
              <a16:creationId xmlns:a16="http://schemas.microsoft.com/office/drawing/2014/main" id="{2FDE2972-4849-4627-9CF2-4A4059D4B07D}"/>
            </a:ext>
          </a:extLst>
        </xdr:cNvPr>
        <xdr:cNvSpPr/>
      </xdr:nvSpPr>
      <xdr:spPr>
        <a:xfrm>
          <a:off x="2602705" y="3007518"/>
          <a:ext cx="2243138" cy="3381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No pmt, so argument skipped</a:t>
          </a:r>
        </a:p>
      </xdr:txBody>
    </xdr:sp>
    <xdr:clientData/>
  </xdr:twoCellAnchor>
  <xdr:twoCellAnchor>
    <xdr:from>
      <xdr:col>2</xdr:col>
      <xdr:colOff>1100135</xdr:colOff>
      <xdr:row>14</xdr:row>
      <xdr:rowOff>119062</xdr:rowOff>
    </xdr:from>
    <xdr:to>
      <xdr:col>3</xdr:col>
      <xdr:colOff>2274092</xdr:colOff>
      <xdr:row>17</xdr:row>
      <xdr:rowOff>80961</xdr:rowOff>
    </xdr:to>
    <xdr:sp macro="" textlink="">
      <xdr:nvSpPr>
        <xdr:cNvPr id="5" name="Rectangle 4">
          <a:extLst>
            <a:ext uri="{FF2B5EF4-FFF2-40B4-BE49-F238E27FC236}">
              <a16:creationId xmlns:a16="http://schemas.microsoft.com/office/drawing/2014/main" id="{DC19D757-219C-424B-A03C-929C041E5ED2}"/>
            </a:ext>
          </a:extLst>
        </xdr:cNvPr>
        <xdr:cNvSpPr/>
      </xdr:nvSpPr>
      <xdr:spPr>
        <a:xfrm>
          <a:off x="3469479" y="2607468"/>
          <a:ext cx="2477691" cy="5333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Present value must be negative because $ coming out of wallet / purse</a:t>
          </a:r>
        </a:p>
      </xdr:txBody>
    </xdr:sp>
    <xdr:clientData/>
  </xdr:twoCellAnchor>
  <xdr:twoCellAnchor>
    <xdr:from>
      <xdr:col>3</xdr:col>
      <xdr:colOff>484574</xdr:colOff>
      <xdr:row>13</xdr:row>
      <xdr:rowOff>101203</xdr:rowOff>
    </xdr:from>
    <xdr:to>
      <xdr:col>4</xdr:col>
      <xdr:colOff>239306</xdr:colOff>
      <xdr:row>15</xdr:row>
      <xdr:rowOff>42863</xdr:rowOff>
    </xdr:to>
    <xdr:sp macro="" textlink="">
      <xdr:nvSpPr>
        <xdr:cNvPr id="6" name="Rectangle 5">
          <a:extLst>
            <a:ext uri="{FF2B5EF4-FFF2-40B4-BE49-F238E27FC236}">
              <a16:creationId xmlns:a16="http://schemas.microsoft.com/office/drawing/2014/main" id="{7D704D49-7634-45B5-B6A3-3A34FAF5D59C}"/>
            </a:ext>
          </a:extLst>
        </xdr:cNvPr>
        <xdr:cNvSpPr/>
      </xdr:nvSpPr>
      <xdr:spPr>
        <a:xfrm>
          <a:off x="4157652" y="2399109"/>
          <a:ext cx="2243138" cy="322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No annuity so type is omitted</a:t>
          </a:r>
        </a:p>
      </xdr:txBody>
    </xdr:sp>
    <xdr:clientData/>
  </xdr:twoCellAnchor>
  <xdr:twoCellAnchor>
    <xdr:from>
      <xdr:col>1</xdr:col>
      <xdr:colOff>1815703</xdr:colOff>
      <xdr:row>12</xdr:row>
      <xdr:rowOff>214313</xdr:rowOff>
    </xdr:from>
    <xdr:to>
      <xdr:col>1</xdr:col>
      <xdr:colOff>2030015</xdr:colOff>
      <xdr:row>13</xdr:row>
      <xdr:rowOff>160736</xdr:rowOff>
    </xdr:to>
    <xdr:cxnSp macro="">
      <xdr:nvCxnSpPr>
        <xdr:cNvPr id="8" name="Straight Arrow Connector 7">
          <a:extLst>
            <a:ext uri="{FF2B5EF4-FFF2-40B4-BE49-F238E27FC236}">
              <a16:creationId xmlns:a16="http://schemas.microsoft.com/office/drawing/2014/main" id="{2B9AC9D1-EEC0-44CA-B8F7-F600B3369FBC}"/>
            </a:ext>
          </a:extLst>
        </xdr:cNvPr>
        <xdr:cNvCxnSpPr/>
      </xdr:nvCxnSpPr>
      <xdr:spPr>
        <a:xfrm flipV="1">
          <a:off x="2137172" y="2274094"/>
          <a:ext cx="214312" cy="18454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154781</xdr:colOff>
      <xdr:row>12</xdr:row>
      <xdr:rowOff>226219</xdr:rowOff>
    </xdr:from>
    <xdr:to>
      <xdr:col>2</xdr:col>
      <xdr:colOff>434578</xdr:colOff>
      <xdr:row>15</xdr:row>
      <xdr:rowOff>95251</xdr:rowOff>
    </xdr:to>
    <xdr:cxnSp macro="">
      <xdr:nvCxnSpPr>
        <xdr:cNvPr id="15" name="Straight Arrow Connector 14">
          <a:extLst>
            <a:ext uri="{FF2B5EF4-FFF2-40B4-BE49-F238E27FC236}">
              <a16:creationId xmlns:a16="http://schemas.microsoft.com/office/drawing/2014/main" id="{20E256B6-1545-4DD3-916C-CB224ECCD254}"/>
            </a:ext>
          </a:extLst>
        </xdr:cNvPr>
        <xdr:cNvCxnSpPr/>
      </xdr:nvCxnSpPr>
      <xdr:spPr>
        <a:xfrm flipV="1">
          <a:off x="2524125" y="2286000"/>
          <a:ext cx="279797" cy="48815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958452</xdr:colOff>
      <xdr:row>12</xdr:row>
      <xdr:rowOff>226219</xdr:rowOff>
    </xdr:from>
    <xdr:to>
      <xdr:col>2</xdr:col>
      <xdr:colOff>958453</xdr:colOff>
      <xdr:row>16</xdr:row>
      <xdr:rowOff>178594</xdr:rowOff>
    </xdr:to>
    <xdr:cxnSp macro="">
      <xdr:nvCxnSpPr>
        <xdr:cNvPr id="20" name="Straight Arrow Connector 19">
          <a:extLst>
            <a:ext uri="{FF2B5EF4-FFF2-40B4-BE49-F238E27FC236}">
              <a16:creationId xmlns:a16="http://schemas.microsoft.com/office/drawing/2014/main" id="{D2FC6E71-4C14-4DE2-9EB9-FFA094888D1C}"/>
            </a:ext>
          </a:extLst>
        </xdr:cNvPr>
        <xdr:cNvCxnSpPr/>
      </xdr:nvCxnSpPr>
      <xdr:spPr>
        <a:xfrm flipH="1" flipV="1">
          <a:off x="3327796" y="2286000"/>
          <a:ext cx="1" cy="76200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130969</xdr:colOff>
      <xdr:row>13</xdr:row>
      <xdr:rowOff>0</xdr:rowOff>
    </xdr:from>
    <xdr:to>
      <xdr:col>3</xdr:col>
      <xdr:colOff>321470</xdr:colOff>
      <xdr:row>14</xdr:row>
      <xdr:rowOff>184547</xdr:rowOff>
    </xdr:to>
    <xdr:cxnSp macro="">
      <xdr:nvCxnSpPr>
        <xdr:cNvPr id="23" name="Straight Arrow Connector 22">
          <a:extLst>
            <a:ext uri="{FF2B5EF4-FFF2-40B4-BE49-F238E27FC236}">
              <a16:creationId xmlns:a16="http://schemas.microsoft.com/office/drawing/2014/main" id="{9E34DBDE-52D6-42A1-B19B-B0C50E9FD27F}"/>
            </a:ext>
          </a:extLst>
        </xdr:cNvPr>
        <xdr:cNvCxnSpPr/>
      </xdr:nvCxnSpPr>
      <xdr:spPr>
        <a:xfrm flipH="1" flipV="1">
          <a:off x="3804047" y="2297906"/>
          <a:ext cx="190501" cy="37504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636984</xdr:colOff>
      <xdr:row>12</xdr:row>
      <xdr:rowOff>220266</xdr:rowOff>
    </xdr:from>
    <xdr:to>
      <xdr:col>3</xdr:col>
      <xdr:colOff>756047</xdr:colOff>
      <xdr:row>13</xdr:row>
      <xdr:rowOff>178594</xdr:rowOff>
    </xdr:to>
    <xdr:cxnSp macro="">
      <xdr:nvCxnSpPr>
        <xdr:cNvPr id="27" name="Straight Arrow Connector 26">
          <a:extLst>
            <a:ext uri="{FF2B5EF4-FFF2-40B4-BE49-F238E27FC236}">
              <a16:creationId xmlns:a16="http://schemas.microsoft.com/office/drawing/2014/main" id="{AF84A716-C477-429C-82B5-7AC5702F575E}"/>
            </a:ext>
          </a:extLst>
        </xdr:cNvPr>
        <xdr:cNvCxnSpPr/>
      </xdr:nvCxnSpPr>
      <xdr:spPr>
        <a:xfrm flipH="1" flipV="1">
          <a:off x="4310062" y="2280047"/>
          <a:ext cx="119063" cy="19645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95250</xdr:colOff>
      <xdr:row>13</xdr:row>
      <xdr:rowOff>35719</xdr:rowOff>
    </xdr:from>
    <xdr:to>
      <xdr:col>1</xdr:col>
      <xdr:colOff>1322785</xdr:colOff>
      <xdr:row>18</xdr:row>
      <xdr:rowOff>184547</xdr:rowOff>
    </xdr:to>
    <xdr:sp macro="" textlink="">
      <xdr:nvSpPr>
        <xdr:cNvPr id="25" name="Rectangle 24">
          <a:extLst>
            <a:ext uri="{FF2B5EF4-FFF2-40B4-BE49-F238E27FC236}">
              <a16:creationId xmlns:a16="http://schemas.microsoft.com/office/drawing/2014/main" id="{1FB0689F-082C-4146-8F88-169383D324E8}"/>
            </a:ext>
          </a:extLst>
        </xdr:cNvPr>
        <xdr:cNvSpPr/>
      </xdr:nvSpPr>
      <xdr:spPr>
        <a:xfrm>
          <a:off x="95250" y="2333625"/>
          <a:ext cx="1549004" cy="1101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Future value is positive because money is coming into wallet / purse. This is a withdrawal.</a:t>
          </a:r>
        </a:p>
      </xdr:txBody>
    </xdr:sp>
    <xdr:clientData/>
  </xdr:twoCellAnchor>
  <xdr:twoCellAnchor>
    <xdr:from>
      <xdr:col>1</xdr:col>
      <xdr:colOff>714375</xdr:colOff>
      <xdr:row>11</xdr:row>
      <xdr:rowOff>5953</xdr:rowOff>
    </xdr:from>
    <xdr:to>
      <xdr:col>1</xdr:col>
      <xdr:colOff>2012156</xdr:colOff>
      <xdr:row>13</xdr:row>
      <xdr:rowOff>95251</xdr:rowOff>
    </xdr:to>
    <xdr:cxnSp macro="">
      <xdr:nvCxnSpPr>
        <xdr:cNvPr id="26" name="Straight Arrow Connector 25">
          <a:extLst>
            <a:ext uri="{FF2B5EF4-FFF2-40B4-BE49-F238E27FC236}">
              <a16:creationId xmlns:a16="http://schemas.microsoft.com/office/drawing/2014/main" id="{0EBE9352-274F-4441-9419-058A47BE8007}"/>
            </a:ext>
          </a:extLst>
        </xdr:cNvPr>
        <xdr:cNvCxnSpPr/>
      </xdr:nvCxnSpPr>
      <xdr:spPr>
        <a:xfrm flipV="1">
          <a:off x="1035844" y="1875234"/>
          <a:ext cx="1297781" cy="51792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1321592</xdr:colOff>
      <xdr:row>13</xdr:row>
      <xdr:rowOff>89296</xdr:rowOff>
    </xdr:from>
    <xdr:to>
      <xdr:col>2</xdr:col>
      <xdr:colOff>214312</xdr:colOff>
      <xdr:row>15</xdr:row>
      <xdr:rowOff>47625</xdr:rowOff>
    </xdr:to>
    <xdr:sp macro="" textlink="">
      <xdr:nvSpPr>
        <xdr:cNvPr id="2" name="Rectangle 1">
          <a:extLst>
            <a:ext uri="{FF2B5EF4-FFF2-40B4-BE49-F238E27FC236}">
              <a16:creationId xmlns:a16="http://schemas.microsoft.com/office/drawing/2014/main" id="{42F17AE9-C81E-46EC-8A22-A1E8AADC316A}"/>
            </a:ext>
          </a:extLst>
        </xdr:cNvPr>
        <xdr:cNvSpPr/>
      </xdr:nvSpPr>
      <xdr:spPr>
        <a:xfrm>
          <a:off x="1645442" y="2384821"/>
          <a:ext cx="940595" cy="3393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rate</a:t>
          </a:r>
        </a:p>
      </xdr:txBody>
    </xdr:sp>
    <xdr:clientData/>
  </xdr:twoCellAnchor>
  <xdr:twoCellAnchor>
    <xdr:from>
      <xdr:col>1</xdr:col>
      <xdr:colOff>1309687</xdr:colOff>
      <xdr:row>15</xdr:row>
      <xdr:rowOff>23812</xdr:rowOff>
    </xdr:from>
    <xdr:to>
      <xdr:col>2</xdr:col>
      <xdr:colOff>988219</xdr:colOff>
      <xdr:row>16</xdr:row>
      <xdr:rowOff>113109</xdr:rowOff>
    </xdr:to>
    <xdr:sp macro="" textlink="">
      <xdr:nvSpPr>
        <xdr:cNvPr id="3" name="Rectangle 2">
          <a:extLst>
            <a:ext uri="{FF2B5EF4-FFF2-40B4-BE49-F238E27FC236}">
              <a16:creationId xmlns:a16="http://schemas.microsoft.com/office/drawing/2014/main" id="{AFB236A6-650A-479A-9462-07AF2B6A399C}"/>
            </a:ext>
          </a:extLst>
        </xdr:cNvPr>
        <xdr:cNvSpPr/>
      </xdr:nvSpPr>
      <xdr:spPr>
        <a:xfrm>
          <a:off x="1633537" y="2700337"/>
          <a:ext cx="1726407" cy="27979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Total number of periods</a:t>
          </a:r>
        </a:p>
      </xdr:txBody>
    </xdr:sp>
    <xdr:clientData/>
  </xdr:twoCellAnchor>
  <xdr:twoCellAnchor>
    <xdr:from>
      <xdr:col>2</xdr:col>
      <xdr:colOff>233361</xdr:colOff>
      <xdr:row>16</xdr:row>
      <xdr:rowOff>138112</xdr:rowOff>
    </xdr:from>
    <xdr:to>
      <xdr:col>3</xdr:col>
      <xdr:colOff>1172765</xdr:colOff>
      <xdr:row>18</xdr:row>
      <xdr:rowOff>95249</xdr:rowOff>
    </xdr:to>
    <xdr:sp macro="" textlink="">
      <xdr:nvSpPr>
        <xdr:cNvPr id="4" name="Rectangle 3">
          <a:extLst>
            <a:ext uri="{FF2B5EF4-FFF2-40B4-BE49-F238E27FC236}">
              <a16:creationId xmlns:a16="http://schemas.microsoft.com/office/drawing/2014/main" id="{155367D8-78C2-44F6-91EB-62BCC900F1F7}"/>
            </a:ext>
          </a:extLst>
        </xdr:cNvPr>
        <xdr:cNvSpPr/>
      </xdr:nvSpPr>
      <xdr:spPr>
        <a:xfrm>
          <a:off x="2602705" y="3007518"/>
          <a:ext cx="2243138" cy="3381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No pmt, so argument skipped</a:t>
          </a:r>
        </a:p>
      </xdr:txBody>
    </xdr:sp>
    <xdr:clientData/>
  </xdr:twoCellAnchor>
  <xdr:twoCellAnchor>
    <xdr:from>
      <xdr:col>2</xdr:col>
      <xdr:colOff>1100135</xdr:colOff>
      <xdr:row>14</xdr:row>
      <xdr:rowOff>119062</xdr:rowOff>
    </xdr:from>
    <xdr:to>
      <xdr:col>3</xdr:col>
      <xdr:colOff>2274092</xdr:colOff>
      <xdr:row>17</xdr:row>
      <xdr:rowOff>80961</xdr:rowOff>
    </xdr:to>
    <xdr:sp macro="" textlink="">
      <xdr:nvSpPr>
        <xdr:cNvPr id="5" name="Rectangle 4">
          <a:extLst>
            <a:ext uri="{FF2B5EF4-FFF2-40B4-BE49-F238E27FC236}">
              <a16:creationId xmlns:a16="http://schemas.microsoft.com/office/drawing/2014/main" id="{C9C10857-2093-4D1A-8AB2-28BD3C9C1BD7}"/>
            </a:ext>
          </a:extLst>
        </xdr:cNvPr>
        <xdr:cNvSpPr/>
      </xdr:nvSpPr>
      <xdr:spPr>
        <a:xfrm>
          <a:off x="3471860" y="2605087"/>
          <a:ext cx="2478882" cy="5333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Present value must be negative because $ coming out of wallet / purse</a:t>
          </a:r>
        </a:p>
      </xdr:txBody>
    </xdr:sp>
    <xdr:clientData/>
  </xdr:twoCellAnchor>
  <xdr:twoCellAnchor>
    <xdr:from>
      <xdr:col>3</xdr:col>
      <xdr:colOff>484574</xdr:colOff>
      <xdr:row>13</xdr:row>
      <xdr:rowOff>101203</xdr:rowOff>
    </xdr:from>
    <xdr:to>
      <xdr:col>4</xdr:col>
      <xdr:colOff>239306</xdr:colOff>
      <xdr:row>15</xdr:row>
      <xdr:rowOff>42863</xdr:rowOff>
    </xdr:to>
    <xdr:sp macro="" textlink="">
      <xdr:nvSpPr>
        <xdr:cNvPr id="6" name="Rectangle 5">
          <a:extLst>
            <a:ext uri="{FF2B5EF4-FFF2-40B4-BE49-F238E27FC236}">
              <a16:creationId xmlns:a16="http://schemas.microsoft.com/office/drawing/2014/main" id="{A12762D7-8EF0-408C-A534-5A48FC0219B4}"/>
            </a:ext>
          </a:extLst>
        </xdr:cNvPr>
        <xdr:cNvSpPr/>
      </xdr:nvSpPr>
      <xdr:spPr>
        <a:xfrm>
          <a:off x="4161224" y="2396728"/>
          <a:ext cx="2240757" cy="322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No annuity so type is omitted</a:t>
          </a:r>
        </a:p>
      </xdr:txBody>
    </xdr:sp>
    <xdr:clientData/>
  </xdr:twoCellAnchor>
  <xdr:twoCellAnchor>
    <xdr:from>
      <xdr:col>1</xdr:col>
      <xdr:colOff>1815703</xdr:colOff>
      <xdr:row>12</xdr:row>
      <xdr:rowOff>214313</xdr:rowOff>
    </xdr:from>
    <xdr:to>
      <xdr:col>1</xdr:col>
      <xdr:colOff>2030015</xdr:colOff>
      <xdr:row>13</xdr:row>
      <xdr:rowOff>160736</xdr:rowOff>
    </xdr:to>
    <xdr:cxnSp macro="">
      <xdr:nvCxnSpPr>
        <xdr:cNvPr id="7" name="Straight Arrow Connector 6">
          <a:extLst>
            <a:ext uri="{FF2B5EF4-FFF2-40B4-BE49-F238E27FC236}">
              <a16:creationId xmlns:a16="http://schemas.microsoft.com/office/drawing/2014/main" id="{75484FFB-1ED9-4B0D-9496-CD41CABC1448}"/>
            </a:ext>
          </a:extLst>
        </xdr:cNvPr>
        <xdr:cNvCxnSpPr/>
      </xdr:nvCxnSpPr>
      <xdr:spPr>
        <a:xfrm flipV="1">
          <a:off x="2139553" y="2271713"/>
          <a:ext cx="214312" cy="18454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154781</xdr:colOff>
      <xdr:row>13</xdr:row>
      <xdr:rowOff>29766</xdr:rowOff>
    </xdr:from>
    <xdr:to>
      <xdr:col>2</xdr:col>
      <xdr:colOff>404812</xdr:colOff>
      <xdr:row>15</xdr:row>
      <xdr:rowOff>95252</xdr:rowOff>
    </xdr:to>
    <xdr:cxnSp macro="">
      <xdr:nvCxnSpPr>
        <xdr:cNvPr id="8" name="Straight Arrow Connector 7">
          <a:extLst>
            <a:ext uri="{FF2B5EF4-FFF2-40B4-BE49-F238E27FC236}">
              <a16:creationId xmlns:a16="http://schemas.microsoft.com/office/drawing/2014/main" id="{6D590311-DF85-46FD-BE58-6C6BFE7C5600}"/>
            </a:ext>
          </a:extLst>
        </xdr:cNvPr>
        <xdr:cNvCxnSpPr/>
      </xdr:nvCxnSpPr>
      <xdr:spPr>
        <a:xfrm flipV="1">
          <a:off x="2524125" y="2327672"/>
          <a:ext cx="250031" cy="44648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940592</xdr:colOff>
      <xdr:row>12</xdr:row>
      <xdr:rowOff>232172</xdr:rowOff>
    </xdr:from>
    <xdr:to>
      <xdr:col>2</xdr:col>
      <xdr:colOff>940593</xdr:colOff>
      <xdr:row>16</xdr:row>
      <xdr:rowOff>184547</xdr:rowOff>
    </xdr:to>
    <xdr:cxnSp macro="">
      <xdr:nvCxnSpPr>
        <xdr:cNvPr id="9" name="Straight Arrow Connector 8">
          <a:extLst>
            <a:ext uri="{FF2B5EF4-FFF2-40B4-BE49-F238E27FC236}">
              <a16:creationId xmlns:a16="http://schemas.microsoft.com/office/drawing/2014/main" id="{0183AA00-D475-4218-A472-293C07080F40}"/>
            </a:ext>
          </a:extLst>
        </xdr:cNvPr>
        <xdr:cNvCxnSpPr/>
      </xdr:nvCxnSpPr>
      <xdr:spPr>
        <a:xfrm flipH="1" flipV="1">
          <a:off x="3309936" y="2291953"/>
          <a:ext cx="1" cy="76200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130969</xdr:colOff>
      <xdr:row>13</xdr:row>
      <xdr:rowOff>0</xdr:rowOff>
    </xdr:from>
    <xdr:to>
      <xdr:col>3</xdr:col>
      <xdr:colOff>321470</xdr:colOff>
      <xdr:row>14</xdr:row>
      <xdr:rowOff>184547</xdr:rowOff>
    </xdr:to>
    <xdr:cxnSp macro="">
      <xdr:nvCxnSpPr>
        <xdr:cNvPr id="10" name="Straight Arrow Connector 9">
          <a:extLst>
            <a:ext uri="{FF2B5EF4-FFF2-40B4-BE49-F238E27FC236}">
              <a16:creationId xmlns:a16="http://schemas.microsoft.com/office/drawing/2014/main" id="{62073751-20D5-4711-AA3B-F082D9F06FC8}"/>
            </a:ext>
          </a:extLst>
        </xdr:cNvPr>
        <xdr:cNvCxnSpPr/>
      </xdr:nvCxnSpPr>
      <xdr:spPr>
        <a:xfrm flipH="1" flipV="1">
          <a:off x="3807619" y="2295525"/>
          <a:ext cx="190501" cy="37504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636984</xdr:colOff>
      <xdr:row>12</xdr:row>
      <xdr:rowOff>220266</xdr:rowOff>
    </xdr:from>
    <xdr:to>
      <xdr:col>3</xdr:col>
      <xdr:colOff>756047</xdr:colOff>
      <xdr:row>13</xdr:row>
      <xdr:rowOff>178594</xdr:rowOff>
    </xdr:to>
    <xdr:cxnSp macro="">
      <xdr:nvCxnSpPr>
        <xdr:cNvPr id="11" name="Straight Arrow Connector 10">
          <a:extLst>
            <a:ext uri="{FF2B5EF4-FFF2-40B4-BE49-F238E27FC236}">
              <a16:creationId xmlns:a16="http://schemas.microsoft.com/office/drawing/2014/main" id="{7162E892-6D78-4542-932C-8AD6E902ECFF}"/>
            </a:ext>
          </a:extLst>
        </xdr:cNvPr>
        <xdr:cNvCxnSpPr/>
      </xdr:nvCxnSpPr>
      <xdr:spPr>
        <a:xfrm flipH="1" flipV="1">
          <a:off x="4313634" y="2277666"/>
          <a:ext cx="119063" cy="19645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95250</xdr:colOff>
      <xdr:row>13</xdr:row>
      <xdr:rowOff>35719</xdr:rowOff>
    </xdr:from>
    <xdr:to>
      <xdr:col>1</xdr:col>
      <xdr:colOff>1322785</xdr:colOff>
      <xdr:row>18</xdr:row>
      <xdr:rowOff>160735</xdr:rowOff>
    </xdr:to>
    <xdr:sp macro="" textlink="">
      <xdr:nvSpPr>
        <xdr:cNvPr id="12" name="Rectangle 11">
          <a:extLst>
            <a:ext uri="{FF2B5EF4-FFF2-40B4-BE49-F238E27FC236}">
              <a16:creationId xmlns:a16="http://schemas.microsoft.com/office/drawing/2014/main" id="{846995CC-2E9A-4820-A6D4-E086A8A4A45C}"/>
            </a:ext>
          </a:extLst>
        </xdr:cNvPr>
        <xdr:cNvSpPr/>
      </xdr:nvSpPr>
      <xdr:spPr>
        <a:xfrm>
          <a:off x="95250" y="2333625"/>
          <a:ext cx="1549004" cy="10775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Future value is positive because money is coming into wallet / purse. This is a withdrawal.</a:t>
          </a:r>
        </a:p>
      </xdr:txBody>
    </xdr:sp>
    <xdr:clientData/>
  </xdr:twoCellAnchor>
  <xdr:twoCellAnchor>
    <xdr:from>
      <xdr:col>1</xdr:col>
      <xdr:colOff>714375</xdr:colOff>
      <xdr:row>10</xdr:row>
      <xdr:rowOff>172641</xdr:rowOff>
    </xdr:from>
    <xdr:to>
      <xdr:col>2</xdr:col>
      <xdr:colOff>29765</xdr:colOff>
      <xdr:row>13</xdr:row>
      <xdr:rowOff>95250</xdr:rowOff>
    </xdr:to>
    <xdr:cxnSp macro="">
      <xdr:nvCxnSpPr>
        <xdr:cNvPr id="14" name="Straight Arrow Connector 13">
          <a:extLst>
            <a:ext uri="{FF2B5EF4-FFF2-40B4-BE49-F238E27FC236}">
              <a16:creationId xmlns:a16="http://schemas.microsoft.com/office/drawing/2014/main" id="{3A1ADDD7-7521-42B3-A330-39C9F7375700}"/>
            </a:ext>
          </a:extLst>
        </xdr:cNvPr>
        <xdr:cNvCxnSpPr/>
      </xdr:nvCxnSpPr>
      <xdr:spPr>
        <a:xfrm flipV="1">
          <a:off x="1035844" y="1851422"/>
          <a:ext cx="1363265" cy="54173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1615349</xdr:colOff>
      <xdr:row>17</xdr:row>
      <xdr:rowOff>89296</xdr:rowOff>
    </xdr:from>
    <xdr:to>
      <xdr:col>2</xdr:col>
      <xdr:colOff>508069</xdr:colOff>
      <xdr:row>19</xdr:row>
      <xdr:rowOff>47625</xdr:rowOff>
    </xdr:to>
    <xdr:sp macro="" textlink="">
      <xdr:nvSpPr>
        <xdr:cNvPr id="2" name="Rectangle 1">
          <a:extLst>
            <a:ext uri="{FF2B5EF4-FFF2-40B4-BE49-F238E27FC236}">
              <a16:creationId xmlns:a16="http://schemas.microsoft.com/office/drawing/2014/main" id="{19769BAF-CF7E-4C7C-B194-4A25E1F746A8}"/>
            </a:ext>
          </a:extLst>
        </xdr:cNvPr>
        <xdr:cNvSpPr/>
      </xdr:nvSpPr>
      <xdr:spPr>
        <a:xfrm>
          <a:off x="1939199" y="3146821"/>
          <a:ext cx="1388270" cy="3393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rate</a:t>
          </a:r>
        </a:p>
      </xdr:txBody>
    </xdr:sp>
    <xdr:clientData/>
  </xdr:twoCellAnchor>
  <xdr:twoCellAnchor>
    <xdr:from>
      <xdr:col>1</xdr:col>
      <xdr:colOff>1546171</xdr:colOff>
      <xdr:row>19</xdr:row>
      <xdr:rowOff>23812</xdr:rowOff>
    </xdr:from>
    <xdr:to>
      <xdr:col>2</xdr:col>
      <xdr:colOff>1224703</xdr:colOff>
      <xdr:row>20</xdr:row>
      <xdr:rowOff>113109</xdr:rowOff>
    </xdr:to>
    <xdr:sp macro="" textlink="">
      <xdr:nvSpPr>
        <xdr:cNvPr id="3" name="Rectangle 2">
          <a:extLst>
            <a:ext uri="{FF2B5EF4-FFF2-40B4-BE49-F238E27FC236}">
              <a16:creationId xmlns:a16="http://schemas.microsoft.com/office/drawing/2014/main" id="{820D5456-8C87-415E-88ED-EE41840E6A56}"/>
            </a:ext>
          </a:extLst>
        </xdr:cNvPr>
        <xdr:cNvSpPr/>
      </xdr:nvSpPr>
      <xdr:spPr>
        <a:xfrm>
          <a:off x="1870021" y="3462337"/>
          <a:ext cx="2174082" cy="27979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Total number of periods</a:t>
          </a:r>
        </a:p>
      </xdr:txBody>
    </xdr:sp>
    <xdr:clientData/>
  </xdr:twoCellAnchor>
  <xdr:twoCellAnchor>
    <xdr:from>
      <xdr:col>1</xdr:col>
      <xdr:colOff>2480772</xdr:colOff>
      <xdr:row>20</xdr:row>
      <xdr:rowOff>138112</xdr:rowOff>
    </xdr:from>
    <xdr:to>
      <xdr:col>3</xdr:col>
      <xdr:colOff>961536</xdr:colOff>
      <xdr:row>24</xdr:row>
      <xdr:rowOff>47625</xdr:rowOff>
    </xdr:to>
    <xdr:sp macro="" textlink="">
      <xdr:nvSpPr>
        <xdr:cNvPr id="4" name="Rectangle 3">
          <a:extLst>
            <a:ext uri="{FF2B5EF4-FFF2-40B4-BE49-F238E27FC236}">
              <a16:creationId xmlns:a16="http://schemas.microsoft.com/office/drawing/2014/main" id="{2EAB4F63-BCA3-414B-B2DA-2149CFC9D751}"/>
            </a:ext>
          </a:extLst>
        </xdr:cNvPr>
        <xdr:cNvSpPr/>
      </xdr:nvSpPr>
      <xdr:spPr>
        <a:xfrm>
          <a:off x="2804622" y="3767137"/>
          <a:ext cx="2281239" cy="6715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Payment is negative because money comes out of wallet / purse</a:t>
          </a:r>
        </a:p>
      </xdr:txBody>
    </xdr:sp>
    <xdr:clientData/>
  </xdr:twoCellAnchor>
  <xdr:twoCellAnchor>
    <xdr:from>
      <xdr:col>3</xdr:col>
      <xdr:colOff>49102</xdr:colOff>
      <xdr:row>18</xdr:row>
      <xdr:rowOff>132200</xdr:rowOff>
    </xdr:from>
    <xdr:to>
      <xdr:col>3</xdr:col>
      <xdr:colOff>2450224</xdr:colOff>
      <xdr:row>21</xdr:row>
      <xdr:rowOff>94099</xdr:rowOff>
    </xdr:to>
    <xdr:sp macro="" textlink="">
      <xdr:nvSpPr>
        <xdr:cNvPr id="5" name="Rectangle 4">
          <a:extLst>
            <a:ext uri="{FF2B5EF4-FFF2-40B4-BE49-F238E27FC236}">
              <a16:creationId xmlns:a16="http://schemas.microsoft.com/office/drawing/2014/main" id="{A8912D27-357B-4748-A0F7-DC55BC34E405}"/>
            </a:ext>
          </a:extLst>
        </xdr:cNvPr>
        <xdr:cNvSpPr/>
      </xdr:nvSpPr>
      <xdr:spPr>
        <a:xfrm>
          <a:off x="4174412" y="3383838"/>
          <a:ext cx="2401122" cy="5333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Present value is negative because money comes out of wallet / purse </a:t>
          </a:r>
        </a:p>
      </xdr:txBody>
    </xdr:sp>
    <xdr:clientData/>
  </xdr:twoCellAnchor>
  <xdr:twoCellAnchor>
    <xdr:from>
      <xdr:col>3</xdr:col>
      <xdr:colOff>478005</xdr:colOff>
      <xdr:row>17</xdr:row>
      <xdr:rowOff>61789</xdr:rowOff>
    </xdr:from>
    <xdr:to>
      <xdr:col>4</xdr:col>
      <xdr:colOff>232737</xdr:colOff>
      <xdr:row>19</xdr:row>
      <xdr:rowOff>3449</xdr:rowOff>
    </xdr:to>
    <xdr:sp macro="" textlink="">
      <xdr:nvSpPr>
        <xdr:cNvPr id="6" name="Rectangle 5">
          <a:extLst>
            <a:ext uri="{FF2B5EF4-FFF2-40B4-BE49-F238E27FC236}">
              <a16:creationId xmlns:a16="http://schemas.microsoft.com/office/drawing/2014/main" id="{246E4B5D-63A2-4EFD-BCE5-9291D88E9C41}"/>
            </a:ext>
          </a:extLst>
        </xdr:cNvPr>
        <xdr:cNvSpPr/>
      </xdr:nvSpPr>
      <xdr:spPr>
        <a:xfrm>
          <a:off x="4602330" y="3119314"/>
          <a:ext cx="2393157" cy="322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Annuity is End, so type is omitted</a:t>
          </a:r>
        </a:p>
      </xdr:txBody>
    </xdr:sp>
    <xdr:clientData/>
  </xdr:twoCellAnchor>
  <xdr:twoCellAnchor>
    <xdr:from>
      <xdr:col>1</xdr:col>
      <xdr:colOff>2109460</xdr:colOff>
      <xdr:row>16</xdr:row>
      <xdr:rowOff>214313</xdr:rowOff>
    </xdr:from>
    <xdr:to>
      <xdr:col>1</xdr:col>
      <xdr:colOff>2323772</xdr:colOff>
      <xdr:row>17</xdr:row>
      <xdr:rowOff>160736</xdr:rowOff>
    </xdr:to>
    <xdr:cxnSp macro="">
      <xdr:nvCxnSpPr>
        <xdr:cNvPr id="7" name="Straight Arrow Connector 6">
          <a:extLst>
            <a:ext uri="{FF2B5EF4-FFF2-40B4-BE49-F238E27FC236}">
              <a16:creationId xmlns:a16="http://schemas.microsoft.com/office/drawing/2014/main" id="{AF7775F3-A437-44C4-8590-8D50468D1628}"/>
            </a:ext>
          </a:extLst>
        </xdr:cNvPr>
        <xdr:cNvCxnSpPr/>
      </xdr:nvCxnSpPr>
      <xdr:spPr>
        <a:xfrm flipV="1">
          <a:off x="2433310" y="3033713"/>
          <a:ext cx="214312" cy="18454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2445099</xdr:colOff>
      <xdr:row>16</xdr:row>
      <xdr:rowOff>226219</xdr:rowOff>
    </xdr:from>
    <xdr:to>
      <xdr:col>2</xdr:col>
      <xdr:colOff>266256</xdr:colOff>
      <xdr:row>19</xdr:row>
      <xdr:rowOff>95251</xdr:rowOff>
    </xdr:to>
    <xdr:cxnSp macro="">
      <xdr:nvCxnSpPr>
        <xdr:cNvPr id="8" name="Straight Arrow Connector 7">
          <a:extLst>
            <a:ext uri="{FF2B5EF4-FFF2-40B4-BE49-F238E27FC236}">
              <a16:creationId xmlns:a16="http://schemas.microsoft.com/office/drawing/2014/main" id="{4A9B879A-4D93-4AFB-8178-A19CBC3C7F66}"/>
            </a:ext>
          </a:extLst>
        </xdr:cNvPr>
        <xdr:cNvCxnSpPr/>
      </xdr:nvCxnSpPr>
      <xdr:spPr>
        <a:xfrm flipV="1">
          <a:off x="2768949" y="3045619"/>
          <a:ext cx="316707" cy="48815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788896</xdr:colOff>
      <xdr:row>16</xdr:row>
      <xdr:rowOff>226219</xdr:rowOff>
    </xdr:from>
    <xdr:to>
      <xdr:col>2</xdr:col>
      <xdr:colOff>788897</xdr:colOff>
      <xdr:row>20</xdr:row>
      <xdr:rowOff>178594</xdr:rowOff>
    </xdr:to>
    <xdr:cxnSp macro="">
      <xdr:nvCxnSpPr>
        <xdr:cNvPr id="9" name="Straight Arrow Connector 8">
          <a:extLst>
            <a:ext uri="{FF2B5EF4-FFF2-40B4-BE49-F238E27FC236}">
              <a16:creationId xmlns:a16="http://schemas.microsoft.com/office/drawing/2014/main" id="{511C0D71-1C15-46D0-9658-DCA80D1C336C}"/>
            </a:ext>
          </a:extLst>
        </xdr:cNvPr>
        <xdr:cNvCxnSpPr/>
      </xdr:nvCxnSpPr>
      <xdr:spPr>
        <a:xfrm flipH="1" flipV="1">
          <a:off x="3608296" y="3045619"/>
          <a:ext cx="1" cy="76200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1247693</xdr:colOff>
      <xdr:row>17</xdr:row>
      <xdr:rowOff>0</xdr:rowOff>
    </xdr:from>
    <xdr:to>
      <xdr:col>3</xdr:col>
      <xdr:colOff>130970</xdr:colOff>
      <xdr:row>18</xdr:row>
      <xdr:rowOff>184547</xdr:rowOff>
    </xdr:to>
    <xdr:cxnSp macro="">
      <xdr:nvCxnSpPr>
        <xdr:cNvPr id="10" name="Straight Arrow Connector 9">
          <a:extLst>
            <a:ext uri="{FF2B5EF4-FFF2-40B4-BE49-F238E27FC236}">
              <a16:creationId xmlns:a16="http://schemas.microsoft.com/office/drawing/2014/main" id="{3C5BCFFA-3C7A-4843-9BA9-9248E430E980}"/>
            </a:ext>
          </a:extLst>
        </xdr:cNvPr>
        <xdr:cNvCxnSpPr/>
      </xdr:nvCxnSpPr>
      <xdr:spPr>
        <a:xfrm flipH="1" flipV="1">
          <a:off x="4067093" y="3057525"/>
          <a:ext cx="188202" cy="37504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426776</xdr:colOff>
      <xdr:row>16</xdr:row>
      <xdr:rowOff>220266</xdr:rowOff>
    </xdr:from>
    <xdr:to>
      <xdr:col>3</xdr:col>
      <xdr:colOff>545839</xdr:colOff>
      <xdr:row>17</xdr:row>
      <xdr:rowOff>178594</xdr:rowOff>
    </xdr:to>
    <xdr:cxnSp macro="">
      <xdr:nvCxnSpPr>
        <xdr:cNvPr id="11" name="Straight Arrow Connector 10">
          <a:extLst>
            <a:ext uri="{FF2B5EF4-FFF2-40B4-BE49-F238E27FC236}">
              <a16:creationId xmlns:a16="http://schemas.microsoft.com/office/drawing/2014/main" id="{38F105DC-2B9A-4CAF-B9EF-E65315733425}"/>
            </a:ext>
          </a:extLst>
        </xdr:cNvPr>
        <xdr:cNvCxnSpPr/>
      </xdr:nvCxnSpPr>
      <xdr:spPr>
        <a:xfrm flipH="1" flipV="1">
          <a:off x="4551101" y="3039666"/>
          <a:ext cx="119063" cy="19645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95250</xdr:colOff>
      <xdr:row>17</xdr:row>
      <xdr:rowOff>35719</xdr:rowOff>
    </xdr:from>
    <xdr:to>
      <xdr:col>1</xdr:col>
      <xdr:colOff>1322785</xdr:colOff>
      <xdr:row>23</xdr:row>
      <xdr:rowOff>39414</xdr:rowOff>
    </xdr:to>
    <xdr:sp macro="" textlink="">
      <xdr:nvSpPr>
        <xdr:cNvPr id="12" name="Rectangle 11">
          <a:extLst>
            <a:ext uri="{FF2B5EF4-FFF2-40B4-BE49-F238E27FC236}">
              <a16:creationId xmlns:a16="http://schemas.microsoft.com/office/drawing/2014/main" id="{7D977C66-94CB-448F-A6FC-64C6B156A3E9}"/>
            </a:ext>
          </a:extLst>
        </xdr:cNvPr>
        <xdr:cNvSpPr/>
      </xdr:nvSpPr>
      <xdr:spPr>
        <a:xfrm>
          <a:off x="95250" y="3096857"/>
          <a:ext cx="1549414" cy="1146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Future value is positive because money is coming into wallet / purse. This is a withdrawal.</a:t>
          </a:r>
        </a:p>
      </xdr:txBody>
    </xdr:sp>
    <xdr:clientData/>
  </xdr:twoCellAnchor>
  <xdr:twoCellAnchor>
    <xdr:from>
      <xdr:col>1</xdr:col>
      <xdr:colOff>714375</xdr:colOff>
      <xdr:row>13</xdr:row>
      <xdr:rowOff>0</xdr:rowOff>
    </xdr:from>
    <xdr:to>
      <xdr:col>2</xdr:col>
      <xdr:colOff>41672</xdr:colOff>
      <xdr:row>17</xdr:row>
      <xdr:rowOff>95251</xdr:rowOff>
    </xdr:to>
    <xdr:cxnSp macro="">
      <xdr:nvCxnSpPr>
        <xdr:cNvPr id="13" name="Straight Arrow Connector 12">
          <a:extLst>
            <a:ext uri="{FF2B5EF4-FFF2-40B4-BE49-F238E27FC236}">
              <a16:creationId xmlns:a16="http://schemas.microsoft.com/office/drawing/2014/main" id="{C19181A7-F6F6-4E39-8334-E6F660DD4659}"/>
            </a:ext>
          </a:extLst>
        </xdr:cNvPr>
        <xdr:cNvCxnSpPr/>
      </xdr:nvCxnSpPr>
      <xdr:spPr>
        <a:xfrm flipV="1">
          <a:off x="1038225" y="2247900"/>
          <a:ext cx="1822847" cy="90487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72260</xdr:colOff>
      <xdr:row>4</xdr:row>
      <xdr:rowOff>111673</xdr:rowOff>
    </xdr:from>
    <xdr:to>
      <xdr:col>3</xdr:col>
      <xdr:colOff>400707</xdr:colOff>
      <xdr:row>4</xdr:row>
      <xdr:rowOff>111673</xdr:rowOff>
    </xdr:to>
    <xdr:cxnSp macro="">
      <xdr:nvCxnSpPr>
        <xdr:cNvPr id="14" name="Straight Arrow Connector 13">
          <a:extLst>
            <a:ext uri="{FF2B5EF4-FFF2-40B4-BE49-F238E27FC236}">
              <a16:creationId xmlns:a16="http://schemas.microsoft.com/office/drawing/2014/main" id="{F60D0188-AA7C-4DED-A115-7FA1CAEA5872}"/>
            </a:ext>
          </a:extLst>
        </xdr:cNvPr>
        <xdr:cNvCxnSpPr/>
      </xdr:nvCxnSpPr>
      <xdr:spPr>
        <a:xfrm flipH="1">
          <a:off x="4196585" y="645073"/>
          <a:ext cx="328447"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1615349</xdr:colOff>
      <xdr:row>17</xdr:row>
      <xdr:rowOff>89296</xdr:rowOff>
    </xdr:from>
    <xdr:to>
      <xdr:col>2</xdr:col>
      <xdr:colOff>508069</xdr:colOff>
      <xdr:row>19</xdr:row>
      <xdr:rowOff>47625</xdr:rowOff>
    </xdr:to>
    <xdr:sp macro="" textlink="">
      <xdr:nvSpPr>
        <xdr:cNvPr id="2" name="Rectangle 1">
          <a:extLst>
            <a:ext uri="{FF2B5EF4-FFF2-40B4-BE49-F238E27FC236}">
              <a16:creationId xmlns:a16="http://schemas.microsoft.com/office/drawing/2014/main" id="{17814D24-586D-4A60-860B-81A1DF5344C5}"/>
            </a:ext>
          </a:extLst>
        </xdr:cNvPr>
        <xdr:cNvSpPr/>
      </xdr:nvSpPr>
      <xdr:spPr>
        <a:xfrm>
          <a:off x="1939199" y="3146821"/>
          <a:ext cx="1388270" cy="3393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rate</a:t>
          </a:r>
        </a:p>
      </xdr:txBody>
    </xdr:sp>
    <xdr:clientData/>
  </xdr:twoCellAnchor>
  <xdr:twoCellAnchor>
    <xdr:from>
      <xdr:col>1</xdr:col>
      <xdr:colOff>1546171</xdr:colOff>
      <xdr:row>19</xdr:row>
      <xdr:rowOff>23812</xdr:rowOff>
    </xdr:from>
    <xdr:to>
      <xdr:col>2</xdr:col>
      <xdr:colOff>1224703</xdr:colOff>
      <xdr:row>20</xdr:row>
      <xdr:rowOff>113109</xdr:rowOff>
    </xdr:to>
    <xdr:sp macro="" textlink="">
      <xdr:nvSpPr>
        <xdr:cNvPr id="3" name="Rectangle 2">
          <a:extLst>
            <a:ext uri="{FF2B5EF4-FFF2-40B4-BE49-F238E27FC236}">
              <a16:creationId xmlns:a16="http://schemas.microsoft.com/office/drawing/2014/main" id="{02031148-3E23-4F51-A4D0-28DB9C861627}"/>
            </a:ext>
          </a:extLst>
        </xdr:cNvPr>
        <xdr:cNvSpPr/>
      </xdr:nvSpPr>
      <xdr:spPr>
        <a:xfrm>
          <a:off x="1870021" y="3462337"/>
          <a:ext cx="2174082" cy="27979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Total number of periods</a:t>
          </a:r>
        </a:p>
      </xdr:txBody>
    </xdr:sp>
    <xdr:clientData/>
  </xdr:twoCellAnchor>
  <xdr:twoCellAnchor>
    <xdr:from>
      <xdr:col>1</xdr:col>
      <xdr:colOff>2480772</xdr:colOff>
      <xdr:row>20</xdr:row>
      <xdr:rowOff>138112</xdr:rowOff>
    </xdr:from>
    <xdr:to>
      <xdr:col>3</xdr:col>
      <xdr:colOff>961536</xdr:colOff>
      <xdr:row>24</xdr:row>
      <xdr:rowOff>47625</xdr:rowOff>
    </xdr:to>
    <xdr:sp macro="" textlink="">
      <xdr:nvSpPr>
        <xdr:cNvPr id="4" name="Rectangle 3">
          <a:extLst>
            <a:ext uri="{FF2B5EF4-FFF2-40B4-BE49-F238E27FC236}">
              <a16:creationId xmlns:a16="http://schemas.microsoft.com/office/drawing/2014/main" id="{BC35B4B8-817F-4EEA-B5EE-7D860A3B3A19}"/>
            </a:ext>
          </a:extLst>
        </xdr:cNvPr>
        <xdr:cNvSpPr/>
      </xdr:nvSpPr>
      <xdr:spPr>
        <a:xfrm>
          <a:off x="2804622" y="3767137"/>
          <a:ext cx="2281239" cy="6715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Payment is negative because money comes out of wallet / purse</a:t>
          </a:r>
        </a:p>
      </xdr:txBody>
    </xdr:sp>
    <xdr:clientData/>
  </xdr:twoCellAnchor>
  <xdr:twoCellAnchor>
    <xdr:from>
      <xdr:col>3</xdr:col>
      <xdr:colOff>49102</xdr:colOff>
      <xdr:row>18</xdr:row>
      <xdr:rowOff>132200</xdr:rowOff>
    </xdr:from>
    <xdr:to>
      <xdr:col>3</xdr:col>
      <xdr:colOff>2483069</xdr:colOff>
      <xdr:row>21</xdr:row>
      <xdr:rowOff>94099</xdr:rowOff>
    </xdr:to>
    <xdr:sp macro="" textlink="">
      <xdr:nvSpPr>
        <xdr:cNvPr id="5" name="Rectangle 4">
          <a:extLst>
            <a:ext uri="{FF2B5EF4-FFF2-40B4-BE49-F238E27FC236}">
              <a16:creationId xmlns:a16="http://schemas.microsoft.com/office/drawing/2014/main" id="{F4C9EDFB-3A0C-4B7C-BF97-B77E25545039}"/>
            </a:ext>
          </a:extLst>
        </xdr:cNvPr>
        <xdr:cNvSpPr/>
      </xdr:nvSpPr>
      <xdr:spPr>
        <a:xfrm>
          <a:off x="4174412" y="3383838"/>
          <a:ext cx="2433967" cy="5333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Present value is negative because money comes out of wallet / purse </a:t>
          </a:r>
        </a:p>
      </xdr:txBody>
    </xdr:sp>
    <xdr:clientData/>
  </xdr:twoCellAnchor>
  <xdr:twoCellAnchor>
    <xdr:from>
      <xdr:col>3</xdr:col>
      <xdr:colOff>478005</xdr:colOff>
      <xdr:row>17</xdr:row>
      <xdr:rowOff>61789</xdr:rowOff>
    </xdr:from>
    <xdr:to>
      <xdr:col>4</xdr:col>
      <xdr:colOff>232737</xdr:colOff>
      <xdr:row>19</xdr:row>
      <xdr:rowOff>3449</xdr:rowOff>
    </xdr:to>
    <xdr:sp macro="" textlink="">
      <xdr:nvSpPr>
        <xdr:cNvPr id="6" name="Rectangle 5">
          <a:extLst>
            <a:ext uri="{FF2B5EF4-FFF2-40B4-BE49-F238E27FC236}">
              <a16:creationId xmlns:a16="http://schemas.microsoft.com/office/drawing/2014/main" id="{FFEB6DDB-573C-44B1-893E-C15FF8DE68E4}"/>
            </a:ext>
          </a:extLst>
        </xdr:cNvPr>
        <xdr:cNvSpPr/>
      </xdr:nvSpPr>
      <xdr:spPr>
        <a:xfrm>
          <a:off x="4602330" y="3119314"/>
          <a:ext cx="2336007" cy="322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Annuity is End, so type is omitted</a:t>
          </a:r>
        </a:p>
      </xdr:txBody>
    </xdr:sp>
    <xdr:clientData/>
  </xdr:twoCellAnchor>
  <xdr:twoCellAnchor>
    <xdr:from>
      <xdr:col>1</xdr:col>
      <xdr:colOff>2109460</xdr:colOff>
      <xdr:row>16</xdr:row>
      <xdr:rowOff>214313</xdr:rowOff>
    </xdr:from>
    <xdr:to>
      <xdr:col>1</xdr:col>
      <xdr:colOff>2323772</xdr:colOff>
      <xdr:row>17</xdr:row>
      <xdr:rowOff>160736</xdr:rowOff>
    </xdr:to>
    <xdr:cxnSp macro="">
      <xdr:nvCxnSpPr>
        <xdr:cNvPr id="7" name="Straight Arrow Connector 6">
          <a:extLst>
            <a:ext uri="{FF2B5EF4-FFF2-40B4-BE49-F238E27FC236}">
              <a16:creationId xmlns:a16="http://schemas.microsoft.com/office/drawing/2014/main" id="{6746BAAB-5DDE-48C0-9F95-BAD0EEF03C95}"/>
            </a:ext>
          </a:extLst>
        </xdr:cNvPr>
        <xdr:cNvCxnSpPr/>
      </xdr:nvCxnSpPr>
      <xdr:spPr>
        <a:xfrm flipV="1">
          <a:off x="2433310" y="3033713"/>
          <a:ext cx="214312" cy="18454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2445099</xdr:colOff>
      <xdr:row>16</xdr:row>
      <xdr:rowOff>226219</xdr:rowOff>
    </xdr:from>
    <xdr:to>
      <xdr:col>2</xdr:col>
      <xdr:colOff>266256</xdr:colOff>
      <xdr:row>19</xdr:row>
      <xdr:rowOff>95251</xdr:rowOff>
    </xdr:to>
    <xdr:cxnSp macro="">
      <xdr:nvCxnSpPr>
        <xdr:cNvPr id="8" name="Straight Arrow Connector 7">
          <a:extLst>
            <a:ext uri="{FF2B5EF4-FFF2-40B4-BE49-F238E27FC236}">
              <a16:creationId xmlns:a16="http://schemas.microsoft.com/office/drawing/2014/main" id="{D5FC6F10-EAC0-49F9-8C70-042B3CE47ACF}"/>
            </a:ext>
          </a:extLst>
        </xdr:cNvPr>
        <xdr:cNvCxnSpPr/>
      </xdr:nvCxnSpPr>
      <xdr:spPr>
        <a:xfrm flipV="1">
          <a:off x="2768949" y="3045619"/>
          <a:ext cx="316707" cy="48815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788896</xdr:colOff>
      <xdr:row>16</xdr:row>
      <xdr:rowOff>226219</xdr:rowOff>
    </xdr:from>
    <xdr:to>
      <xdr:col>2</xdr:col>
      <xdr:colOff>788897</xdr:colOff>
      <xdr:row>20</xdr:row>
      <xdr:rowOff>178594</xdr:rowOff>
    </xdr:to>
    <xdr:cxnSp macro="">
      <xdr:nvCxnSpPr>
        <xdr:cNvPr id="9" name="Straight Arrow Connector 8">
          <a:extLst>
            <a:ext uri="{FF2B5EF4-FFF2-40B4-BE49-F238E27FC236}">
              <a16:creationId xmlns:a16="http://schemas.microsoft.com/office/drawing/2014/main" id="{E733254A-0B52-41F0-8F65-DF204C828F62}"/>
            </a:ext>
          </a:extLst>
        </xdr:cNvPr>
        <xdr:cNvCxnSpPr/>
      </xdr:nvCxnSpPr>
      <xdr:spPr>
        <a:xfrm flipH="1" flipV="1">
          <a:off x="3608296" y="3045619"/>
          <a:ext cx="1" cy="76200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1247693</xdr:colOff>
      <xdr:row>17</xdr:row>
      <xdr:rowOff>0</xdr:rowOff>
    </xdr:from>
    <xdr:to>
      <xdr:col>3</xdr:col>
      <xdr:colOff>130970</xdr:colOff>
      <xdr:row>18</xdr:row>
      <xdr:rowOff>184547</xdr:rowOff>
    </xdr:to>
    <xdr:cxnSp macro="">
      <xdr:nvCxnSpPr>
        <xdr:cNvPr id="10" name="Straight Arrow Connector 9">
          <a:extLst>
            <a:ext uri="{FF2B5EF4-FFF2-40B4-BE49-F238E27FC236}">
              <a16:creationId xmlns:a16="http://schemas.microsoft.com/office/drawing/2014/main" id="{5159CC3C-5141-4FA7-B566-722A1E4A1684}"/>
            </a:ext>
          </a:extLst>
        </xdr:cNvPr>
        <xdr:cNvCxnSpPr/>
      </xdr:nvCxnSpPr>
      <xdr:spPr>
        <a:xfrm flipH="1" flipV="1">
          <a:off x="4067093" y="3057525"/>
          <a:ext cx="188202" cy="37504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426776</xdr:colOff>
      <xdr:row>16</xdr:row>
      <xdr:rowOff>220266</xdr:rowOff>
    </xdr:from>
    <xdr:to>
      <xdr:col>3</xdr:col>
      <xdr:colOff>545839</xdr:colOff>
      <xdr:row>17</xdr:row>
      <xdr:rowOff>178594</xdr:rowOff>
    </xdr:to>
    <xdr:cxnSp macro="">
      <xdr:nvCxnSpPr>
        <xdr:cNvPr id="11" name="Straight Arrow Connector 10">
          <a:extLst>
            <a:ext uri="{FF2B5EF4-FFF2-40B4-BE49-F238E27FC236}">
              <a16:creationId xmlns:a16="http://schemas.microsoft.com/office/drawing/2014/main" id="{B67BD1A0-42A3-4662-90A5-18077209AD97}"/>
            </a:ext>
          </a:extLst>
        </xdr:cNvPr>
        <xdr:cNvCxnSpPr/>
      </xdr:nvCxnSpPr>
      <xdr:spPr>
        <a:xfrm flipH="1" flipV="1">
          <a:off x="4551101" y="3039666"/>
          <a:ext cx="119063" cy="19645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95250</xdr:colOff>
      <xdr:row>17</xdr:row>
      <xdr:rowOff>35719</xdr:rowOff>
    </xdr:from>
    <xdr:to>
      <xdr:col>1</xdr:col>
      <xdr:colOff>1322785</xdr:colOff>
      <xdr:row>23</xdr:row>
      <xdr:rowOff>6569</xdr:rowOff>
    </xdr:to>
    <xdr:sp macro="" textlink="">
      <xdr:nvSpPr>
        <xdr:cNvPr id="12" name="Rectangle 11">
          <a:extLst>
            <a:ext uri="{FF2B5EF4-FFF2-40B4-BE49-F238E27FC236}">
              <a16:creationId xmlns:a16="http://schemas.microsoft.com/office/drawing/2014/main" id="{F8B93C7B-94DD-4529-A656-0E9FF23A0A12}"/>
            </a:ext>
          </a:extLst>
        </xdr:cNvPr>
        <xdr:cNvSpPr/>
      </xdr:nvSpPr>
      <xdr:spPr>
        <a:xfrm>
          <a:off x="95250" y="3096857"/>
          <a:ext cx="1549414" cy="111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Future value is positive because money is coming into wallet / purse. This is a withdrawal.</a:t>
          </a:r>
        </a:p>
      </xdr:txBody>
    </xdr:sp>
    <xdr:clientData/>
  </xdr:twoCellAnchor>
  <xdr:twoCellAnchor>
    <xdr:from>
      <xdr:col>1</xdr:col>
      <xdr:colOff>714375</xdr:colOff>
      <xdr:row>13</xdr:row>
      <xdr:rowOff>0</xdr:rowOff>
    </xdr:from>
    <xdr:to>
      <xdr:col>2</xdr:col>
      <xdr:colOff>41672</xdr:colOff>
      <xdr:row>17</xdr:row>
      <xdr:rowOff>95251</xdr:rowOff>
    </xdr:to>
    <xdr:cxnSp macro="">
      <xdr:nvCxnSpPr>
        <xdr:cNvPr id="13" name="Straight Arrow Connector 12">
          <a:extLst>
            <a:ext uri="{FF2B5EF4-FFF2-40B4-BE49-F238E27FC236}">
              <a16:creationId xmlns:a16="http://schemas.microsoft.com/office/drawing/2014/main" id="{A376691D-0A47-457B-A650-766C13D30236}"/>
            </a:ext>
          </a:extLst>
        </xdr:cNvPr>
        <xdr:cNvCxnSpPr/>
      </xdr:nvCxnSpPr>
      <xdr:spPr>
        <a:xfrm flipV="1">
          <a:off x="1038225" y="2247900"/>
          <a:ext cx="1822847" cy="90487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72260</xdr:colOff>
      <xdr:row>4</xdr:row>
      <xdr:rowOff>111673</xdr:rowOff>
    </xdr:from>
    <xdr:to>
      <xdr:col>3</xdr:col>
      <xdr:colOff>400707</xdr:colOff>
      <xdr:row>4</xdr:row>
      <xdr:rowOff>111673</xdr:rowOff>
    </xdr:to>
    <xdr:cxnSp macro="">
      <xdr:nvCxnSpPr>
        <xdr:cNvPr id="14" name="Straight Arrow Connector 13">
          <a:extLst>
            <a:ext uri="{FF2B5EF4-FFF2-40B4-BE49-F238E27FC236}">
              <a16:creationId xmlns:a16="http://schemas.microsoft.com/office/drawing/2014/main" id="{7F760EE9-3C3D-49C8-AA19-E234377AA045}"/>
            </a:ext>
          </a:extLst>
        </xdr:cNvPr>
        <xdr:cNvCxnSpPr/>
      </xdr:nvCxnSpPr>
      <xdr:spPr>
        <a:xfrm flipH="1">
          <a:off x="4197570" y="650328"/>
          <a:ext cx="328447"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1381122</xdr:colOff>
      <xdr:row>13</xdr:row>
      <xdr:rowOff>89296</xdr:rowOff>
    </xdr:from>
    <xdr:to>
      <xdr:col>2</xdr:col>
      <xdr:colOff>273842</xdr:colOff>
      <xdr:row>15</xdr:row>
      <xdr:rowOff>47625</xdr:rowOff>
    </xdr:to>
    <xdr:sp macro="" textlink="">
      <xdr:nvSpPr>
        <xdr:cNvPr id="2" name="Rectangle 1">
          <a:extLst>
            <a:ext uri="{FF2B5EF4-FFF2-40B4-BE49-F238E27FC236}">
              <a16:creationId xmlns:a16="http://schemas.microsoft.com/office/drawing/2014/main" id="{F3A052EB-D598-4FBE-AEC3-E7593ADF5750}"/>
            </a:ext>
          </a:extLst>
        </xdr:cNvPr>
        <xdr:cNvSpPr/>
      </xdr:nvSpPr>
      <xdr:spPr>
        <a:xfrm>
          <a:off x="1702591" y="2387202"/>
          <a:ext cx="1035845" cy="3393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rate</a:t>
          </a:r>
        </a:p>
      </xdr:txBody>
    </xdr:sp>
    <xdr:clientData/>
  </xdr:twoCellAnchor>
  <xdr:twoCellAnchor>
    <xdr:from>
      <xdr:col>1</xdr:col>
      <xdr:colOff>1404935</xdr:colOff>
      <xdr:row>15</xdr:row>
      <xdr:rowOff>23812</xdr:rowOff>
    </xdr:from>
    <xdr:to>
      <xdr:col>2</xdr:col>
      <xdr:colOff>1083467</xdr:colOff>
      <xdr:row>16</xdr:row>
      <xdr:rowOff>113109</xdr:rowOff>
    </xdr:to>
    <xdr:sp macro="" textlink="">
      <xdr:nvSpPr>
        <xdr:cNvPr id="3" name="Rectangle 2">
          <a:extLst>
            <a:ext uri="{FF2B5EF4-FFF2-40B4-BE49-F238E27FC236}">
              <a16:creationId xmlns:a16="http://schemas.microsoft.com/office/drawing/2014/main" id="{1B6DB5CF-5517-4E7B-8F6D-262F71C38330}"/>
            </a:ext>
          </a:extLst>
        </xdr:cNvPr>
        <xdr:cNvSpPr/>
      </xdr:nvSpPr>
      <xdr:spPr>
        <a:xfrm>
          <a:off x="1726404" y="2702718"/>
          <a:ext cx="1821657" cy="27979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Total number of periods</a:t>
          </a:r>
        </a:p>
      </xdr:txBody>
    </xdr:sp>
    <xdr:clientData/>
  </xdr:twoCellAnchor>
  <xdr:twoCellAnchor>
    <xdr:from>
      <xdr:col>2</xdr:col>
      <xdr:colOff>233361</xdr:colOff>
      <xdr:row>16</xdr:row>
      <xdr:rowOff>150018</xdr:rowOff>
    </xdr:from>
    <xdr:to>
      <xdr:col>3</xdr:col>
      <xdr:colOff>1172765</xdr:colOff>
      <xdr:row>18</xdr:row>
      <xdr:rowOff>107155</xdr:rowOff>
    </xdr:to>
    <xdr:sp macro="" textlink="">
      <xdr:nvSpPr>
        <xdr:cNvPr id="4" name="Rectangle 3">
          <a:extLst>
            <a:ext uri="{FF2B5EF4-FFF2-40B4-BE49-F238E27FC236}">
              <a16:creationId xmlns:a16="http://schemas.microsoft.com/office/drawing/2014/main" id="{CC9BDE54-7A2B-4937-AF45-A711BEF42CB3}"/>
            </a:ext>
          </a:extLst>
        </xdr:cNvPr>
        <xdr:cNvSpPr/>
      </xdr:nvSpPr>
      <xdr:spPr>
        <a:xfrm>
          <a:off x="2697955" y="3019424"/>
          <a:ext cx="2320529" cy="3381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No pmt, so argument skipped</a:t>
          </a:r>
        </a:p>
      </xdr:txBody>
    </xdr:sp>
    <xdr:clientData/>
  </xdr:twoCellAnchor>
  <xdr:twoCellAnchor>
    <xdr:from>
      <xdr:col>2</xdr:col>
      <xdr:colOff>1100135</xdr:colOff>
      <xdr:row>14</xdr:row>
      <xdr:rowOff>130968</xdr:rowOff>
    </xdr:from>
    <xdr:to>
      <xdr:col>3</xdr:col>
      <xdr:colOff>2274092</xdr:colOff>
      <xdr:row>17</xdr:row>
      <xdr:rowOff>92867</xdr:rowOff>
    </xdr:to>
    <xdr:sp macro="" textlink="">
      <xdr:nvSpPr>
        <xdr:cNvPr id="5" name="Rectangle 4">
          <a:extLst>
            <a:ext uri="{FF2B5EF4-FFF2-40B4-BE49-F238E27FC236}">
              <a16:creationId xmlns:a16="http://schemas.microsoft.com/office/drawing/2014/main" id="{F1CDED64-E614-470C-8CB3-09093F0BCD86}"/>
            </a:ext>
          </a:extLst>
        </xdr:cNvPr>
        <xdr:cNvSpPr/>
      </xdr:nvSpPr>
      <xdr:spPr>
        <a:xfrm>
          <a:off x="3564729" y="2619374"/>
          <a:ext cx="2555082" cy="5333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Future value must be positive because money is coming into wallet / purse</a:t>
          </a:r>
        </a:p>
      </xdr:txBody>
    </xdr:sp>
    <xdr:clientData/>
  </xdr:twoCellAnchor>
  <xdr:twoCellAnchor>
    <xdr:from>
      <xdr:col>3</xdr:col>
      <xdr:colOff>419091</xdr:colOff>
      <xdr:row>13</xdr:row>
      <xdr:rowOff>101203</xdr:rowOff>
    </xdr:from>
    <xdr:to>
      <xdr:col>4</xdr:col>
      <xdr:colOff>173823</xdr:colOff>
      <xdr:row>15</xdr:row>
      <xdr:rowOff>42863</xdr:rowOff>
    </xdr:to>
    <xdr:sp macro="" textlink="">
      <xdr:nvSpPr>
        <xdr:cNvPr id="6" name="Rectangle 5">
          <a:extLst>
            <a:ext uri="{FF2B5EF4-FFF2-40B4-BE49-F238E27FC236}">
              <a16:creationId xmlns:a16="http://schemas.microsoft.com/office/drawing/2014/main" id="{7AB9E424-77FB-4327-B18F-89A940A9BD0A}"/>
            </a:ext>
          </a:extLst>
        </xdr:cNvPr>
        <xdr:cNvSpPr/>
      </xdr:nvSpPr>
      <xdr:spPr>
        <a:xfrm>
          <a:off x="4264810" y="2399109"/>
          <a:ext cx="2243138" cy="322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No annuity so type is omitted</a:t>
          </a:r>
        </a:p>
      </xdr:txBody>
    </xdr:sp>
    <xdr:clientData/>
  </xdr:twoCellAnchor>
  <xdr:twoCellAnchor>
    <xdr:from>
      <xdr:col>1</xdr:col>
      <xdr:colOff>1899045</xdr:colOff>
      <xdr:row>12</xdr:row>
      <xdr:rowOff>214313</xdr:rowOff>
    </xdr:from>
    <xdr:to>
      <xdr:col>1</xdr:col>
      <xdr:colOff>2113357</xdr:colOff>
      <xdr:row>13</xdr:row>
      <xdr:rowOff>160736</xdr:rowOff>
    </xdr:to>
    <xdr:cxnSp macro="">
      <xdr:nvCxnSpPr>
        <xdr:cNvPr id="7" name="Straight Arrow Connector 6">
          <a:extLst>
            <a:ext uri="{FF2B5EF4-FFF2-40B4-BE49-F238E27FC236}">
              <a16:creationId xmlns:a16="http://schemas.microsoft.com/office/drawing/2014/main" id="{5E414B3D-126F-4295-86DB-9D974CECE263}"/>
            </a:ext>
          </a:extLst>
        </xdr:cNvPr>
        <xdr:cNvCxnSpPr/>
      </xdr:nvCxnSpPr>
      <xdr:spPr>
        <a:xfrm flipV="1">
          <a:off x="2220514" y="2274094"/>
          <a:ext cx="214312" cy="18454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154781</xdr:colOff>
      <xdr:row>12</xdr:row>
      <xdr:rowOff>226219</xdr:rowOff>
    </xdr:from>
    <xdr:to>
      <xdr:col>2</xdr:col>
      <xdr:colOff>434578</xdr:colOff>
      <xdr:row>15</xdr:row>
      <xdr:rowOff>95251</xdr:rowOff>
    </xdr:to>
    <xdr:cxnSp macro="">
      <xdr:nvCxnSpPr>
        <xdr:cNvPr id="8" name="Straight Arrow Connector 7">
          <a:extLst>
            <a:ext uri="{FF2B5EF4-FFF2-40B4-BE49-F238E27FC236}">
              <a16:creationId xmlns:a16="http://schemas.microsoft.com/office/drawing/2014/main" id="{2A4AE771-3E55-4F39-AAFB-13385FD7791E}"/>
            </a:ext>
          </a:extLst>
        </xdr:cNvPr>
        <xdr:cNvCxnSpPr/>
      </xdr:nvCxnSpPr>
      <xdr:spPr>
        <a:xfrm flipV="1">
          <a:off x="2526506" y="2283619"/>
          <a:ext cx="279797" cy="48815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958452</xdr:colOff>
      <xdr:row>12</xdr:row>
      <xdr:rowOff>226219</xdr:rowOff>
    </xdr:from>
    <xdr:to>
      <xdr:col>2</xdr:col>
      <xdr:colOff>958453</xdr:colOff>
      <xdr:row>16</xdr:row>
      <xdr:rowOff>178594</xdr:rowOff>
    </xdr:to>
    <xdr:cxnSp macro="">
      <xdr:nvCxnSpPr>
        <xdr:cNvPr id="9" name="Straight Arrow Connector 8">
          <a:extLst>
            <a:ext uri="{FF2B5EF4-FFF2-40B4-BE49-F238E27FC236}">
              <a16:creationId xmlns:a16="http://schemas.microsoft.com/office/drawing/2014/main" id="{77BE92E3-706D-4BA6-86D1-C87EEF8A2143}"/>
            </a:ext>
          </a:extLst>
        </xdr:cNvPr>
        <xdr:cNvCxnSpPr/>
      </xdr:nvCxnSpPr>
      <xdr:spPr>
        <a:xfrm flipH="1" flipV="1">
          <a:off x="3330177" y="2283619"/>
          <a:ext cx="1" cy="76200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41672</xdr:colOff>
      <xdr:row>13</xdr:row>
      <xdr:rowOff>0</xdr:rowOff>
    </xdr:from>
    <xdr:to>
      <xdr:col>3</xdr:col>
      <xdr:colOff>321471</xdr:colOff>
      <xdr:row>14</xdr:row>
      <xdr:rowOff>184548</xdr:rowOff>
    </xdr:to>
    <xdr:cxnSp macro="">
      <xdr:nvCxnSpPr>
        <xdr:cNvPr id="10" name="Straight Arrow Connector 9">
          <a:extLst>
            <a:ext uri="{FF2B5EF4-FFF2-40B4-BE49-F238E27FC236}">
              <a16:creationId xmlns:a16="http://schemas.microsoft.com/office/drawing/2014/main" id="{EB0E2B23-9578-40E4-9F26-D98C99CEDF4A}"/>
            </a:ext>
          </a:extLst>
        </xdr:cNvPr>
        <xdr:cNvCxnSpPr/>
      </xdr:nvCxnSpPr>
      <xdr:spPr>
        <a:xfrm flipH="1" flipV="1">
          <a:off x="3887391" y="2297906"/>
          <a:ext cx="279799" cy="37504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559595</xdr:colOff>
      <xdr:row>12</xdr:row>
      <xdr:rowOff>220266</xdr:rowOff>
    </xdr:from>
    <xdr:to>
      <xdr:col>3</xdr:col>
      <xdr:colOff>678658</xdr:colOff>
      <xdr:row>13</xdr:row>
      <xdr:rowOff>178594</xdr:rowOff>
    </xdr:to>
    <xdr:cxnSp macro="">
      <xdr:nvCxnSpPr>
        <xdr:cNvPr id="11" name="Straight Arrow Connector 10">
          <a:extLst>
            <a:ext uri="{FF2B5EF4-FFF2-40B4-BE49-F238E27FC236}">
              <a16:creationId xmlns:a16="http://schemas.microsoft.com/office/drawing/2014/main" id="{C8CA418C-43BE-4B8B-9DCA-5EDE6521D57A}"/>
            </a:ext>
          </a:extLst>
        </xdr:cNvPr>
        <xdr:cNvCxnSpPr/>
      </xdr:nvCxnSpPr>
      <xdr:spPr>
        <a:xfrm flipH="1" flipV="1">
          <a:off x="4405314" y="2280047"/>
          <a:ext cx="119063" cy="19645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285750</xdr:colOff>
      <xdr:row>4</xdr:row>
      <xdr:rowOff>53578</xdr:rowOff>
    </xdr:from>
    <xdr:to>
      <xdr:col>7</xdr:col>
      <xdr:colOff>495300</xdr:colOff>
      <xdr:row>5</xdr:row>
      <xdr:rowOff>63103</xdr:rowOff>
    </xdr:to>
    <xdr:pic>
      <xdr:nvPicPr>
        <xdr:cNvPr id="15" name="Picture 14">
          <a:extLst>
            <a:ext uri="{FF2B5EF4-FFF2-40B4-BE49-F238E27FC236}">
              <a16:creationId xmlns:a16="http://schemas.microsoft.com/office/drawing/2014/main" id="{B43E51DF-0F43-4C60-A8AE-FE694F062B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31969" y="589359"/>
          <a:ext cx="20955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16667</xdr:colOff>
      <xdr:row>13</xdr:row>
      <xdr:rowOff>23812</xdr:rowOff>
    </xdr:from>
    <xdr:to>
      <xdr:col>1</xdr:col>
      <xdr:colOff>1256109</xdr:colOff>
      <xdr:row>19</xdr:row>
      <xdr:rowOff>107156</xdr:rowOff>
    </xdr:to>
    <xdr:sp macro="" textlink="">
      <xdr:nvSpPr>
        <xdr:cNvPr id="19" name="Rectangle 18">
          <a:extLst>
            <a:ext uri="{FF2B5EF4-FFF2-40B4-BE49-F238E27FC236}">
              <a16:creationId xmlns:a16="http://schemas.microsoft.com/office/drawing/2014/main" id="{6D494A92-85FD-4A11-A48F-515A4C510BCF}"/>
            </a:ext>
          </a:extLst>
        </xdr:cNvPr>
        <xdr:cNvSpPr/>
      </xdr:nvSpPr>
      <xdr:spPr>
        <a:xfrm>
          <a:off x="338136" y="2321718"/>
          <a:ext cx="1239442" cy="12263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Present value is negative because money is coming out of wallet / purse. This is a deposit.</a:t>
          </a:r>
        </a:p>
      </xdr:txBody>
    </xdr:sp>
    <xdr:clientData/>
  </xdr:twoCellAnchor>
  <xdr:twoCellAnchor>
    <xdr:from>
      <xdr:col>1</xdr:col>
      <xdr:colOff>845343</xdr:colOff>
      <xdr:row>11</xdr:row>
      <xdr:rowOff>1</xdr:rowOff>
    </xdr:from>
    <xdr:to>
      <xdr:col>2</xdr:col>
      <xdr:colOff>5953</xdr:colOff>
      <xdr:row>13</xdr:row>
      <xdr:rowOff>47625</xdr:rowOff>
    </xdr:to>
    <xdr:cxnSp macro="">
      <xdr:nvCxnSpPr>
        <xdr:cNvPr id="21" name="Straight Arrow Connector 20">
          <a:extLst>
            <a:ext uri="{FF2B5EF4-FFF2-40B4-BE49-F238E27FC236}">
              <a16:creationId xmlns:a16="http://schemas.microsoft.com/office/drawing/2014/main" id="{CB3C9A2F-8AAD-40B6-9081-A467970CB034}"/>
            </a:ext>
          </a:extLst>
        </xdr:cNvPr>
        <xdr:cNvCxnSpPr/>
      </xdr:nvCxnSpPr>
      <xdr:spPr>
        <a:xfrm flipV="1">
          <a:off x="1166812" y="1869282"/>
          <a:ext cx="1303735" cy="476249"/>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1381122</xdr:colOff>
      <xdr:row>13</xdr:row>
      <xdr:rowOff>89296</xdr:rowOff>
    </xdr:from>
    <xdr:to>
      <xdr:col>2</xdr:col>
      <xdr:colOff>273842</xdr:colOff>
      <xdr:row>15</xdr:row>
      <xdr:rowOff>47625</xdr:rowOff>
    </xdr:to>
    <xdr:sp macro="" textlink="">
      <xdr:nvSpPr>
        <xdr:cNvPr id="2" name="Rectangle 1">
          <a:extLst>
            <a:ext uri="{FF2B5EF4-FFF2-40B4-BE49-F238E27FC236}">
              <a16:creationId xmlns:a16="http://schemas.microsoft.com/office/drawing/2014/main" id="{73C328D8-F344-4EF3-BB27-495B250984AC}"/>
            </a:ext>
          </a:extLst>
        </xdr:cNvPr>
        <xdr:cNvSpPr/>
      </xdr:nvSpPr>
      <xdr:spPr>
        <a:xfrm>
          <a:off x="1704972" y="2384821"/>
          <a:ext cx="1035845" cy="3393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rate</a:t>
          </a:r>
        </a:p>
      </xdr:txBody>
    </xdr:sp>
    <xdr:clientData/>
  </xdr:twoCellAnchor>
  <xdr:twoCellAnchor>
    <xdr:from>
      <xdr:col>1</xdr:col>
      <xdr:colOff>1404935</xdr:colOff>
      <xdr:row>15</xdr:row>
      <xdr:rowOff>23812</xdr:rowOff>
    </xdr:from>
    <xdr:to>
      <xdr:col>2</xdr:col>
      <xdr:colOff>1083467</xdr:colOff>
      <xdr:row>16</xdr:row>
      <xdr:rowOff>113109</xdr:rowOff>
    </xdr:to>
    <xdr:sp macro="" textlink="">
      <xdr:nvSpPr>
        <xdr:cNvPr id="3" name="Rectangle 2">
          <a:extLst>
            <a:ext uri="{FF2B5EF4-FFF2-40B4-BE49-F238E27FC236}">
              <a16:creationId xmlns:a16="http://schemas.microsoft.com/office/drawing/2014/main" id="{9803E326-BA00-4A36-BA4F-9AB8C063D6AA}"/>
            </a:ext>
          </a:extLst>
        </xdr:cNvPr>
        <xdr:cNvSpPr/>
      </xdr:nvSpPr>
      <xdr:spPr>
        <a:xfrm>
          <a:off x="1728785" y="2700337"/>
          <a:ext cx="1821657" cy="27979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Total number of periods</a:t>
          </a:r>
        </a:p>
      </xdr:txBody>
    </xdr:sp>
    <xdr:clientData/>
  </xdr:twoCellAnchor>
  <xdr:twoCellAnchor>
    <xdr:from>
      <xdr:col>2</xdr:col>
      <xdr:colOff>233361</xdr:colOff>
      <xdr:row>16</xdr:row>
      <xdr:rowOff>150018</xdr:rowOff>
    </xdr:from>
    <xdr:to>
      <xdr:col>3</xdr:col>
      <xdr:colOff>1172765</xdr:colOff>
      <xdr:row>18</xdr:row>
      <xdr:rowOff>107155</xdr:rowOff>
    </xdr:to>
    <xdr:sp macro="" textlink="">
      <xdr:nvSpPr>
        <xdr:cNvPr id="4" name="Rectangle 3">
          <a:extLst>
            <a:ext uri="{FF2B5EF4-FFF2-40B4-BE49-F238E27FC236}">
              <a16:creationId xmlns:a16="http://schemas.microsoft.com/office/drawing/2014/main" id="{743F3FBC-9A51-431A-9A06-8C71AC796651}"/>
            </a:ext>
          </a:extLst>
        </xdr:cNvPr>
        <xdr:cNvSpPr/>
      </xdr:nvSpPr>
      <xdr:spPr>
        <a:xfrm>
          <a:off x="2700336" y="3017043"/>
          <a:ext cx="2320529" cy="3381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No pmt, so argument skipped</a:t>
          </a:r>
        </a:p>
      </xdr:txBody>
    </xdr:sp>
    <xdr:clientData/>
  </xdr:twoCellAnchor>
  <xdr:twoCellAnchor>
    <xdr:from>
      <xdr:col>2</xdr:col>
      <xdr:colOff>1100135</xdr:colOff>
      <xdr:row>14</xdr:row>
      <xdr:rowOff>130968</xdr:rowOff>
    </xdr:from>
    <xdr:to>
      <xdr:col>3</xdr:col>
      <xdr:colOff>2274092</xdr:colOff>
      <xdr:row>17</xdr:row>
      <xdr:rowOff>92867</xdr:rowOff>
    </xdr:to>
    <xdr:sp macro="" textlink="">
      <xdr:nvSpPr>
        <xdr:cNvPr id="5" name="Rectangle 4">
          <a:extLst>
            <a:ext uri="{FF2B5EF4-FFF2-40B4-BE49-F238E27FC236}">
              <a16:creationId xmlns:a16="http://schemas.microsoft.com/office/drawing/2014/main" id="{9B701C07-BB92-4524-B21B-8D4FA3CB5825}"/>
            </a:ext>
          </a:extLst>
        </xdr:cNvPr>
        <xdr:cNvSpPr/>
      </xdr:nvSpPr>
      <xdr:spPr>
        <a:xfrm>
          <a:off x="3567110" y="2616993"/>
          <a:ext cx="2555082" cy="5333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Future value must be positive because money is coming into wallet / purse</a:t>
          </a:r>
        </a:p>
      </xdr:txBody>
    </xdr:sp>
    <xdr:clientData/>
  </xdr:twoCellAnchor>
  <xdr:twoCellAnchor>
    <xdr:from>
      <xdr:col>3</xdr:col>
      <xdr:colOff>419091</xdr:colOff>
      <xdr:row>13</xdr:row>
      <xdr:rowOff>101203</xdr:rowOff>
    </xdr:from>
    <xdr:to>
      <xdr:col>4</xdr:col>
      <xdr:colOff>173823</xdr:colOff>
      <xdr:row>15</xdr:row>
      <xdr:rowOff>42863</xdr:rowOff>
    </xdr:to>
    <xdr:sp macro="" textlink="">
      <xdr:nvSpPr>
        <xdr:cNvPr id="6" name="Rectangle 5">
          <a:extLst>
            <a:ext uri="{FF2B5EF4-FFF2-40B4-BE49-F238E27FC236}">
              <a16:creationId xmlns:a16="http://schemas.microsoft.com/office/drawing/2014/main" id="{BE3F8A19-80FF-4B60-83AE-A4C70488FC07}"/>
            </a:ext>
          </a:extLst>
        </xdr:cNvPr>
        <xdr:cNvSpPr/>
      </xdr:nvSpPr>
      <xdr:spPr>
        <a:xfrm>
          <a:off x="4267191" y="2396728"/>
          <a:ext cx="2240757" cy="322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No annuity so type is omitted</a:t>
          </a:r>
        </a:p>
      </xdr:txBody>
    </xdr:sp>
    <xdr:clientData/>
  </xdr:twoCellAnchor>
  <xdr:twoCellAnchor>
    <xdr:from>
      <xdr:col>1</xdr:col>
      <xdr:colOff>1899045</xdr:colOff>
      <xdr:row>12</xdr:row>
      <xdr:rowOff>214313</xdr:rowOff>
    </xdr:from>
    <xdr:to>
      <xdr:col>1</xdr:col>
      <xdr:colOff>2113357</xdr:colOff>
      <xdr:row>13</xdr:row>
      <xdr:rowOff>160736</xdr:rowOff>
    </xdr:to>
    <xdr:cxnSp macro="">
      <xdr:nvCxnSpPr>
        <xdr:cNvPr id="7" name="Straight Arrow Connector 6">
          <a:extLst>
            <a:ext uri="{FF2B5EF4-FFF2-40B4-BE49-F238E27FC236}">
              <a16:creationId xmlns:a16="http://schemas.microsoft.com/office/drawing/2014/main" id="{1976CBED-0C3C-44D4-A763-153E1EFE1C44}"/>
            </a:ext>
          </a:extLst>
        </xdr:cNvPr>
        <xdr:cNvCxnSpPr/>
      </xdr:nvCxnSpPr>
      <xdr:spPr>
        <a:xfrm flipV="1">
          <a:off x="2222895" y="2271713"/>
          <a:ext cx="214312" cy="18454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154781</xdr:colOff>
      <xdr:row>12</xdr:row>
      <xdr:rowOff>226219</xdr:rowOff>
    </xdr:from>
    <xdr:to>
      <xdr:col>2</xdr:col>
      <xdr:colOff>434578</xdr:colOff>
      <xdr:row>15</xdr:row>
      <xdr:rowOff>95251</xdr:rowOff>
    </xdr:to>
    <xdr:cxnSp macro="">
      <xdr:nvCxnSpPr>
        <xdr:cNvPr id="8" name="Straight Arrow Connector 7">
          <a:extLst>
            <a:ext uri="{FF2B5EF4-FFF2-40B4-BE49-F238E27FC236}">
              <a16:creationId xmlns:a16="http://schemas.microsoft.com/office/drawing/2014/main" id="{577D2906-245F-48D6-AE3A-5DF11E84F39E}"/>
            </a:ext>
          </a:extLst>
        </xdr:cNvPr>
        <xdr:cNvCxnSpPr/>
      </xdr:nvCxnSpPr>
      <xdr:spPr>
        <a:xfrm flipV="1">
          <a:off x="2621756" y="2283619"/>
          <a:ext cx="279797" cy="48815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958452</xdr:colOff>
      <xdr:row>12</xdr:row>
      <xdr:rowOff>226219</xdr:rowOff>
    </xdr:from>
    <xdr:to>
      <xdr:col>2</xdr:col>
      <xdr:colOff>958453</xdr:colOff>
      <xdr:row>16</xdr:row>
      <xdr:rowOff>178594</xdr:rowOff>
    </xdr:to>
    <xdr:cxnSp macro="">
      <xdr:nvCxnSpPr>
        <xdr:cNvPr id="9" name="Straight Arrow Connector 8">
          <a:extLst>
            <a:ext uri="{FF2B5EF4-FFF2-40B4-BE49-F238E27FC236}">
              <a16:creationId xmlns:a16="http://schemas.microsoft.com/office/drawing/2014/main" id="{E790458C-A6A6-4A17-9413-588DCE14A7D4}"/>
            </a:ext>
          </a:extLst>
        </xdr:cNvPr>
        <xdr:cNvCxnSpPr/>
      </xdr:nvCxnSpPr>
      <xdr:spPr>
        <a:xfrm flipH="1" flipV="1">
          <a:off x="3425427" y="2283619"/>
          <a:ext cx="1" cy="76200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41672</xdr:colOff>
      <xdr:row>13</xdr:row>
      <xdr:rowOff>0</xdr:rowOff>
    </xdr:from>
    <xdr:to>
      <xdr:col>3</xdr:col>
      <xdr:colOff>321471</xdr:colOff>
      <xdr:row>14</xdr:row>
      <xdr:rowOff>184548</xdr:rowOff>
    </xdr:to>
    <xdr:cxnSp macro="">
      <xdr:nvCxnSpPr>
        <xdr:cNvPr id="10" name="Straight Arrow Connector 9">
          <a:extLst>
            <a:ext uri="{FF2B5EF4-FFF2-40B4-BE49-F238E27FC236}">
              <a16:creationId xmlns:a16="http://schemas.microsoft.com/office/drawing/2014/main" id="{376F640C-B4F9-4382-BC3F-49E66FEDC1D6}"/>
            </a:ext>
          </a:extLst>
        </xdr:cNvPr>
        <xdr:cNvCxnSpPr/>
      </xdr:nvCxnSpPr>
      <xdr:spPr>
        <a:xfrm flipH="1" flipV="1">
          <a:off x="3889772" y="2295525"/>
          <a:ext cx="279799" cy="37504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559595</xdr:colOff>
      <xdr:row>12</xdr:row>
      <xdr:rowOff>220266</xdr:rowOff>
    </xdr:from>
    <xdr:to>
      <xdr:col>3</xdr:col>
      <xdr:colOff>678658</xdr:colOff>
      <xdr:row>13</xdr:row>
      <xdr:rowOff>178594</xdr:rowOff>
    </xdr:to>
    <xdr:cxnSp macro="">
      <xdr:nvCxnSpPr>
        <xdr:cNvPr id="11" name="Straight Arrow Connector 10">
          <a:extLst>
            <a:ext uri="{FF2B5EF4-FFF2-40B4-BE49-F238E27FC236}">
              <a16:creationId xmlns:a16="http://schemas.microsoft.com/office/drawing/2014/main" id="{4E3F6907-EA0D-4B2E-94C1-AB67F82BA91E}"/>
            </a:ext>
          </a:extLst>
        </xdr:cNvPr>
        <xdr:cNvCxnSpPr/>
      </xdr:nvCxnSpPr>
      <xdr:spPr>
        <a:xfrm flipH="1" flipV="1">
          <a:off x="4407695" y="2277666"/>
          <a:ext cx="119063" cy="19645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1631156</xdr:colOff>
      <xdr:row>4</xdr:row>
      <xdr:rowOff>0</xdr:rowOff>
    </xdr:from>
    <xdr:to>
      <xdr:col>1</xdr:col>
      <xdr:colOff>1840706</xdr:colOff>
      <xdr:row>5</xdr:row>
      <xdr:rowOff>9525</xdr:rowOff>
    </xdr:to>
    <xdr:pic>
      <xdr:nvPicPr>
        <xdr:cNvPr id="12" name="Picture 11">
          <a:extLst>
            <a:ext uri="{FF2B5EF4-FFF2-40B4-BE49-F238E27FC236}">
              <a16:creationId xmlns:a16="http://schemas.microsoft.com/office/drawing/2014/main" id="{A46F978B-A854-45D2-95B0-94B829F731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535781"/>
          <a:ext cx="20955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238125</xdr:colOff>
      <xdr:row>13</xdr:row>
      <xdr:rowOff>23812</xdr:rowOff>
    </xdr:from>
    <xdr:to>
      <xdr:col>1</xdr:col>
      <xdr:colOff>1327547</xdr:colOff>
      <xdr:row>18</xdr:row>
      <xdr:rowOff>119063</xdr:rowOff>
    </xdr:to>
    <xdr:sp macro="" textlink="">
      <xdr:nvSpPr>
        <xdr:cNvPr id="13" name="Rectangle 12">
          <a:extLst>
            <a:ext uri="{FF2B5EF4-FFF2-40B4-BE49-F238E27FC236}">
              <a16:creationId xmlns:a16="http://schemas.microsoft.com/office/drawing/2014/main" id="{B97E2390-CDFF-41EA-AD3B-C59804ABF862}"/>
            </a:ext>
          </a:extLst>
        </xdr:cNvPr>
        <xdr:cNvSpPr/>
      </xdr:nvSpPr>
      <xdr:spPr>
        <a:xfrm>
          <a:off x="238125" y="2321718"/>
          <a:ext cx="1410891" cy="10477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chemeClr val="tx1"/>
              </a:solidFill>
              <a:effectLst/>
              <a:latin typeface="+mn-lt"/>
              <a:ea typeface="+mn-ea"/>
              <a:cs typeface="+mn-cs"/>
            </a:rPr>
            <a:t>Present value is negative because money is coming out of wallet / purse.</a:t>
          </a:r>
        </a:p>
        <a:p>
          <a:r>
            <a:rPr lang="en-US" sz="1100" baseline="0">
              <a:solidFill>
                <a:schemeClr val="tx1"/>
              </a:solidFill>
              <a:effectLst/>
              <a:latin typeface="+mn-lt"/>
              <a:ea typeface="+mn-ea"/>
              <a:cs typeface="+mn-cs"/>
            </a:rPr>
            <a:t>This is a deposit.</a:t>
          </a:r>
        </a:p>
      </xdr:txBody>
    </xdr:sp>
    <xdr:clientData/>
  </xdr:twoCellAnchor>
  <xdr:twoCellAnchor>
    <xdr:from>
      <xdr:col>1</xdr:col>
      <xdr:colOff>916781</xdr:colOff>
      <xdr:row>11</xdr:row>
      <xdr:rowOff>2</xdr:rowOff>
    </xdr:from>
    <xdr:to>
      <xdr:col>2</xdr:col>
      <xdr:colOff>5953</xdr:colOff>
      <xdr:row>13</xdr:row>
      <xdr:rowOff>130969</xdr:rowOff>
    </xdr:to>
    <xdr:cxnSp macro="">
      <xdr:nvCxnSpPr>
        <xdr:cNvPr id="14" name="Straight Arrow Connector 13">
          <a:extLst>
            <a:ext uri="{FF2B5EF4-FFF2-40B4-BE49-F238E27FC236}">
              <a16:creationId xmlns:a16="http://schemas.microsoft.com/office/drawing/2014/main" id="{0CE1E128-9966-4DC7-9480-02F474ABF5E4}"/>
            </a:ext>
          </a:extLst>
        </xdr:cNvPr>
        <xdr:cNvCxnSpPr/>
      </xdr:nvCxnSpPr>
      <xdr:spPr>
        <a:xfrm flipV="1">
          <a:off x="1238250" y="1869283"/>
          <a:ext cx="1232297" cy="559592"/>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2084964</xdr:colOff>
      <xdr:row>16</xdr:row>
      <xdr:rowOff>89296</xdr:rowOff>
    </xdr:from>
    <xdr:to>
      <xdr:col>2</xdr:col>
      <xdr:colOff>977684</xdr:colOff>
      <xdr:row>18</xdr:row>
      <xdr:rowOff>47625</xdr:rowOff>
    </xdr:to>
    <xdr:sp macro="" textlink="">
      <xdr:nvSpPr>
        <xdr:cNvPr id="2" name="Rectangle 1">
          <a:extLst>
            <a:ext uri="{FF2B5EF4-FFF2-40B4-BE49-F238E27FC236}">
              <a16:creationId xmlns:a16="http://schemas.microsoft.com/office/drawing/2014/main" id="{E2A8E342-D716-429C-9145-74CEAB46ECFD}"/>
            </a:ext>
          </a:extLst>
        </xdr:cNvPr>
        <xdr:cNvSpPr/>
      </xdr:nvSpPr>
      <xdr:spPr>
        <a:xfrm>
          <a:off x="2408814" y="2956321"/>
          <a:ext cx="2350295" cy="3393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rate</a:t>
          </a:r>
        </a:p>
      </xdr:txBody>
    </xdr:sp>
    <xdr:clientData/>
  </xdr:twoCellAnchor>
  <xdr:twoCellAnchor>
    <xdr:from>
      <xdr:col>1</xdr:col>
      <xdr:colOff>1829438</xdr:colOff>
      <xdr:row>18</xdr:row>
      <xdr:rowOff>23812</xdr:rowOff>
    </xdr:from>
    <xdr:to>
      <xdr:col>2</xdr:col>
      <xdr:colOff>702926</xdr:colOff>
      <xdr:row>19</xdr:row>
      <xdr:rowOff>113109</xdr:rowOff>
    </xdr:to>
    <xdr:sp macro="" textlink="">
      <xdr:nvSpPr>
        <xdr:cNvPr id="3" name="Rectangle 2">
          <a:extLst>
            <a:ext uri="{FF2B5EF4-FFF2-40B4-BE49-F238E27FC236}">
              <a16:creationId xmlns:a16="http://schemas.microsoft.com/office/drawing/2014/main" id="{DE490D71-C933-4748-8513-9A9DE75AEA53}"/>
            </a:ext>
          </a:extLst>
        </xdr:cNvPr>
        <xdr:cNvSpPr/>
      </xdr:nvSpPr>
      <xdr:spPr>
        <a:xfrm>
          <a:off x="2153288" y="3271837"/>
          <a:ext cx="2331063" cy="27979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Total number of periods</a:t>
          </a:r>
        </a:p>
      </xdr:txBody>
    </xdr:sp>
    <xdr:clientData/>
  </xdr:twoCellAnchor>
  <xdr:twoCellAnchor>
    <xdr:from>
      <xdr:col>1</xdr:col>
      <xdr:colOff>3067040</xdr:colOff>
      <xdr:row>19</xdr:row>
      <xdr:rowOff>166046</xdr:rowOff>
    </xdr:from>
    <xdr:to>
      <xdr:col>3</xdr:col>
      <xdr:colOff>214308</xdr:colOff>
      <xdr:row>22</xdr:row>
      <xdr:rowOff>119063</xdr:rowOff>
    </xdr:to>
    <xdr:sp macro="" textlink="">
      <xdr:nvSpPr>
        <xdr:cNvPr id="4" name="Rectangle 3">
          <a:extLst>
            <a:ext uri="{FF2B5EF4-FFF2-40B4-BE49-F238E27FC236}">
              <a16:creationId xmlns:a16="http://schemas.microsoft.com/office/drawing/2014/main" id="{F9B49250-C801-47B8-A8F3-867B79575FF4}"/>
            </a:ext>
          </a:extLst>
        </xdr:cNvPr>
        <xdr:cNvSpPr/>
      </xdr:nvSpPr>
      <xdr:spPr>
        <a:xfrm>
          <a:off x="3390890" y="3604571"/>
          <a:ext cx="1985968" cy="5245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Payment is positive because money goes into wallet / purse</a:t>
          </a:r>
        </a:p>
      </xdr:txBody>
    </xdr:sp>
    <xdr:clientData/>
  </xdr:twoCellAnchor>
  <xdr:twoCellAnchor>
    <xdr:from>
      <xdr:col>2</xdr:col>
      <xdr:colOff>774548</xdr:colOff>
      <xdr:row>17</xdr:row>
      <xdr:rowOff>189584</xdr:rowOff>
    </xdr:from>
    <xdr:to>
      <xdr:col>3</xdr:col>
      <xdr:colOff>1948505</xdr:colOff>
      <xdr:row>20</xdr:row>
      <xdr:rowOff>151483</xdr:rowOff>
    </xdr:to>
    <xdr:sp macro="" textlink="">
      <xdr:nvSpPr>
        <xdr:cNvPr id="5" name="Rectangle 4">
          <a:extLst>
            <a:ext uri="{FF2B5EF4-FFF2-40B4-BE49-F238E27FC236}">
              <a16:creationId xmlns:a16="http://schemas.microsoft.com/office/drawing/2014/main" id="{70E3DE88-A59C-4147-BAE4-0BC2CC2551CF}"/>
            </a:ext>
          </a:extLst>
        </xdr:cNvPr>
        <xdr:cNvSpPr/>
      </xdr:nvSpPr>
      <xdr:spPr>
        <a:xfrm>
          <a:off x="4555973" y="3247109"/>
          <a:ext cx="2555082" cy="5333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No fv, so argument skipped</a:t>
          </a:r>
        </a:p>
      </xdr:txBody>
    </xdr:sp>
    <xdr:clientData/>
  </xdr:twoCellAnchor>
  <xdr:twoCellAnchor>
    <xdr:from>
      <xdr:col>2</xdr:col>
      <xdr:colOff>1163688</xdr:colOff>
      <xdr:row>16</xdr:row>
      <xdr:rowOff>107156</xdr:rowOff>
    </xdr:from>
    <xdr:to>
      <xdr:col>3</xdr:col>
      <xdr:colOff>2017459</xdr:colOff>
      <xdr:row>18</xdr:row>
      <xdr:rowOff>48816</xdr:rowOff>
    </xdr:to>
    <xdr:sp macro="" textlink="">
      <xdr:nvSpPr>
        <xdr:cNvPr id="6" name="Rectangle 5">
          <a:extLst>
            <a:ext uri="{FF2B5EF4-FFF2-40B4-BE49-F238E27FC236}">
              <a16:creationId xmlns:a16="http://schemas.microsoft.com/office/drawing/2014/main" id="{283A9D1D-0938-41F7-B4AF-1082E72FCF38}"/>
            </a:ext>
          </a:extLst>
        </xdr:cNvPr>
        <xdr:cNvSpPr/>
      </xdr:nvSpPr>
      <xdr:spPr>
        <a:xfrm>
          <a:off x="4945113" y="2974181"/>
          <a:ext cx="2234896" cy="322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Annuity is Begin so put 1 into type</a:t>
          </a:r>
        </a:p>
      </xdr:txBody>
    </xdr:sp>
    <xdr:clientData/>
  </xdr:twoCellAnchor>
  <xdr:twoCellAnchor>
    <xdr:from>
      <xdr:col>1</xdr:col>
      <xdr:colOff>2602887</xdr:colOff>
      <xdr:row>15</xdr:row>
      <xdr:rowOff>214313</xdr:rowOff>
    </xdr:from>
    <xdr:to>
      <xdr:col>1</xdr:col>
      <xdr:colOff>2817199</xdr:colOff>
      <xdr:row>16</xdr:row>
      <xdr:rowOff>160736</xdr:rowOff>
    </xdr:to>
    <xdr:cxnSp macro="">
      <xdr:nvCxnSpPr>
        <xdr:cNvPr id="7" name="Straight Arrow Connector 6">
          <a:extLst>
            <a:ext uri="{FF2B5EF4-FFF2-40B4-BE49-F238E27FC236}">
              <a16:creationId xmlns:a16="http://schemas.microsoft.com/office/drawing/2014/main" id="{73585450-BC26-43AA-B9D6-9A181DB39312}"/>
            </a:ext>
          </a:extLst>
        </xdr:cNvPr>
        <xdr:cNvCxnSpPr/>
      </xdr:nvCxnSpPr>
      <xdr:spPr>
        <a:xfrm flipV="1">
          <a:off x="2926737" y="2843213"/>
          <a:ext cx="214312" cy="18454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2719200</xdr:colOff>
      <xdr:row>16</xdr:row>
      <xdr:rowOff>5953</xdr:rowOff>
    </xdr:from>
    <xdr:to>
      <xdr:col>1</xdr:col>
      <xdr:colOff>3244453</xdr:colOff>
      <xdr:row>18</xdr:row>
      <xdr:rowOff>95252</xdr:rowOff>
    </xdr:to>
    <xdr:cxnSp macro="">
      <xdr:nvCxnSpPr>
        <xdr:cNvPr id="8" name="Straight Arrow Connector 7">
          <a:extLst>
            <a:ext uri="{FF2B5EF4-FFF2-40B4-BE49-F238E27FC236}">
              <a16:creationId xmlns:a16="http://schemas.microsoft.com/office/drawing/2014/main" id="{F4D9CEC1-E21A-4D93-AE47-421711AC2242}"/>
            </a:ext>
          </a:extLst>
        </xdr:cNvPr>
        <xdr:cNvCxnSpPr/>
      </xdr:nvCxnSpPr>
      <xdr:spPr>
        <a:xfrm flipV="1">
          <a:off x="3043050" y="2872978"/>
          <a:ext cx="525253" cy="470299"/>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334746</xdr:colOff>
      <xdr:row>15</xdr:row>
      <xdr:rowOff>233546</xdr:rowOff>
    </xdr:from>
    <xdr:to>
      <xdr:col>2</xdr:col>
      <xdr:colOff>334747</xdr:colOff>
      <xdr:row>19</xdr:row>
      <xdr:rowOff>185921</xdr:rowOff>
    </xdr:to>
    <xdr:cxnSp macro="">
      <xdr:nvCxnSpPr>
        <xdr:cNvPr id="9" name="Straight Arrow Connector 8">
          <a:extLst>
            <a:ext uri="{FF2B5EF4-FFF2-40B4-BE49-F238E27FC236}">
              <a16:creationId xmlns:a16="http://schemas.microsoft.com/office/drawing/2014/main" id="{BE058704-7615-46DE-885B-361E064F2DD5}"/>
            </a:ext>
          </a:extLst>
        </xdr:cNvPr>
        <xdr:cNvCxnSpPr/>
      </xdr:nvCxnSpPr>
      <xdr:spPr>
        <a:xfrm flipH="1" flipV="1">
          <a:off x="4116171" y="2862446"/>
          <a:ext cx="1" cy="76200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785817</xdr:colOff>
      <xdr:row>16</xdr:row>
      <xdr:rowOff>17860</xdr:rowOff>
    </xdr:from>
    <xdr:to>
      <xdr:col>2</xdr:col>
      <xdr:colOff>1051875</xdr:colOff>
      <xdr:row>18</xdr:row>
      <xdr:rowOff>36636</xdr:rowOff>
    </xdr:to>
    <xdr:cxnSp macro="">
      <xdr:nvCxnSpPr>
        <xdr:cNvPr id="10" name="Straight Arrow Connector 9">
          <a:extLst>
            <a:ext uri="{FF2B5EF4-FFF2-40B4-BE49-F238E27FC236}">
              <a16:creationId xmlns:a16="http://schemas.microsoft.com/office/drawing/2014/main" id="{60938F4C-7938-45E8-86A2-97CD7EC3CF41}"/>
            </a:ext>
          </a:extLst>
        </xdr:cNvPr>
        <xdr:cNvCxnSpPr/>
      </xdr:nvCxnSpPr>
      <xdr:spPr>
        <a:xfrm flipH="1" flipV="1">
          <a:off x="4567242" y="2884885"/>
          <a:ext cx="266058" cy="39977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1276717</xdr:colOff>
      <xdr:row>15</xdr:row>
      <xdr:rowOff>220266</xdr:rowOff>
    </xdr:from>
    <xdr:to>
      <xdr:col>3</xdr:col>
      <xdr:colOff>14655</xdr:colOff>
      <xdr:row>16</xdr:row>
      <xdr:rowOff>178594</xdr:rowOff>
    </xdr:to>
    <xdr:cxnSp macro="">
      <xdr:nvCxnSpPr>
        <xdr:cNvPr id="11" name="Straight Arrow Connector 10">
          <a:extLst>
            <a:ext uri="{FF2B5EF4-FFF2-40B4-BE49-F238E27FC236}">
              <a16:creationId xmlns:a16="http://schemas.microsoft.com/office/drawing/2014/main" id="{5DFC56A4-BA3E-4E3E-A4F7-287BE713C186}"/>
            </a:ext>
          </a:extLst>
        </xdr:cNvPr>
        <xdr:cNvCxnSpPr/>
      </xdr:nvCxnSpPr>
      <xdr:spPr>
        <a:xfrm flipH="1" flipV="1">
          <a:off x="5058142" y="2849166"/>
          <a:ext cx="119063" cy="19645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1059656</xdr:colOff>
      <xdr:row>11</xdr:row>
      <xdr:rowOff>184547</xdr:rowOff>
    </xdr:from>
    <xdr:to>
      <xdr:col>1</xdr:col>
      <xdr:colOff>3458765</xdr:colOff>
      <xdr:row>15</xdr:row>
      <xdr:rowOff>17860</xdr:rowOff>
    </xdr:to>
    <xdr:cxnSp macro="">
      <xdr:nvCxnSpPr>
        <xdr:cNvPr id="12" name="Straight Arrow Connector 11">
          <a:extLst>
            <a:ext uri="{FF2B5EF4-FFF2-40B4-BE49-F238E27FC236}">
              <a16:creationId xmlns:a16="http://schemas.microsoft.com/office/drawing/2014/main" id="{F5826B33-148C-4EF6-B1A2-391605411FCD}"/>
            </a:ext>
          </a:extLst>
        </xdr:cNvPr>
        <xdr:cNvCxnSpPr/>
      </xdr:nvCxnSpPr>
      <xdr:spPr>
        <a:xfrm flipV="1">
          <a:off x="1383506" y="2051447"/>
          <a:ext cx="2399109" cy="59531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314324</xdr:colOff>
      <xdr:row>14</xdr:row>
      <xdr:rowOff>71437</xdr:rowOff>
    </xdr:from>
    <xdr:to>
      <xdr:col>1</xdr:col>
      <xdr:colOff>1232297</xdr:colOff>
      <xdr:row>20</xdr:row>
      <xdr:rowOff>77391</xdr:rowOff>
    </xdr:to>
    <xdr:sp macro="" textlink="">
      <xdr:nvSpPr>
        <xdr:cNvPr id="13" name="Rectangle 12">
          <a:extLst>
            <a:ext uri="{FF2B5EF4-FFF2-40B4-BE49-F238E27FC236}">
              <a16:creationId xmlns:a16="http://schemas.microsoft.com/office/drawing/2014/main" id="{1CED00F5-BD6A-4E8E-862B-515F01D5D587}"/>
            </a:ext>
          </a:extLst>
        </xdr:cNvPr>
        <xdr:cNvSpPr/>
      </xdr:nvSpPr>
      <xdr:spPr>
        <a:xfrm>
          <a:off x="314324" y="2512218"/>
          <a:ext cx="1239442" cy="1196579"/>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Present value is negative because money is coming out of wallet / purse. This is a deposit.</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2084964</xdr:colOff>
      <xdr:row>16</xdr:row>
      <xdr:rowOff>89296</xdr:rowOff>
    </xdr:from>
    <xdr:to>
      <xdr:col>2</xdr:col>
      <xdr:colOff>977684</xdr:colOff>
      <xdr:row>18</xdr:row>
      <xdr:rowOff>47625</xdr:rowOff>
    </xdr:to>
    <xdr:sp macro="" textlink="">
      <xdr:nvSpPr>
        <xdr:cNvPr id="2" name="Rectangle 1">
          <a:extLst>
            <a:ext uri="{FF2B5EF4-FFF2-40B4-BE49-F238E27FC236}">
              <a16:creationId xmlns:a16="http://schemas.microsoft.com/office/drawing/2014/main" id="{221FE701-BE65-4FE1-BB4A-328C72B190E1}"/>
            </a:ext>
          </a:extLst>
        </xdr:cNvPr>
        <xdr:cNvSpPr/>
      </xdr:nvSpPr>
      <xdr:spPr>
        <a:xfrm>
          <a:off x="2406433" y="2958702"/>
          <a:ext cx="2351485" cy="3393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rate</a:t>
          </a:r>
        </a:p>
      </xdr:txBody>
    </xdr:sp>
    <xdr:clientData/>
  </xdr:twoCellAnchor>
  <xdr:twoCellAnchor>
    <xdr:from>
      <xdr:col>1</xdr:col>
      <xdr:colOff>1829438</xdr:colOff>
      <xdr:row>18</xdr:row>
      <xdr:rowOff>23812</xdr:rowOff>
    </xdr:from>
    <xdr:to>
      <xdr:col>2</xdr:col>
      <xdr:colOff>702926</xdr:colOff>
      <xdr:row>19</xdr:row>
      <xdr:rowOff>113109</xdr:rowOff>
    </xdr:to>
    <xdr:sp macro="" textlink="">
      <xdr:nvSpPr>
        <xdr:cNvPr id="3" name="Rectangle 2">
          <a:extLst>
            <a:ext uri="{FF2B5EF4-FFF2-40B4-BE49-F238E27FC236}">
              <a16:creationId xmlns:a16="http://schemas.microsoft.com/office/drawing/2014/main" id="{57EE26C4-AEE9-42D8-AE62-FA7F7919A18D}"/>
            </a:ext>
          </a:extLst>
        </xdr:cNvPr>
        <xdr:cNvSpPr/>
      </xdr:nvSpPr>
      <xdr:spPr>
        <a:xfrm>
          <a:off x="2150907" y="3274218"/>
          <a:ext cx="2332253" cy="27979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Total number of periods</a:t>
          </a:r>
        </a:p>
      </xdr:txBody>
    </xdr:sp>
    <xdr:clientData/>
  </xdr:twoCellAnchor>
  <xdr:twoCellAnchor>
    <xdr:from>
      <xdr:col>1</xdr:col>
      <xdr:colOff>3120617</xdr:colOff>
      <xdr:row>19</xdr:row>
      <xdr:rowOff>166046</xdr:rowOff>
    </xdr:from>
    <xdr:to>
      <xdr:col>3</xdr:col>
      <xdr:colOff>267885</xdr:colOff>
      <xdr:row>22</xdr:row>
      <xdr:rowOff>119063</xdr:rowOff>
    </xdr:to>
    <xdr:sp macro="" textlink="">
      <xdr:nvSpPr>
        <xdr:cNvPr id="4" name="Rectangle 3">
          <a:extLst>
            <a:ext uri="{FF2B5EF4-FFF2-40B4-BE49-F238E27FC236}">
              <a16:creationId xmlns:a16="http://schemas.microsoft.com/office/drawing/2014/main" id="{32120CDB-5249-4B1B-94BD-62F67B5F682A}"/>
            </a:ext>
          </a:extLst>
        </xdr:cNvPr>
        <xdr:cNvSpPr/>
      </xdr:nvSpPr>
      <xdr:spPr>
        <a:xfrm>
          <a:off x="3442086" y="3606952"/>
          <a:ext cx="1987158" cy="5245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Payment is positive because money goes into wallet / purse</a:t>
          </a:r>
        </a:p>
      </xdr:txBody>
    </xdr:sp>
    <xdr:clientData/>
  </xdr:twoCellAnchor>
  <xdr:twoCellAnchor>
    <xdr:from>
      <xdr:col>2</xdr:col>
      <xdr:colOff>774548</xdr:colOff>
      <xdr:row>17</xdr:row>
      <xdr:rowOff>189584</xdr:rowOff>
    </xdr:from>
    <xdr:to>
      <xdr:col>3</xdr:col>
      <xdr:colOff>1948505</xdr:colOff>
      <xdr:row>20</xdr:row>
      <xdr:rowOff>151483</xdr:rowOff>
    </xdr:to>
    <xdr:sp macro="" textlink="">
      <xdr:nvSpPr>
        <xdr:cNvPr id="5" name="Rectangle 4">
          <a:extLst>
            <a:ext uri="{FF2B5EF4-FFF2-40B4-BE49-F238E27FC236}">
              <a16:creationId xmlns:a16="http://schemas.microsoft.com/office/drawing/2014/main" id="{4667A5FA-E529-41BD-81B5-C8988F7C1995}"/>
            </a:ext>
          </a:extLst>
        </xdr:cNvPr>
        <xdr:cNvSpPr/>
      </xdr:nvSpPr>
      <xdr:spPr>
        <a:xfrm>
          <a:off x="4554782" y="3249490"/>
          <a:ext cx="2555082" cy="5333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No fv, so argument skipped</a:t>
          </a:r>
        </a:p>
      </xdr:txBody>
    </xdr:sp>
    <xdr:clientData/>
  </xdr:twoCellAnchor>
  <xdr:twoCellAnchor>
    <xdr:from>
      <xdr:col>2</xdr:col>
      <xdr:colOff>1163688</xdr:colOff>
      <xdr:row>16</xdr:row>
      <xdr:rowOff>107156</xdr:rowOff>
    </xdr:from>
    <xdr:to>
      <xdr:col>3</xdr:col>
      <xdr:colOff>2017459</xdr:colOff>
      <xdr:row>18</xdr:row>
      <xdr:rowOff>48816</xdr:rowOff>
    </xdr:to>
    <xdr:sp macro="" textlink="">
      <xdr:nvSpPr>
        <xdr:cNvPr id="6" name="Rectangle 5">
          <a:extLst>
            <a:ext uri="{FF2B5EF4-FFF2-40B4-BE49-F238E27FC236}">
              <a16:creationId xmlns:a16="http://schemas.microsoft.com/office/drawing/2014/main" id="{D6E88064-8C4E-495A-AE61-8ED457149342}"/>
            </a:ext>
          </a:extLst>
        </xdr:cNvPr>
        <xdr:cNvSpPr/>
      </xdr:nvSpPr>
      <xdr:spPr>
        <a:xfrm>
          <a:off x="4943922" y="2976562"/>
          <a:ext cx="2234896" cy="322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Annuity is Begin so put 1 into type</a:t>
          </a:r>
        </a:p>
      </xdr:txBody>
    </xdr:sp>
    <xdr:clientData/>
  </xdr:twoCellAnchor>
  <xdr:twoCellAnchor>
    <xdr:from>
      <xdr:col>1</xdr:col>
      <xdr:colOff>2602887</xdr:colOff>
      <xdr:row>15</xdr:row>
      <xdr:rowOff>214313</xdr:rowOff>
    </xdr:from>
    <xdr:to>
      <xdr:col>1</xdr:col>
      <xdr:colOff>2817199</xdr:colOff>
      <xdr:row>16</xdr:row>
      <xdr:rowOff>160736</xdr:rowOff>
    </xdr:to>
    <xdr:cxnSp macro="">
      <xdr:nvCxnSpPr>
        <xdr:cNvPr id="7" name="Straight Arrow Connector 6">
          <a:extLst>
            <a:ext uri="{FF2B5EF4-FFF2-40B4-BE49-F238E27FC236}">
              <a16:creationId xmlns:a16="http://schemas.microsoft.com/office/drawing/2014/main" id="{33A1493A-2FBA-4041-8D9F-4D6896E09656}"/>
            </a:ext>
          </a:extLst>
        </xdr:cNvPr>
        <xdr:cNvCxnSpPr/>
      </xdr:nvCxnSpPr>
      <xdr:spPr>
        <a:xfrm flipV="1">
          <a:off x="2924356" y="2845594"/>
          <a:ext cx="214312" cy="18454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2719200</xdr:colOff>
      <xdr:row>16</xdr:row>
      <xdr:rowOff>17860</xdr:rowOff>
    </xdr:from>
    <xdr:to>
      <xdr:col>1</xdr:col>
      <xdr:colOff>3202781</xdr:colOff>
      <xdr:row>18</xdr:row>
      <xdr:rowOff>95253</xdr:rowOff>
    </xdr:to>
    <xdr:cxnSp macro="">
      <xdr:nvCxnSpPr>
        <xdr:cNvPr id="8" name="Straight Arrow Connector 7">
          <a:extLst>
            <a:ext uri="{FF2B5EF4-FFF2-40B4-BE49-F238E27FC236}">
              <a16:creationId xmlns:a16="http://schemas.microsoft.com/office/drawing/2014/main" id="{F2A5F0D2-2B36-41CE-9900-8FC30A447CB6}"/>
            </a:ext>
          </a:extLst>
        </xdr:cNvPr>
        <xdr:cNvCxnSpPr/>
      </xdr:nvCxnSpPr>
      <xdr:spPr>
        <a:xfrm flipV="1">
          <a:off x="3040669" y="2887266"/>
          <a:ext cx="483581" cy="45839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304981</xdr:colOff>
      <xdr:row>15</xdr:row>
      <xdr:rowOff>233546</xdr:rowOff>
    </xdr:from>
    <xdr:to>
      <xdr:col>2</xdr:col>
      <xdr:colOff>304982</xdr:colOff>
      <xdr:row>19</xdr:row>
      <xdr:rowOff>185921</xdr:rowOff>
    </xdr:to>
    <xdr:cxnSp macro="">
      <xdr:nvCxnSpPr>
        <xdr:cNvPr id="9" name="Straight Arrow Connector 8">
          <a:extLst>
            <a:ext uri="{FF2B5EF4-FFF2-40B4-BE49-F238E27FC236}">
              <a16:creationId xmlns:a16="http://schemas.microsoft.com/office/drawing/2014/main" id="{E06F9B48-ED0C-4751-962A-1A89F4C8755F}"/>
            </a:ext>
          </a:extLst>
        </xdr:cNvPr>
        <xdr:cNvCxnSpPr/>
      </xdr:nvCxnSpPr>
      <xdr:spPr>
        <a:xfrm flipH="1" flipV="1">
          <a:off x="4085215" y="2864827"/>
          <a:ext cx="1" cy="76200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785817</xdr:colOff>
      <xdr:row>16</xdr:row>
      <xdr:rowOff>17860</xdr:rowOff>
    </xdr:from>
    <xdr:to>
      <xdr:col>2</xdr:col>
      <xdr:colOff>1051875</xdr:colOff>
      <xdr:row>18</xdr:row>
      <xdr:rowOff>36636</xdr:rowOff>
    </xdr:to>
    <xdr:cxnSp macro="">
      <xdr:nvCxnSpPr>
        <xdr:cNvPr id="10" name="Straight Arrow Connector 9">
          <a:extLst>
            <a:ext uri="{FF2B5EF4-FFF2-40B4-BE49-F238E27FC236}">
              <a16:creationId xmlns:a16="http://schemas.microsoft.com/office/drawing/2014/main" id="{C50AF4BB-BBA9-4B4F-8AA9-6BAC37E5AE61}"/>
            </a:ext>
          </a:extLst>
        </xdr:cNvPr>
        <xdr:cNvCxnSpPr/>
      </xdr:nvCxnSpPr>
      <xdr:spPr>
        <a:xfrm flipH="1" flipV="1">
          <a:off x="4566051" y="2887266"/>
          <a:ext cx="266058" cy="39977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1276717</xdr:colOff>
      <xdr:row>15</xdr:row>
      <xdr:rowOff>220266</xdr:rowOff>
    </xdr:from>
    <xdr:to>
      <xdr:col>3</xdr:col>
      <xdr:colOff>14655</xdr:colOff>
      <xdr:row>16</xdr:row>
      <xdr:rowOff>178594</xdr:rowOff>
    </xdr:to>
    <xdr:cxnSp macro="">
      <xdr:nvCxnSpPr>
        <xdr:cNvPr id="11" name="Straight Arrow Connector 10">
          <a:extLst>
            <a:ext uri="{FF2B5EF4-FFF2-40B4-BE49-F238E27FC236}">
              <a16:creationId xmlns:a16="http://schemas.microsoft.com/office/drawing/2014/main" id="{9C134A9C-9C4A-43F5-918E-58C590C38960}"/>
            </a:ext>
          </a:extLst>
        </xdr:cNvPr>
        <xdr:cNvCxnSpPr/>
      </xdr:nvCxnSpPr>
      <xdr:spPr>
        <a:xfrm flipH="1" flipV="1">
          <a:off x="5056951" y="2851547"/>
          <a:ext cx="119063" cy="19645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1059656</xdr:colOff>
      <xdr:row>11</xdr:row>
      <xdr:rowOff>184547</xdr:rowOff>
    </xdr:from>
    <xdr:to>
      <xdr:col>1</xdr:col>
      <xdr:colOff>3458765</xdr:colOff>
      <xdr:row>15</xdr:row>
      <xdr:rowOff>17860</xdr:rowOff>
    </xdr:to>
    <xdr:cxnSp macro="">
      <xdr:nvCxnSpPr>
        <xdr:cNvPr id="12" name="Straight Arrow Connector 11">
          <a:extLst>
            <a:ext uri="{FF2B5EF4-FFF2-40B4-BE49-F238E27FC236}">
              <a16:creationId xmlns:a16="http://schemas.microsoft.com/office/drawing/2014/main" id="{141551B6-41DB-4229-A7AC-608228FD48B4}"/>
            </a:ext>
          </a:extLst>
        </xdr:cNvPr>
        <xdr:cNvCxnSpPr/>
      </xdr:nvCxnSpPr>
      <xdr:spPr>
        <a:xfrm flipV="1">
          <a:off x="1381125" y="2053828"/>
          <a:ext cx="2399109" cy="59531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314324</xdr:colOff>
      <xdr:row>14</xdr:row>
      <xdr:rowOff>71437</xdr:rowOff>
    </xdr:from>
    <xdr:to>
      <xdr:col>1</xdr:col>
      <xdr:colOff>1232297</xdr:colOff>
      <xdr:row>20</xdr:row>
      <xdr:rowOff>47625</xdr:rowOff>
    </xdr:to>
    <xdr:sp macro="" textlink="">
      <xdr:nvSpPr>
        <xdr:cNvPr id="13" name="Rectangle 12">
          <a:extLst>
            <a:ext uri="{FF2B5EF4-FFF2-40B4-BE49-F238E27FC236}">
              <a16:creationId xmlns:a16="http://schemas.microsoft.com/office/drawing/2014/main" id="{9CF0E1F5-A0D7-42EA-8E15-02E960C6C4FE}"/>
            </a:ext>
          </a:extLst>
        </xdr:cNvPr>
        <xdr:cNvSpPr/>
      </xdr:nvSpPr>
      <xdr:spPr>
        <a:xfrm>
          <a:off x="314324" y="2512218"/>
          <a:ext cx="1239442" cy="1166813"/>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Present value is negative because money is coming out of wallet / purse. This is a deposit.</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2186165</xdr:colOff>
      <xdr:row>16</xdr:row>
      <xdr:rowOff>89296</xdr:rowOff>
    </xdr:from>
    <xdr:to>
      <xdr:col>2</xdr:col>
      <xdr:colOff>1078885</xdr:colOff>
      <xdr:row>18</xdr:row>
      <xdr:rowOff>47625</xdr:rowOff>
    </xdr:to>
    <xdr:sp macro="" textlink="">
      <xdr:nvSpPr>
        <xdr:cNvPr id="2" name="Rectangle 1">
          <a:extLst>
            <a:ext uri="{FF2B5EF4-FFF2-40B4-BE49-F238E27FC236}">
              <a16:creationId xmlns:a16="http://schemas.microsoft.com/office/drawing/2014/main" id="{31AFCFA4-028F-48EE-9545-EFC14EE378AA}"/>
            </a:ext>
          </a:extLst>
        </xdr:cNvPr>
        <xdr:cNvSpPr/>
      </xdr:nvSpPr>
      <xdr:spPr>
        <a:xfrm>
          <a:off x="2510015" y="2956321"/>
          <a:ext cx="2350295" cy="3393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rate</a:t>
          </a:r>
        </a:p>
      </xdr:txBody>
    </xdr:sp>
    <xdr:clientData/>
  </xdr:twoCellAnchor>
  <xdr:twoCellAnchor>
    <xdr:from>
      <xdr:col>1</xdr:col>
      <xdr:colOff>1918733</xdr:colOff>
      <xdr:row>18</xdr:row>
      <xdr:rowOff>23812</xdr:rowOff>
    </xdr:from>
    <xdr:to>
      <xdr:col>2</xdr:col>
      <xdr:colOff>792221</xdr:colOff>
      <xdr:row>19</xdr:row>
      <xdr:rowOff>113109</xdr:rowOff>
    </xdr:to>
    <xdr:sp macro="" textlink="">
      <xdr:nvSpPr>
        <xdr:cNvPr id="3" name="Rectangle 2">
          <a:extLst>
            <a:ext uri="{FF2B5EF4-FFF2-40B4-BE49-F238E27FC236}">
              <a16:creationId xmlns:a16="http://schemas.microsoft.com/office/drawing/2014/main" id="{B27A88EA-E905-418E-ACEF-2874C3D7438D}"/>
            </a:ext>
          </a:extLst>
        </xdr:cNvPr>
        <xdr:cNvSpPr/>
      </xdr:nvSpPr>
      <xdr:spPr>
        <a:xfrm>
          <a:off x="2242583" y="3271837"/>
          <a:ext cx="2331063" cy="27979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Total number of periods</a:t>
          </a:r>
        </a:p>
      </xdr:txBody>
    </xdr:sp>
    <xdr:clientData/>
  </xdr:twoCellAnchor>
  <xdr:twoCellAnchor>
    <xdr:from>
      <xdr:col>2</xdr:col>
      <xdr:colOff>24994</xdr:colOff>
      <xdr:row>19</xdr:row>
      <xdr:rowOff>23171</xdr:rowOff>
    </xdr:from>
    <xdr:to>
      <xdr:col>3</xdr:col>
      <xdr:colOff>631027</xdr:colOff>
      <xdr:row>20</xdr:row>
      <xdr:rowOff>136922</xdr:rowOff>
    </xdr:to>
    <xdr:sp macro="" textlink="">
      <xdr:nvSpPr>
        <xdr:cNvPr id="4" name="Rectangle 3">
          <a:extLst>
            <a:ext uri="{FF2B5EF4-FFF2-40B4-BE49-F238E27FC236}">
              <a16:creationId xmlns:a16="http://schemas.microsoft.com/office/drawing/2014/main" id="{B8E9FAB3-71C5-4E9A-9593-462A33DBB85B}"/>
            </a:ext>
          </a:extLst>
        </xdr:cNvPr>
        <xdr:cNvSpPr/>
      </xdr:nvSpPr>
      <xdr:spPr>
        <a:xfrm>
          <a:off x="3806419" y="3461696"/>
          <a:ext cx="2044308" cy="3042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No pv, so argument skipped</a:t>
          </a:r>
        </a:p>
      </xdr:txBody>
    </xdr:sp>
    <xdr:clientData/>
  </xdr:twoCellAnchor>
  <xdr:twoCellAnchor>
    <xdr:from>
      <xdr:col>1</xdr:col>
      <xdr:colOff>2704088</xdr:colOff>
      <xdr:row>15</xdr:row>
      <xdr:rowOff>214313</xdr:rowOff>
    </xdr:from>
    <xdr:to>
      <xdr:col>1</xdr:col>
      <xdr:colOff>2918400</xdr:colOff>
      <xdr:row>16</xdr:row>
      <xdr:rowOff>160736</xdr:rowOff>
    </xdr:to>
    <xdr:cxnSp macro="">
      <xdr:nvCxnSpPr>
        <xdr:cNvPr id="5" name="Straight Arrow Connector 4">
          <a:extLst>
            <a:ext uri="{FF2B5EF4-FFF2-40B4-BE49-F238E27FC236}">
              <a16:creationId xmlns:a16="http://schemas.microsoft.com/office/drawing/2014/main" id="{46AE99B9-97D2-4F9F-A3FE-673B3E12C1F5}"/>
            </a:ext>
          </a:extLst>
        </xdr:cNvPr>
        <xdr:cNvCxnSpPr/>
      </xdr:nvCxnSpPr>
      <xdr:spPr>
        <a:xfrm flipV="1">
          <a:off x="3027938" y="2843213"/>
          <a:ext cx="214312" cy="18454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2808495</xdr:colOff>
      <xdr:row>15</xdr:row>
      <xdr:rowOff>226219</xdr:rowOff>
    </xdr:from>
    <xdr:to>
      <xdr:col>1</xdr:col>
      <xdr:colOff>3333750</xdr:colOff>
      <xdr:row>18</xdr:row>
      <xdr:rowOff>95253</xdr:rowOff>
    </xdr:to>
    <xdr:cxnSp macro="">
      <xdr:nvCxnSpPr>
        <xdr:cNvPr id="6" name="Straight Arrow Connector 5">
          <a:extLst>
            <a:ext uri="{FF2B5EF4-FFF2-40B4-BE49-F238E27FC236}">
              <a16:creationId xmlns:a16="http://schemas.microsoft.com/office/drawing/2014/main" id="{AAF27813-DA4D-4CD3-9661-66558B6D1914}"/>
            </a:ext>
          </a:extLst>
        </xdr:cNvPr>
        <xdr:cNvCxnSpPr/>
      </xdr:nvCxnSpPr>
      <xdr:spPr>
        <a:xfrm flipV="1">
          <a:off x="3132345" y="2855119"/>
          <a:ext cx="525255" cy="488159"/>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376418</xdr:colOff>
      <xdr:row>15</xdr:row>
      <xdr:rowOff>233546</xdr:rowOff>
    </xdr:from>
    <xdr:to>
      <xdr:col>2</xdr:col>
      <xdr:colOff>381000</xdr:colOff>
      <xdr:row>19</xdr:row>
      <xdr:rowOff>35719</xdr:rowOff>
    </xdr:to>
    <xdr:cxnSp macro="">
      <xdr:nvCxnSpPr>
        <xdr:cNvPr id="7" name="Straight Arrow Connector 6">
          <a:extLst>
            <a:ext uri="{FF2B5EF4-FFF2-40B4-BE49-F238E27FC236}">
              <a16:creationId xmlns:a16="http://schemas.microsoft.com/office/drawing/2014/main" id="{ABF3F8BC-D1C5-4B13-9F60-8D45AE20E4A7}"/>
            </a:ext>
          </a:extLst>
        </xdr:cNvPr>
        <xdr:cNvCxnSpPr/>
      </xdr:nvCxnSpPr>
      <xdr:spPr>
        <a:xfrm flipH="1" flipV="1">
          <a:off x="4157843" y="2862446"/>
          <a:ext cx="4582" cy="61179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738188</xdr:colOff>
      <xdr:row>16</xdr:row>
      <xdr:rowOff>23813</xdr:rowOff>
    </xdr:from>
    <xdr:to>
      <xdr:col>2</xdr:col>
      <xdr:colOff>892969</xdr:colOff>
      <xdr:row>18</xdr:row>
      <xdr:rowOff>47626</xdr:rowOff>
    </xdr:to>
    <xdr:cxnSp macro="">
      <xdr:nvCxnSpPr>
        <xdr:cNvPr id="8" name="Straight Arrow Connector 7">
          <a:extLst>
            <a:ext uri="{FF2B5EF4-FFF2-40B4-BE49-F238E27FC236}">
              <a16:creationId xmlns:a16="http://schemas.microsoft.com/office/drawing/2014/main" id="{985031F4-60F2-4CDE-A4A2-3A8B06DEF5C1}"/>
            </a:ext>
          </a:extLst>
        </xdr:cNvPr>
        <xdr:cNvCxnSpPr/>
      </xdr:nvCxnSpPr>
      <xdr:spPr>
        <a:xfrm flipH="1" flipV="1">
          <a:off x="4519613" y="2890838"/>
          <a:ext cx="154781" cy="40481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1276717</xdr:colOff>
      <xdr:row>15</xdr:row>
      <xdr:rowOff>220266</xdr:rowOff>
    </xdr:from>
    <xdr:to>
      <xdr:col>3</xdr:col>
      <xdr:colOff>14655</xdr:colOff>
      <xdr:row>16</xdr:row>
      <xdr:rowOff>178594</xdr:rowOff>
    </xdr:to>
    <xdr:cxnSp macro="">
      <xdr:nvCxnSpPr>
        <xdr:cNvPr id="9" name="Straight Arrow Connector 8">
          <a:extLst>
            <a:ext uri="{FF2B5EF4-FFF2-40B4-BE49-F238E27FC236}">
              <a16:creationId xmlns:a16="http://schemas.microsoft.com/office/drawing/2014/main" id="{F2F98DFD-33DD-4C05-9DB8-5E2E03C3BEC8}"/>
            </a:ext>
          </a:extLst>
        </xdr:cNvPr>
        <xdr:cNvCxnSpPr/>
      </xdr:nvCxnSpPr>
      <xdr:spPr>
        <a:xfrm flipH="1" flipV="1">
          <a:off x="5058142" y="2849166"/>
          <a:ext cx="176213" cy="19645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1434703</xdr:colOff>
      <xdr:row>11</xdr:row>
      <xdr:rowOff>184549</xdr:rowOff>
    </xdr:from>
    <xdr:to>
      <xdr:col>1</xdr:col>
      <xdr:colOff>3458765</xdr:colOff>
      <xdr:row>15</xdr:row>
      <xdr:rowOff>41672</xdr:rowOff>
    </xdr:to>
    <xdr:cxnSp macro="">
      <xdr:nvCxnSpPr>
        <xdr:cNvPr id="10" name="Straight Arrow Connector 9">
          <a:extLst>
            <a:ext uri="{FF2B5EF4-FFF2-40B4-BE49-F238E27FC236}">
              <a16:creationId xmlns:a16="http://schemas.microsoft.com/office/drawing/2014/main" id="{03EE6658-71B7-4386-A932-7FF5499F1163}"/>
            </a:ext>
          </a:extLst>
        </xdr:cNvPr>
        <xdr:cNvCxnSpPr/>
      </xdr:nvCxnSpPr>
      <xdr:spPr>
        <a:xfrm flipV="1">
          <a:off x="1758553" y="2051449"/>
          <a:ext cx="2024062" cy="61912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314323</xdr:colOff>
      <xdr:row>14</xdr:row>
      <xdr:rowOff>71437</xdr:rowOff>
    </xdr:from>
    <xdr:to>
      <xdr:col>1</xdr:col>
      <xdr:colOff>1589483</xdr:colOff>
      <xdr:row>19</xdr:row>
      <xdr:rowOff>65485</xdr:rowOff>
    </xdr:to>
    <xdr:sp macro="" textlink="">
      <xdr:nvSpPr>
        <xdr:cNvPr id="11" name="Rectangle 10">
          <a:extLst>
            <a:ext uri="{FF2B5EF4-FFF2-40B4-BE49-F238E27FC236}">
              <a16:creationId xmlns:a16="http://schemas.microsoft.com/office/drawing/2014/main" id="{B8AE30CB-B37A-48C2-8931-1C4E0474EFE8}"/>
            </a:ext>
          </a:extLst>
        </xdr:cNvPr>
        <xdr:cNvSpPr/>
      </xdr:nvSpPr>
      <xdr:spPr>
        <a:xfrm>
          <a:off x="314323" y="2512218"/>
          <a:ext cx="1596629" cy="994173"/>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Payment is negative because money is coming out of wallet / purse. This is a monthly payment.</a:t>
          </a:r>
        </a:p>
      </xdr:txBody>
    </xdr:sp>
    <xdr:clientData/>
  </xdr:twoCellAnchor>
  <xdr:twoCellAnchor>
    <xdr:from>
      <xdr:col>2</xdr:col>
      <xdr:colOff>537615</xdr:colOff>
      <xdr:row>17</xdr:row>
      <xdr:rowOff>163389</xdr:rowOff>
    </xdr:from>
    <xdr:to>
      <xdr:col>4</xdr:col>
      <xdr:colOff>654844</xdr:colOff>
      <xdr:row>19</xdr:row>
      <xdr:rowOff>125015</xdr:rowOff>
    </xdr:to>
    <xdr:sp macro="" textlink="">
      <xdr:nvSpPr>
        <xdr:cNvPr id="12" name="Rectangle 11">
          <a:extLst>
            <a:ext uri="{FF2B5EF4-FFF2-40B4-BE49-F238E27FC236}">
              <a16:creationId xmlns:a16="http://schemas.microsoft.com/office/drawing/2014/main" id="{06CF3733-EA02-47BA-9907-1B378C17A52D}"/>
            </a:ext>
          </a:extLst>
        </xdr:cNvPr>
        <xdr:cNvSpPr/>
      </xdr:nvSpPr>
      <xdr:spPr>
        <a:xfrm>
          <a:off x="4317849" y="3223295"/>
          <a:ext cx="4052245" cy="342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Future value is positive because money is coming into wallet / purse</a:t>
          </a:r>
        </a:p>
      </xdr:txBody>
    </xdr:sp>
    <xdr:clientData/>
  </xdr:twoCellAnchor>
  <xdr:twoCellAnchor>
    <xdr:from>
      <xdr:col>2</xdr:col>
      <xdr:colOff>1160859</xdr:colOff>
      <xdr:row>16</xdr:row>
      <xdr:rowOff>125016</xdr:rowOff>
    </xdr:from>
    <xdr:to>
      <xdr:col>3</xdr:col>
      <xdr:colOff>2115658</xdr:colOff>
      <xdr:row>18</xdr:row>
      <xdr:rowOff>66676</xdr:rowOff>
    </xdr:to>
    <xdr:sp macro="" textlink="">
      <xdr:nvSpPr>
        <xdr:cNvPr id="13" name="Rectangle 12">
          <a:extLst>
            <a:ext uri="{FF2B5EF4-FFF2-40B4-BE49-F238E27FC236}">
              <a16:creationId xmlns:a16="http://schemas.microsoft.com/office/drawing/2014/main" id="{A670D190-9315-4A32-B067-4DDD9ABB2316}"/>
            </a:ext>
          </a:extLst>
        </xdr:cNvPr>
        <xdr:cNvSpPr/>
      </xdr:nvSpPr>
      <xdr:spPr>
        <a:xfrm>
          <a:off x="4942284" y="2992041"/>
          <a:ext cx="2393074" cy="322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Annuity is End, so type is omitted</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2186165</xdr:colOff>
      <xdr:row>16</xdr:row>
      <xdr:rowOff>89296</xdr:rowOff>
    </xdr:from>
    <xdr:to>
      <xdr:col>2</xdr:col>
      <xdr:colOff>1078885</xdr:colOff>
      <xdr:row>18</xdr:row>
      <xdr:rowOff>47625</xdr:rowOff>
    </xdr:to>
    <xdr:sp macro="" textlink="">
      <xdr:nvSpPr>
        <xdr:cNvPr id="2" name="Rectangle 1">
          <a:extLst>
            <a:ext uri="{FF2B5EF4-FFF2-40B4-BE49-F238E27FC236}">
              <a16:creationId xmlns:a16="http://schemas.microsoft.com/office/drawing/2014/main" id="{43BC2ABD-CBB0-4302-BA2C-40A86E5106E1}"/>
            </a:ext>
          </a:extLst>
        </xdr:cNvPr>
        <xdr:cNvSpPr/>
      </xdr:nvSpPr>
      <xdr:spPr>
        <a:xfrm>
          <a:off x="2507634" y="2958702"/>
          <a:ext cx="2351485" cy="3393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rate</a:t>
          </a:r>
        </a:p>
      </xdr:txBody>
    </xdr:sp>
    <xdr:clientData/>
  </xdr:twoCellAnchor>
  <xdr:twoCellAnchor>
    <xdr:from>
      <xdr:col>1</xdr:col>
      <xdr:colOff>1936593</xdr:colOff>
      <xdr:row>18</xdr:row>
      <xdr:rowOff>23812</xdr:rowOff>
    </xdr:from>
    <xdr:to>
      <xdr:col>1</xdr:col>
      <xdr:colOff>3262313</xdr:colOff>
      <xdr:row>20</xdr:row>
      <xdr:rowOff>178594</xdr:rowOff>
    </xdr:to>
    <xdr:sp macro="" textlink="">
      <xdr:nvSpPr>
        <xdr:cNvPr id="3" name="Rectangle 2">
          <a:extLst>
            <a:ext uri="{FF2B5EF4-FFF2-40B4-BE49-F238E27FC236}">
              <a16:creationId xmlns:a16="http://schemas.microsoft.com/office/drawing/2014/main" id="{29E597E7-38C1-40EF-9DB5-BF748E2D262A}"/>
            </a:ext>
          </a:extLst>
        </xdr:cNvPr>
        <xdr:cNvSpPr/>
      </xdr:nvSpPr>
      <xdr:spPr>
        <a:xfrm>
          <a:off x="2258062" y="3274218"/>
          <a:ext cx="1325720" cy="5357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Total number of periods</a:t>
          </a:r>
        </a:p>
      </xdr:txBody>
    </xdr:sp>
    <xdr:clientData/>
  </xdr:twoCellAnchor>
  <xdr:twoCellAnchor>
    <xdr:from>
      <xdr:col>1</xdr:col>
      <xdr:colOff>3257547</xdr:colOff>
      <xdr:row>18</xdr:row>
      <xdr:rowOff>189858</xdr:rowOff>
    </xdr:from>
    <xdr:to>
      <xdr:col>2</xdr:col>
      <xdr:colOff>1041796</xdr:colOff>
      <xdr:row>21</xdr:row>
      <xdr:rowOff>101203</xdr:rowOff>
    </xdr:to>
    <xdr:sp macro="" textlink="">
      <xdr:nvSpPr>
        <xdr:cNvPr id="4" name="Rectangle 3">
          <a:extLst>
            <a:ext uri="{FF2B5EF4-FFF2-40B4-BE49-F238E27FC236}">
              <a16:creationId xmlns:a16="http://schemas.microsoft.com/office/drawing/2014/main" id="{9F65888A-D866-4098-A30E-00B7EAF017F0}"/>
            </a:ext>
          </a:extLst>
        </xdr:cNvPr>
        <xdr:cNvSpPr/>
      </xdr:nvSpPr>
      <xdr:spPr>
        <a:xfrm>
          <a:off x="3579016" y="3440264"/>
          <a:ext cx="1243014" cy="48284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No pv, so argument skipped</a:t>
          </a:r>
        </a:p>
      </xdr:txBody>
    </xdr:sp>
    <xdr:clientData/>
  </xdr:twoCellAnchor>
  <xdr:twoCellAnchor>
    <xdr:from>
      <xdr:col>1</xdr:col>
      <xdr:colOff>2704088</xdr:colOff>
      <xdr:row>15</xdr:row>
      <xdr:rowOff>214313</xdr:rowOff>
    </xdr:from>
    <xdr:to>
      <xdr:col>1</xdr:col>
      <xdr:colOff>2918400</xdr:colOff>
      <xdr:row>16</xdr:row>
      <xdr:rowOff>160736</xdr:rowOff>
    </xdr:to>
    <xdr:cxnSp macro="">
      <xdr:nvCxnSpPr>
        <xdr:cNvPr id="7" name="Straight Arrow Connector 6">
          <a:extLst>
            <a:ext uri="{FF2B5EF4-FFF2-40B4-BE49-F238E27FC236}">
              <a16:creationId xmlns:a16="http://schemas.microsoft.com/office/drawing/2014/main" id="{CE328943-663F-402E-95B4-DF2654C35A6D}"/>
            </a:ext>
          </a:extLst>
        </xdr:cNvPr>
        <xdr:cNvCxnSpPr/>
      </xdr:nvCxnSpPr>
      <xdr:spPr>
        <a:xfrm flipV="1">
          <a:off x="3025557" y="2845594"/>
          <a:ext cx="214312" cy="18454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2808495</xdr:colOff>
      <xdr:row>15</xdr:row>
      <xdr:rowOff>226219</xdr:rowOff>
    </xdr:from>
    <xdr:to>
      <xdr:col>1</xdr:col>
      <xdr:colOff>3333750</xdr:colOff>
      <xdr:row>18</xdr:row>
      <xdr:rowOff>95253</xdr:rowOff>
    </xdr:to>
    <xdr:cxnSp macro="">
      <xdr:nvCxnSpPr>
        <xdr:cNvPr id="8" name="Straight Arrow Connector 7">
          <a:extLst>
            <a:ext uri="{FF2B5EF4-FFF2-40B4-BE49-F238E27FC236}">
              <a16:creationId xmlns:a16="http://schemas.microsoft.com/office/drawing/2014/main" id="{094D7592-090B-4434-B357-DADC70B53E44}"/>
            </a:ext>
          </a:extLst>
        </xdr:cNvPr>
        <xdr:cNvCxnSpPr/>
      </xdr:nvCxnSpPr>
      <xdr:spPr>
        <a:xfrm flipV="1">
          <a:off x="3129964" y="2857500"/>
          <a:ext cx="525255" cy="488159"/>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376418</xdr:colOff>
      <xdr:row>15</xdr:row>
      <xdr:rowOff>233546</xdr:rowOff>
    </xdr:from>
    <xdr:to>
      <xdr:col>2</xdr:col>
      <xdr:colOff>381000</xdr:colOff>
      <xdr:row>19</xdr:row>
      <xdr:rowOff>35719</xdr:rowOff>
    </xdr:to>
    <xdr:cxnSp macro="">
      <xdr:nvCxnSpPr>
        <xdr:cNvPr id="9" name="Straight Arrow Connector 8">
          <a:extLst>
            <a:ext uri="{FF2B5EF4-FFF2-40B4-BE49-F238E27FC236}">
              <a16:creationId xmlns:a16="http://schemas.microsoft.com/office/drawing/2014/main" id="{DF4F6BFC-B795-4696-BD8A-5035FD51275C}"/>
            </a:ext>
          </a:extLst>
        </xdr:cNvPr>
        <xdr:cNvCxnSpPr/>
      </xdr:nvCxnSpPr>
      <xdr:spPr>
        <a:xfrm flipH="1" flipV="1">
          <a:off x="4156652" y="2864827"/>
          <a:ext cx="4582" cy="61179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738188</xdr:colOff>
      <xdr:row>16</xdr:row>
      <xdr:rowOff>23813</xdr:rowOff>
    </xdr:from>
    <xdr:to>
      <xdr:col>2</xdr:col>
      <xdr:colOff>892969</xdr:colOff>
      <xdr:row>18</xdr:row>
      <xdr:rowOff>47626</xdr:rowOff>
    </xdr:to>
    <xdr:cxnSp macro="">
      <xdr:nvCxnSpPr>
        <xdr:cNvPr id="10" name="Straight Arrow Connector 9">
          <a:extLst>
            <a:ext uri="{FF2B5EF4-FFF2-40B4-BE49-F238E27FC236}">
              <a16:creationId xmlns:a16="http://schemas.microsoft.com/office/drawing/2014/main" id="{F69228B4-838C-4B87-ADC0-CB6510BBBA24}"/>
            </a:ext>
          </a:extLst>
        </xdr:cNvPr>
        <xdr:cNvCxnSpPr/>
      </xdr:nvCxnSpPr>
      <xdr:spPr>
        <a:xfrm flipH="1" flipV="1">
          <a:off x="4518422" y="2893219"/>
          <a:ext cx="154781" cy="40481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1276717</xdr:colOff>
      <xdr:row>15</xdr:row>
      <xdr:rowOff>220266</xdr:rowOff>
    </xdr:from>
    <xdr:to>
      <xdr:col>3</xdr:col>
      <xdr:colOff>14655</xdr:colOff>
      <xdr:row>16</xdr:row>
      <xdr:rowOff>178594</xdr:rowOff>
    </xdr:to>
    <xdr:cxnSp macro="">
      <xdr:nvCxnSpPr>
        <xdr:cNvPr id="11" name="Straight Arrow Connector 10">
          <a:extLst>
            <a:ext uri="{FF2B5EF4-FFF2-40B4-BE49-F238E27FC236}">
              <a16:creationId xmlns:a16="http://schemas.microsoft.com/office/drawing/2014/main" id="{14A39828-5256-4851-BAB1-2F5C703D4849}"/>
            </a:ext>
          </a:extLst>
        </xdr:cNvPr>
        <xdr:cNvCxnSpPr/>
      </xdr:nvCxnSpPr>
      <xdr:spPr>
        <a:xfrm flipH="1" flipV="1">
          <a:off x="5058142" y="2849166"/>
          <a:ext cx="119063" cy="19645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1434703</xdr:colOff>
      <xdr:row>11</xdr:row>
      <xdr:rowOff>184549</xdr:rowOff>
    </xdr:from>
    <xdr:to>
      <xdr:col>1</xdr:col>
      <xdr:colOff>3458765</xdr:colOff>
      <xdr:row>15</xdr:row>
      <xdr:rowOff>41672</xdr:rowOff>
    </xdr:to>
    <xdr:cxnSp macro="">
      <xdr:nvCxnSpPr>
        <xdr:cNvPr id="12" name="Straight Arrow Connector 11">
          <a:extLst>
            <a:ext uri="{FF2B5EF4-FFF2-40B4-BE49-F238E27FC236}">
              <a16:creationId xmlns:a16="http://schemas.microsoft.com/office/drawing/2014/main" id="{C534D815-3A1A-40E6-92EE-D5F7FBA078DD}"/>
            </a:ext>
          </a:extLst>
        </xdr:cNvPr>
        <xdr:cNvCxnSpPr/>
      </xdr:nvCxnSpPr>
      <xdr:spPr>
        <a:xfrm flipV="1">
          <a:off x="1756172" y="2053830"/>
          <a:ext cx="2024062" cy="61912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314323</xdr:colOff>
      <xdr:row>14</xdr:row>
      <xdr:rowOff>71437</xdr:rowOff>
    </xdr:from>
    <xdr:to>
      <xdr:col>1</xdr:col>
      <xdr:colOff>1589483</xdr:colOff>
      <xdr:row>19</xdr:row>
      <xdr:rowOff>29766</xdr:rowOff>
    </xdr:to>
    <xdr:sp macro="" textlink="">
      <xdr:nvSpPr>
        <xdr:cNvPr id="13" name="Rectangle 12">
          <a:extLst>
            <a:ext uri="{FF2B5EF4-FFF2-40B4-BE49-F238E27FC236}">
              <a16:creationId xmlns:a16="http://schemas.microsoft.com/office/drawing/2014/main" id="{7126FF95-F807-455B-845E-FF1345C1D460}"/>
            </a:ext>
          </a:extLst>
        </xdr:cNvPr>
        <xdr:cNvSpPr/>
      </xdr:nvSpPr>
      <xdr:spPr>
        <a:xfrm>
          <a:off x="314323" y="2512218"/>
          <a:ext cx="1596629" cy="958454"/>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Payment is negative because money is coming out of wallet / purse. This is a monthly payment.</a:t>
          </a:r>
        </a:p>
      </xdr:txBody>
    </xdr:sp>
    <xdr:clientData/>
  </xdr:twoCellAnchor>
  <xdr:twoCellAnchor>
    <xdr:from>
      <xdr:col>2</xdr:col>
      <xdr:colOff>585240</xdr:colOff>
      <xdr:row>17</xdr:row>
      <xdr:rowOff>163388</xdr:rowOff>
    </xdr:from>
    <xdr:to>
      <xdr:col>3</xdr:col>
      <xdr:colOff>2369343</xdr:colOff>
      <xdr:row>21</xdr:row>
      <xdr:rowOff>29765</xdr:rowOff>
    </xdr:to>
    <xdr:sp macro="" textlink="">
      <xdr:nvSpPr>
        <xdr:cNvPr id="18" name="Rectangle 17">
          <a:extLst>
            <a:ext uri="{FF2B5EF4-FFF2-40B4-BE49-F238E27FC236}">
              <a16:creationId xmlns:a16="http://schemas.microsoft.com/office/drawing/2014/main" id="{F1FB224B-B299-45D3-A229-E6BD258B2485}"/>
            </a:ext>
          </a:extLst>
        </xdr:cNvPr>
        <xdr:cNvSpPr/>
      </xdr:nvSpPr>
      <xdr:spPr>
        <a:xfrm>
          <a:off x="4365474" y="3223294"/>
          <a:ext cx="3224760" cy="6283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Future value is positive because money is coming into wallet / purse</a:t>
          </a:r>
        </a:p>
      </xdr:txBody>
    </xdr:sp>
    <xdr:clientData/>
  </xdr:twoCellAnchor>
  <xdr:twoCellAnchor>
    <xdr:from>
      <xdr:col>2</xdr:col>
      <xdr:colOff>1160859</xdr:colOff>
      <xdr:row>16</xdr:row>
      <xdr:rowOff>125016</xdr:rowOff>
    </xdr:from>
    <xdr:to>
      <xdr:col>3</xdr:col>
      <xdr:colOff>2115658</xdr:colOff>
      <xdr:row>18</xdr:row>
      <xdr:rowOff>66676</xdr:rowOff>
    </xdr:to>
    <xdr:sp macro="" textlink="">
      <xdr:nvSpPr>
        <xdr:cNvPr id="26" name="Rectangle 25">
          <a:extLst>
            <a:ext uri="{FF2B5EF4-FFF2-40B4-BE49-F238E27FC236}">
              <a16:creationId xmlns:a16="http://schemas.microsoft.com/office/drawing/2014/main" id="{3FF718BD-C99E-4E6E-BAF2-EF8AD4FD21E3}"/>
            </a:ext>
          </a:extLst>
        </xdr:cNvPr>
        <xdr:cNvSpPr/>
      </xdr:nvSpPr>
      <xdr:spPr>
        <a:xfrm>
          <a:off x="4941093" y="2994422"/>
          <a:ext cx="2395456" cy="322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Annuity is End, so type is omitted</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1001169</xdr:colOff>
      <xdr:row>14</xdr:row>
      <xdr:rowOff>48668</xdr:rowOff>
    </xdr:from>
    <xdr:to>
      <xdr:col>4</xdr:col>
      <xdr:colOff>292008</xdr:colOff>
      <xdr:row>23</xdr:row>
      <xdr:rowOff>34762</xdr:rowOff>
    </xdr:to>
    <xdr:cxnSp macro="">
      <xdr:nvCxnSpPr>
        <xdr:cNvPr id="18" name="Straight Arrow Connector 17">
          <a:extLst>
            <a:ext uri="{FF2B5EF4-FFF2-40B4-BE49-F238E27FC236}">
              <a16:creationId xmlns:a16="http://schemas.microsoft.com/office/drawing/2014/main" id="{8F5964CA-96C3-4758-BB4A-2BFEE0F49AEF}"/>
            </a:ext>
          </a:extLst>
        </xdr:cNvPr>
        <xdr:cNvCxnSpPr/>
      </xdr:nvCxnSpPr>
      <xdr:spPr>
        <a:xfrm flipH="1">
          <a:off x="4275822" y="2294343"/>
          <a:ext cx="493631" cy="136965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222482</xdr:colOff>
      <xdr:row>7</xdr:row>
      <xdr:rowOff>83430</xdr:rowOff>
    </xdr:from>
    <xdr:to>
      <xdr:col>5</xdr:col>
      <xdr:colOff>646589</xdr:colOff>
      <xdr:row>15</xdr:row>
      <xdr:rowOff>41714</xdr:rowOff>
    </xdr:to>
    <xdr:sp macro="" textlink="$M$22">
      <xdr:nvSpPr>
        <xdr:cNvPr id="14" name="Rectangle 13">
          <a:extLst>
            <a:ext uri="{FF2B5EF4-FFF2-40B4-BE49-F238E27FC236}">
              <a16:creationId xmlns:a16="http://schemas.microsoft.com/office/drawing/2014/main" id="{41D2BDE5-CB9C-448B-A278-B5FA5CF5C84A}"/>
            </a:ext>
          </a:extLst>
        </xdr:cNvPr>
        <xdr:cNvSpPr/>
      </xdr:nvSpPr>
      <xdr:spPr>
        <a:xfrm>
          <a:off x="4699927" y="1133266"/>
          <a:ext cx="1578231" cy="1341842"/>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3371196D-331B-4986-B97D-3D57979F70A6}" type="TxLink">
            <a:rPr lang="en-US" sz="1200" b="0" i="0" u="none" strike="noStrike">
              <a:solidFill>
                <a:srgbClr val="000000"/>
              </a:solidFill>
              <a:latin typeface="Calibri"/>
              <a:cs typeface="Calibri"/>
            </a:rPr>
            <a:pPr algn="ctr"/>
            <a:t>Interest for month 1 is the balance from previous month*period rate = $206,910.92*0.2917% = $603.49</a:t>
          </a:fld>
          <a:endParaRPr lang="en-US" sz="1200"/>
        </a:p>
      </xdr:txBody>
    </xdr:sp>
    <xdr:clientData/>
  </xdr:twoCellAnchor>
  <xdr:twoCellAnchor>
    <xdr:from>
      <xdr:col>3</xdr:col>
      <xdr:colOff>163955</xdr:colOff>
      <xdr:row>262</xdr:row>
      <xdr:rowOff>59895</xdr:rowOff>
    </xdr:from>
    <xdr:to>
      <xdr:col>3</xdr:col>
      <xdr:colOff>421598</xdr:colOff>
      <xdr:row>265</xdr:row>
      <xdr:rowOff>39037</xdr:rowOff>
    </xdr:to>
    <xdr:cxnSp macro="">
      <xdr:nvCxnSpPr>
        <xdr:cNvPr id="21" name="Straight Arrow Connector 20">
          <a:extLst>
            <a:ext uri="{FF2B5EF4-FFF2-40B4-BE49-F238E27FC236}">
              <a16:creationId xmlns:a16="http://schemas.microsoft.com/office/drawing/2014/main" id="{F639FAA1-A114-479A-8DD9-0B589BB41687}"/>
            </a:ext>
          </a:extLst>
        </xdr:cNvPr>
        <xdr:cNvCxnSpPr/>
      </xdr:nvCxnSpPr>
      <xdr:spPr>
        <a:xfrm flipV="1">
          <a:off x="3443053" y="5368911"/>
          <a:ext cx="257643" cy="54127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326769</xdr:colOff>
      <xdr:row>264</xdr:row>
      <xdr:rowOff>83442</xdr:rowOff>
    </xdr:from>
    <xdr:to>
      <xdr:col>5</xdr:col>
      <xdr:colOff>69526</xdr:colOff>
      <xdr:row>267</xdr:row>
      <xdr:rowOff>13905</xdr:rowOff>
    </xdr:to>
    <xdr:sp macro="" textlink="$M$23">
      <xdr:nvSpPr>
        <xdr:cNvPr id="16" name="Rectangle 15">
          <a:extLst>
            <a:ext uri="{FF2B5EF4-FFF2-40B4-BE49-F238E27FC236}">
              <a16:creationId xmlns:a16="http://schemas.microsoft.com/office/drawing/2014/main" id="{FC4D43C4-E213-4A44-BEAC-C469286DF945}"/>
            </a:ext>
          </a:extLst>
        </xdr:cNvPr>
        <xdr:cNvSpPr/>
      </xdr:nvSpPr>
      <xdr:spPr>
        <a:xfrm>
          <a:off x="326769" y="5820766"/>
          <a:ext cx="5375902" cy="51089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4F112EF-65CA-43D4-B2B5-4DE2474E8CBF}" type="TxLink">
            <a:rPr lang="en-US" sz="1200" b="0" i="0" u="none" strike="noStrike">
              <a:solidFill>
                <a:srgbClr val="000000"/>
              </a:solidFill>
              <a:latin typeface="Calibri"/>
              <a:cs typeface="Calibri"/>
            </a:rPr>
            <a:pPr algn="ctr"/>
            <a:t>Interest for month 240 is the balance from previous month*period rate = $1,196.51*0.2917% = $3.49</a:t>
          </a:fld>
          <a:endParaRPr lang="en-US" sz="1200"/>
        </a:p>
      </xdr:txBody>
    </xdr:sp>
    <xdr:clientData/>
  </xdr:twoCellAnchor>
  <xdr:twoCellAnchor>
    <xdr:from>
      <xdr:col>3</xdr:col>
      <xdr:colOff>335280</xdr:colOff>
      <xdr:row>13</xdr:row>
      <xdr:rowOff>53340</xdr:rowOff>
    </xdr:from>
    <xdr:to>
      <xdr:col>3</xdr:col>
      <xdr:colOff>449580</xdr:colOff>
      <xdr:row>15</xdr:row>
      <xdr:rowOff>38100</xdr:rowOff>
    </xdr:to>
    <xdr:cxnSp macro="">
      <xdr:nvCxnSpPr>
        <xdr:cNvPr id="25" name="Straight Arrow Connector 24">
          <a:extLst>
            <a:ext uri="{FF2B5EF4-FFF2-40B4-BE49-F238E27FC236}">
              <a16:creationId xmlns:a16="http://schemas.microsoft.com/office/drawing/2014/main" id="{388958DB-D351-49C9-A3B5-BB223DC3EC82}"/>
            </a:ext>
          </a:extLst>
        </xdr:cNvPr>
        <xdr:cNvCxnSpPr/>
      </xdr:nvCxnSpPr>
      <xdr:spPr>
        <a:xfrm flipV="1">
          <a:off x="3611880" y="2270760"/>
          <a:ext cx="114300" cy="24384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638536</xdr:colOff>
      <xdr:row>13</xdr:row>
      <xdr:rowOff>54061</xdr:rowOff>
    </xdr:from>
    <xdr:to>
      <xdr:col>3</xdr:col>
      <xdr:colOff>723385</xdr:colOff>
      <xdr:row>15</xdr:row>
      <xdr:rowOff>41603</xdr:rowOff>
    </xdr:to>
    <xdr:cxnSp macro="">
      <xdr:nvCxnSpPr>
        <xdr:cNvPr id="31" name="Straight Arrow Connector 30">
          <a:extLst>
            <a:ext uri="{FF2B5EF4-FFF2-40B4-BE49-F238E27FC236}">
              <a16:creationId xmlns:a16="http://schemas.microsoft.com/office/drawing/2014/main" id="{85FBB98A-0A72-4C93-96EF-A6911FC46AD6}"/>
            </a:ext>
          </a:extLst>
        </xdr:cNvPr>
        <xdr:cNvCxnSpPr/>
      </xdr:nvCxnSpPr>
      <xdr:spPr>
        <a:xfrm flipV="1">
          <a:off x="3918225" y="2262831"/>
          <a:ext cx="84849" cy="24497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919652</xdr:colOff>
      <xdr:row>13</xdr:row>
      <xdr:rowOff>54061</xdr:rowOff>
    </xdr:from>
    <xdr:to>
      <xdr:col>3</xdr:col>
      <xdr:colOff>962797</xdr:colOff>
      <xdr:row>15</xdr:row>
      <xdr:rowOff>47268</xdr:rowOff>
    </xdr:to>
    <xdr:cxnSp macro="">
      <xdr:nvCxnSpPr>
        <xdr:cNvPr id="33" name="Straight Arrow Connector 32">
          <a:extLst>
            <a:ext uri="{FF2B5EF4-FFF2-40B4-BE49-F238E27FC236}">
              <a16:creationId xmlns:a16="http://schemas.microsoft.com/office/drawing/2014/main" id="{097B8120-FC3A-4B5F-9C73-13CF48190DD4}"/>
            </a:ext>
          </a:extLst>
        </xdr:cNvPr>
        <xdr:cNvCxnSpPr/>
      </xdr:nvCxnSpPr>
      <xdr:spPr>
        <a:xfrm flipV="1">
          <a:off x="4199341" y="2262831"/>
          <a:ext cx="43145" cy="25064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109304</xdr:colOff>
      <xdr:row>4</xdr:row>
      <xdr:rowOff>163957</xdr:rowOff>
    </xdr:from>
    <xdr:to>
      <xdr:col>7</xdr:col>
      <xdr:colOff>281067</xdr:colOff>
      <xdr:row>7</xdr:row>
      <xdr:rowOff>62461</xdr:rowOff>
    </xdr:to>
    <xdr:sp macro="" textlink="">
      <xdr:nvSpPr>
        <xdr:cNvPr id="10" name="Rectangle 9">
          <a:extLst>
            <a:ext uri="{FF2B5EF4-FFF2-40B4-BE49-F238E27FC236}">
              <a16:creationId xmlns:a16="http://schemas.microsoft.com/office/drawing/2014/main" id="{871DF258-6EC2-466D-B43C-231C068420E2}"/>
            </a:ext>
          </a:extLst>
        </xdr:cNvPr>
        <xdr:cNvSpPr/>
      </xdr:nvSpPr>
      <xdr:spPr>
        <a:xfrm>
          <a:off x="4653197" y="648014"/>
          <a:ext cx="2404673" cy="6558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Present value is positive because money is coming into wallet / purse. The bank gives the lender the money.</a:t>
          </a:r>
        </a:p>
      </xdr:txBody>
    </xdr:sp>
    <xdr:clientData/>
  </xdr:twoCellAnchor>
  <xdr:twoCellAnchor>
    <xdr:from>
      <xdr:col>3</xdr:col>
      <xdr:colOff>1007155</xdr:colOff>
      <xdr:row>5</xdr:row>
      <xdr:rowOff>85881</xdr:rowOff>
    </xdr:from>
    <xdr:to>
      <xdr:col>4</xdr:col>
      <xdr:colOff>148341</xdr:colOff>
      <xdr:row>12</xdr:row>
      <xdr:rowOff>9515</xdr:rowOff>
    </xdr:to>
    <xdr:cxnSp macro="">
      <xdr:nvCxnSpPr>
        <xdr:cNvPr id="12" name="Straight Arrow Connector 11">
          <a:extLst>
            <a:ext uri="{FF2B5EF4-FFF2-40B4-BE49-F238E27FC236}">
              <a16:creationId xmlns:a16="http://schemas.microsoft.com/office/drawing/2014/main" id="{6E2CA0F8-DE4E-4DB3-AE78-5DAD0F61F834}"/>
            </a:ext>
          </a:extLst>
        </xdr:cNvPr>
        <xdr:cNvCxnSpPr/>
      </xdr:nvCxnSpPr>
      <xdr:spPr>
        <a:xfrm flipH="1">
          <a:off x="4348712" y="952500"/>
          <a:ext cx="343522" cy="123527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89944</xdr:colOff>
      <xdr:row>5</xdr:row>
      <xdr:rowOff>93688</xdr:rowOff>
    </xdr:from>
    <xdr:to>
      <xdr:col>4</xdr:col>
      <xdr:colOff>140533</xdr:colOff>
      <xdr:row>5</xdr:row>
      <xdr:rowOff>99456</xdr:rowOff>
    </xdr:to>
    <xdr:cxnSp macro="">
      <xdr:nvCxnSpPr>
        <xdr:cNvPr id="15" name="Straight Arrow Connector 14">
          <a:extLst>
            <a:ext uri="{FF2B5EF4-FFF2-40B4-BE49-F238E27FC236}">
              <a16:creationId xmlns:a16="http://schemas.microsoft.com/office/drawing/2014/main" id="{07F8B3C6-0DD6-4D26-BC8E-510B508B921A}"/>
            </a:ext>
          </a:extLst>
        </xdr:cNvPr>
        <xdr:cNvCxnSpPr/>
      </xdr:nvCxnSpPr>
      <xdr:spPr>
        <a:xfrm flipH="1">
          <a:off x="3431501" y="960307"/>
          <a:ext cx="1252925" cy="576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1688052</xdr:colOff>
      <xdr:row>16</xdr:row>
      <xdr:rowOff>224053</xdr:rowOff>
    </xdr:from>
    <xdr:to>
      <xdr:col>1</xdr:col>
      <xdr:colOff>2539002</xdr:colOff>
      <xdr:row>18</xdr:row>
      <xdr:rowOff>67003</xdr:rowOff>
    </xdr:to>
    <xdr:sp macro="" textlink="">
      <xdr:nvSpPr>
        <xdr:cNvPr id="2" name="Rectangle 1">
          <a:extLst>
            <a:ext uri="{FF2B5EF4-FFF2-40B4-BE49-F238E27FC236}">
              <a16:creationId xmlns:a16="http://schemas.microsoft.com/office/drawing/2014/main" id="{73F7E56C-7EFE-440A-BC69-D20749A2E475}"/>
            </a:ext>
          </a:extLst>
        </xdr:cNvPr>
        <xdr:cNvSpPr/>
      </xdr:nvSpPr>
      <xdr:spPr>
        <a:xfrm>
          <a:off x="2009931" y="3009294"/>
          <a:ext cx="850950" cy="26993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rate</a:t>
          </a:r>
        </a:p>
      </xdr:txBody>
    </xdr:sp>
    <xdr:clientData/>
  </xdr:twoCellAnchor>
  <xdr:twoCellAnchor>
    <xdr:from>
      <xdr:col>1</xdr:col>
      <xdr:colOff>1662544</xdr:colOff>
      <xdr:row>18</xdr:row>
      <xdr:rowOff>183931</xdr:rowOff>
    </xdr:from>
    <xdr:to>
      <xdr:col>1</xdr:col>
      <xdr:colOff>2640724</xdr:colOff>
      <xdr:row>21</xdr:row>
      <xdr:rowOff>124810</xdr:rowOff>
    </xdr:to>
    <xdr:sp macro="" textlink="">
      <xdr:nvSpPr>
        <xdr:cNvPr id="3" name="Rectangle 2">
          <a:extLst>
            <a:ext uri="{FF2B5EF4-FFF2-40B4-BE49-F238E27FC236}">
              <a16:creationId xmlns:a16="http://schemas.microsoft.com/office/drawing/2014/main" id="{D7D7DCBE-A3D7-41F4-A87E-6E3DE1E643C3}"/>
            </a:ext>
          </a:extLst>
        </xdr:cNvPr>
        <xdr:cNvSpPr/>
      </xdr:nvSpPr>
      <xdr:spPr>
        <a:xfrm>
          <a:off x="1984423" y="3396155"/>
          <a:ext cx="978180" cy="51237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Total number of periods</a:t>
          </a:r>
        </a:p>
      </xdr:txBody>
    </xdr:sp>
    <xdr:clientData/>
  </xdr:twoCellAnchor>
  <xdr:twoCellAnchor>
    <xdr:from>
      <xdr:col>1</xdr:col>
      <xdr:colOff>2430518</xdr:colOff>
      <xdr:row>16</xdr:row>
      <xdr:rowOff>235169</xdr:rowOff>
    </xdr:from>
    <xdr:to>
      <xdr:col>2</xdr:col>
      <xdr:colOff>26651</xdr:colOff>
      <xdr:row>17</xdr:row>
      <xdr:rowOff>91966</xdr:rowOff>
    </xdr:to>
    <xdr:cxnSp macro="">
      <xdr:nvCxnSpPr>
        <xdr:cNvPr id="5" name="Straight Arrow Connector 4">
          <a:extLst>
            <a:ext uri="{FF2B5EF4-FFF2-40B4-BE49-F238E27FC236}">
              <a16:creationId xmlns:a16="http://schemas.microsoft.com/office/drawing/2014/main" id="{55A0A62D-20A8-4CA3-B04A-D5C3AB906490}"/>
            </a:ext>
          </a:extLst>
        </xdr:cNvPr>
        <xdr:cNvCxnSpPr/>
      </xdr:nvCxnSpPr>
      <xdr:spPr>
        <a:xfrm flipV="1">
          <a:off x="2752397" y="3020410"/>
          <a:ext cx="269702" cy="9328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2259724</xdr:colOff>
      <xdr:row>17</xdr:row>
      <xdr:rowOff>6569</xdr:rowOff>
    </xdr:from>
    <xdr:to>
      <xdr:col>2</xdr:col>
      <xdr:colOff>407276</xdr:colOff>
      <xdr:row>19</xdr:row>
      <xdr:rowOff>39414</xdr:rowOff>
    </xdr:to>
    <xdr:cxnSp macro="">
      <xdr:nvCxnSpPr>
        <xdr:cNvPr id="6" name="Straight Arrow Connector 5">
          <a:extLst>
            <a:ext uri="{FF2B5EF4-FFF2-40B4-BE49-F238E27FC236}">
              <a16:creationId xmlns:a16="http://schemas.microsoft.com/office/drawing/2014/main" id="{075E75C1-C2B1-41AA-86EC-BD33FE5EC15D}"/>
            </a:ext>
          </a:extLst>
        </xdr:cNvPr>
        <xdr:cNvCxnSpPr/>
      </xdr:nvCxnSpPr>
      <xdr:spPr>
        <a:xfrm flipV="1">
          <a:off x="2581603" y="3028293"/>
          <a:ext cx="821121" cy="41384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959069</xdr:colOff>
      <xdr:row>17</xdr:row>
      <xdr:rowOff>6569</xdr:rowOff>
    </xdr:from>
    <xdr:to>
      <xdr:col>2</xdr:col>
      <xdr:colOff>959070</xdr:colOff>
      <xdr:row>18</xdr:row>
      <xdr:rowOff>39414</xdr:rowOff>
    </xdr:to>
    <xdr:cxnSp macro="">
      <xdr:nvCxnSpPr>
        <xdr:cNvPr id="7" name="Straight Arrow Connector 6">
          <a:extLst>
            <a:ext uri="{FF2B5EF4-FFF2-40B4-BE49-F238E27FC236}">
              <a16:creationId xmlns:a16="http://schemas.microsoft.com/office/drawing/2014/main" id="{24EFE49D-EFF0-46E2-B693-026798CD2BB0}"/>
            </a:ext>
          </a:extLst>
        </xdr:cNvPr>
        <xdr:cNvCxnSpPr/>
      </xdr:nvCxnSpPr>
      <xdr:spPr>
        <a:xfrm flipV="1">
          <a:off x="3954517" y="3028293"/>
          <a:ext cx="1" cy="22334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335017</xdr:colOff>
      <xdr:row>17</xdr:row>
      <xdr:rowOff>6571</xdr:rowOff>
    </xdr:from>
    <xdr:to>
      <xdr:col>3</xdr:col>
      <xdr:colOff>610914</xdr:colOff>
      <xdr:row>18</xdr:row>
      <xdr:rowOff>118242</xdr:rowOff>
    </xdr:to>
    <xdr:cxnSp macro="">
      <xdr:nvCxnSpPr>
        <xdr:cNvPr id="8" name="Straight Arrow Connector 7">
          <a:extLst>
            <a:ext uri="{FF2B5EF4-FFF2-40B4-BE49-F238E27FC236}">
              <a16:creationId xmlns:a16="http://schemas.microsoft.com/office/drawing/2014/main" id="{53A1FE98-1F99-4C3B-B52A-8DFC6E6C2BE4}"/>
            </a:ext>
          </a:extLst>
        </xdr:cNvPr>
        <xdr:cNvCxnSpPr/>
      </xdr:nvCxnSpPr>
      <xdr:spPr>
        <a:xfrm flipH="1" flipV="1">
          <a:off x="4342086" y="3028295"/>
          <a:ext cx="275897" cy="302171"/>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849035</xdr:colOff>
      <xdr:row>16</xdr:row>
      <xdr:rowOff>235235</xdr:rowOff>
    </xdr:from>
    <xdr:to>
      <xdr:col>3</xdr:col>
      <xdr:colOff>1035086</xdr:colOff>
      <xdr:row>17</xdr:row>
      <xdr:rowOff>130628</xdr:rowOff>
    </xdr:to>
    <xdr:cxnSp macro="">
      <xdr:nvCxnSpPr>
        <xdr:cNvPr id="9" name="Straight Arrow Connector 8">
          <a:extLst>
            <a:ext uri="{FF2B5EF4-FFF2-40B4-BE49-F238E27FC236}">
              <a16:creationId xmlns:a16="http://schemas.microsoft.com/office/drawing/2014/main" id="{8552F827-B61D-4E63-9A30-49565633B053}"/>
            </a:ext>
          </a:extLst>
        </xdr:cNvPr>
        <xdr:cNvCxnSpPr/>
      </xdr:nvCxnSpPr>
      <xdr:spPr>
        <a:xfrm flipH="1" flipV="1">
          <a:off x="4856104" y="3020476"/>
          <a:ext cx="186051" cy="13187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1326931</xdr:colOff>
      <xdr:row>15</xdr:row>
      <xdr:rowOff>3191</xdr:rowOff>
    </xdr:from>
    <xdr:to>
      <xdr:col>2</xdr:col>
      <xdr:colOff>24588</xdr:colOff>
      <xdr:row>16</xdr:row>
      <xdr:rowOff>52552</xdr:rowOff>
    </xdr:to>
    <xdr:cxnSp macro="">
      <xdr:nvCxnSpPr>
        <xdr:cNvPr id="10" name="Straight Arrow Connector 9">
          <a:extLst>
            <a:ext uri="{FF2B5EF4-FFF2-40B4-BE49-F238E27FC236}">
              <a16:creationId xmlns:a16="http://schemas.microsoft.com/office/drawing/2014/main" id="{6B05E1A4-942C-48D6-BEA1-C8460681C3A1}"/>
            </a:ext>
          </a:extLst>
        </xdr:cNvPr>
        <xdr:cNvCxnSpPr/>
      </xdr:nvCxnSpPr>
      <xdr:spPr>
        <a:xfrm flipV="1">
          <a:off x="1648810" y="2597932"/>
          <a:ext cx="1371226" cy="239861"/>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1502</xdr:colOff>
      <xdr:row>15</xdr:row>
      <xdr:rowOff>82769</xdr:rowOff>
    </xdr:from>
    <xdr:to>
      <xdr:col>1</xdr:col>
      <xdr:colOff>1629103</xdr:colOff>
      <xdr:row>20</xdr:row>
      <xdr:rowOff>32845</xdr:rowOff>
    </xdr:to>
    <xdr:sp macro="" textlink="">
      <xdr:nvSpPr>
        <xdr:cNvPr id="11" name="Rectangle 10">
          <a:extLst>
            <a:ext uri="{FF2B5EF4-FFF2-40B4-BE49-F238E27FC236}">
              <a16:creationId xmlns:a16="http://schemas.microsoft.com/office/drawing/2014/main" id="{64FFF4F1-61E2-4B4D-B4D9-CCF580C8599F}"/>
            </a:ext>
          </a:extLst>
        </xdr:cNvPr>
        <xdr:cNvSpPr/>
      </xdr:nvSpPr>
      <xdr:spPr>
        <a:xfrm>
          <a:off x="323381" y="2677510"/>
          <a:ext cx="1627601" cy="948559"/>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Payment is negative because money is coming out of wallet / purse. This is a monthly payment.</a:t>
          </a:r>
        </a:p>
      </xdr:txBody>
    </xdr:sp>
    <xdr:clientData/>
  </xdr:twoCellAnchor>
  <xdr:twoCellAnchor>
    <xdr:from>
      <xdr:col>3</xdr:col>
      <xdr:colOff>543626</xdr:colOff>
      <xdr:row>18</xdr:row>
      <xdr:rowOff>63352</xdr:rowOff>
    </xdr:from>
    <xdr:to>
      <xdr:col>4</xdr:col>
      <xdr:colOff>118241</xdr:colOff>
      <xdr:row>24</xdr:row>
      <xdr:rowOff>32845</xdr:rowOff>
    </xdr:to>
    <xdr:sp macro="" textlink="">
      <xdr:nvSpPr>
        <xdr:cNvPr id="12" name="Rectangle 11">
          <a:extLst>
            <a:ext uri="{FF2B5EF4-FFF2-40B4-BE49-F238E27FC236}">
              <a16:creationId xmlns:a16="http://schemas.microsoft.com/office/drawing/2014/main" id="{AA8C5772-DC21-464F-B1C8-C679A007DEEE}"/>
            </a:ext>
          </a:extLst>
        </xdr:cNvPr>
        <xdr:cNvSpPr/>
      </xdr:nvSpPr>
      <xdr:spPr>
        <a:xfrm>
          <a:off x="4550695" y="3275576"/>
          <a:ext cx="2839391" cy="111249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Future value is negative because money is coming out of wallet / purse. This is a balloon payment at the end.</a:t>
          </a:r>
        </a:p>
      </xdr:txBody>
    </xdr:sp>
    <xdr:clientData/>
  </xdr:twoCellAnchor>
  <xdr:twoCellAnchor>
    <xdr:from>
      <xdr:col>3</xdr:col>
      <xdr:colOff>983548</xdr:colOff>
      <xdr:row>16</xdr:row>
      <xdr:rowOff>222988</xdr:rowOff>
    </xdr:from>
    <xdr:to>
      <xdr:col>4</xdr:col>
      <xdr:colOff>768385</xdr:colOff>
      <xdr:row>19</xdr:row>
      <xdr:rowOff>65314</xdr:rowOff>
    </xdr:to>
    <xdr:sp macro="" textlink="">
      <xdr:nvSpPr>
        <xdr:cNvPr id="13" name="Rectangle 12">
          <a:extLst>
            <a:ext uri="{FF2B5EF4-FFF2-40B4-BE49-F238E27FC236}">
              <a16:creationId xmlns:a16="http://schemas.microsoft.com/office/drawing/2014/main" id="{8AC3C908-3327-4DE2-BA7C-DD530E3C34F4}"/>
            </a:ext>
          </a:extLst>
        </xdr:cNvPr>
        <xdr:cNvSpPr/>
      </xdr:nvSpPr>
      <xdr:spPr>
        <a:xfrm>
          <a:off x="4990617" y="3008229"/>
          <a:ext cx="3049613" cy="45980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Annuity is End, so type is omitted</a:t>
          </a:r>
        </a:p>
      </xdr:txBody>
    </xdr:sp>
    <xdr:clientData/>
  </xdr:twoCellAnchor>
  <xdr:twoCellAnchor>
    <xdr:from>
      <xdr:col>1</xdr:col>
      <xdr:colOff>2639224</xdr:colOff>
      <xdr:row>18</xdr:row>
      <xdr:rowOff>16705</xdr:rowOff>
    </xdr:from>
    <xdr:to>
      <xdr:col>3</xdr:col>
      <xdr:colOff>518949</xdr:colOff>
      <xdr:row>23</xdr:row>
      <xdr:rowOff>91964</xdr:rowOff>
    </xdr:to>
    <xdr:sp macro="" textlink="">
      <xdr:nvSpPr>
        <xdr:cNvPr id="30" name="Rectangle 29">
          <a:extLst>
            <a:ext uri="{FF2B5EF4-FFF2-40B4-BE49-F238E27FC236}">
              <a16:creationId xmlns:a16="http://schemas.microsoft.com/office/drawing/2014/main" id="{6311244E-37B7-44AF-8DE3-A1F9727DE0E3}"/>
            </a:ext>
          </a:extLst>
        </xdr:cNvPr>
        <xdr:cNvSpPr/>
      </xdr:nvSpPr>
      <xdr:spPr>
        <a:xfrm>
          <a:off x="2961103" y="3228929"/>
          <a:ext cx="1564915" cy="10277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Present value is positive because money is coming into wallet / purse. The bank gives the lender the money.</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1615793</xdr:colOff>
      <xdr:row>17</xdr:row>
      <xdr:rowOff>708</xdr:rowOff>
    </xdr:from>
    <xdr:to>
      <xdr:col>1</xdr:col>
      <xdr:colOff>2466743</xdr:colOff>
      <xdr:row>18</xdr:row>
      <xdr:rowOff>80141</xdr:rowOff>
    </xdr:to>
    <xdr:sp macro="" textlink="">
      <xdr:nvSpPr>
        <xdr:cNvPr id="2" name="Rectangle 1">
          <a:extLst>
            <a:ext uri="{FF2B5EF4-FFF2-40B4-BE49-F238E27FC236}">
              <a16:creationId xmlns:a16="http://schemas.microsoft.com/office/drawing/2014/main" id="{6570BF2C-C126-4EE5-89D9-CA19C0AE170E}"/>
            </a:ext>
          </a:extLst>
        </xdr:cNvPr>
        <xdr:cNvSpPr/>
      </xdr:nvSpPr>
      <xdr:spPr>
        <a:xfrm>
          <a:off x="1937672" y="3022432"/>
          <a:ext cx="850950" cy="26993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rate</a:t>
          </a:r>
        </a:p>
      </xdr:txBody>
    </xdr:sp>
    <xdr:clientData/>
  </xdr:twoCellAnchor>
  <xdr:twoCellAnchor>
    <xdr:from>
      <xdr:col>1</xdr:col>
      <xdr:colOff>1734802</xdr:colOff>
      <xdr:row>18</xdr:row>
      <xdr:rowOff>6569</xdr:rowOff>
    </xdr:from>
    <xdr:to>
      <xdr:col>2</xdr:col>
      <xdr:colOff>39413</xdr:colOff>
      <xdr:row>20</xdr:row>
      <xdr:rowOff>137948</xdr:rowOff>
    </xdr:to>
    <xdr:sp macro="" textlink="">
      <xdr:nvSpPr>
        <xdr:cNvPr id="3" name="Rectangle 2">
          <a:extLst>
            <a:ext uri="{FF2B5EF4-FFF2-40B4-BE49-F238E27FC236}">
              <a16:creationId xmlns:a16="http://schemas.microsoft.com/office/drawing/2014/main" id="{244DE18F-B454-4267-B481-889E60F95C9A}"/>
            </a:ext>
          </a:extLst>
        </xdr:cNvPr>
        <xdr:cNvSpPr/>
      </xdr:nvSpPr>
      <xdr:spPr>
        <a:xfrm>
          <a:off x="2056681" y="3218793"/>
          <a:ext cx="978180" cy="51237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Total number of periods</a:t>
          </a:r>
        </a:p>
      </xdr:txBody>
    </xdr:sp>
    <xdr:clientData/>
  </xdr:twoCellAnchor>
  <xdr:twoCellAnchor>
    <xdr:from>
      <xdr:col>1</xdr:col>
      <xdr:colOff>2371397</xdr:colOff>
      <xdr:row>17</xdr:row>
      <xdr:rowOff>13139</xdr:rowOff>
    </xdr:from>
    <xdr:to>
      <xdr:col>1</xdr:col>
      <xdr:colOff>2621018</xdr:colOff>
      <xdr:row>17</xdr:row>
      <xdr:rowOff>124810</xdr:rowOff>
    </xdr:to>
    <xdr:cxnSp macro="">
      <xdr:nvCxnSpPr>
        <xdr:cNvPr id="4" name="Straight Arrow Connector 3">
          <a:extLst>
            <a:ext uri="{FF2B5EF4-FFF2-40B4-BE49-F238E27FC236}">
              <a16:creationId xmlns:a16="http://schemas.microsoft.com/office/drawing/2014/main" id="{A53C5578-36A5-4E9F-BE68-64634DE51691}"/>
            </a:ext>
          </a:extLst>
        </xdr:cNvPr>
        <xdr:cNvCxnSpPr/>
      </xdr:nvCxnSpPr>
      <xdr:spPr>
        <a:xfrm flipV="1">
          <a:off x="2693276" y="3034863"/>
          <a:ext cx="249621" cy="111671"/>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2588173</xdr:colOff>
      <xdr:row>16</xdr:row>
      <xdr:rowOff>223346</xdr:rowOff>
    </xdr:from>
    <xdr:to>
      <xdr:col>2</xdr:col>
      <xdr:colOff>407277</xdr:colOff>
      <xdr:row>18</xdr:row>
      <xdr:rowOff>52552</xdr:rowOff>
    </xdr:to>
    <xdr:cxnSp macro="">
      <xdr:nvCxnSpPr>
        <xdr:cNvPr id="5" name="Straight Arrow Connector 4">
          <a:extLst>
            <a:ext uri="{FF2B5EF4-FFF2-40B4-BE49-F238E27FC236}">
              <a16:creationId xmlns:a16="http://schemas.microsoft.com/office/drawing/2014/main" id="{4D5C7CD1-57C6-4CAA-A711-52AD6F96383B}"/>
            </a:ext>
          </a:extLst>
        </xdr:cNvPr>
        <xdr:cNvCxnSpPr/>
      </xdr:nvCxnSpPr>
      <xdr:spPr>
        <a:xfrm flipV="1">
          <a:off x="2910052" y="3008587"/>
          <a:ext cx="492673" cy="256189"/>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702879</xdr:colOff>
      <xdr:row>16</xdr:row>
      <xdr:rowOff>229914</xdr:rowOff>
    </xdr:from>
    <xdr:to>
      <xdr:col>2</xdr:col>
      <xdr:colOff>886811</xdr:colOff>
      <xdr:row>18</xdr:row>
      <xdr:rowOff>52553</xdr:rowOff>
    </xdr:to>
    <xdr:cxnSp macro="">
      <xdr:nvCxnSpPr>
        <xdr:cNvPr id="6" name="Straight Arrow Connector 5">
          <a:extLst>
            <a:ext uri="{FF2B5EF4-FFF2-40B4-BE49-F238E27FC236}">
              <a16:creationId xmlns:a16="http://schemas.microsoft.com/office/drawing/2014/main" id="{C972E21B-E93F-4E4E-B22B-919A185455C1}"/>
            </a:ext>
          </a:extLst>
        </xdr:cNvPr>
        <xdr:cNvCxnSpPr/>
      </xdr:nvCxnSpPr>
      <xdr:spPr>
        <a:xfrm flipV="1">
          <a:off x="3698327" y="3015155"/>
          <a:ext cx="183932" cy="249622"/>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262761</xdr:colOff>
      <xdr:row>16</xdr:row>
      <xdr:rowOff>223348</xdr:rowOff>
    </xdr:from>
    <xdr:to>
      <xdr:col>3</xdr:col>
      <xdr:colOff>834259</xdr:colOff>
      <xdr:row>18</xdr:row>
      <xdr:rowOff>177362</xdr:rowOff>
    </xdr:to>
    <xdr:cxnSp macro="">
      <xdr:nvCxnSpPr>
        <xdr:cNvPr id="7" name="Straight Arrow Connector 6">
          <a:extLst>
            <a:ext uri="{FF2B5EF4-FFF2-40B4-BE49-F238E27FC236}">
              <a16:creationId xmlns:a16="http://schemas.microsoft.com/office/drawing/2014/main" id="{4E22AF2C-EF67-4B6A-AB2A-7B111B0669EF}"/>
            </a:ext>
          </a:extLst>
        </xdr:cNvPr>
        <xdr:cNvCxnSpPr/>
      </xdr:nvCxnSpPr>
      <xdr:spPr>
        <a:xfrm flipH="1" flipV="1">
          <a:off x="4269830" y="3008589"/>
          <a:ext cx="571498" cy="38099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763638</xdr:colOff>
      <xdr:row>16</xdr:row>
      <xdr:rowOff>222097</xdr:rowOff>
    </xdr:from>
    <xdr:to>
      <xdr:col>3</xdr:col>
      <xdr:colOff>949689</xdr:colOff>
      <xdr:row>17</xdr:row>
      <xdr:rowOff>117490</xdr:rowOff>
    </xdr:to>
    <xdr:cxnSp macro="">
      <xdr:nvCxnSpPr>
        <xdr:cNvPr id="8" name="Straight Arrow Connector 7">
          <a:extLst>
            <a:ext uri="{FF2B5EF4-FFF2-40B4-BE49-F238E27FC236}">
              <a16:creationId xmlns:a16="http://schemas.microsoft.com/office/drawing/2014/main" id="{1D39D6FC-55AF-4AAD-8D20-B67EA026E618}"/>
            </a:ext>
          </a:extLst>
        </xdr:cNvPr>
        <xdr:cNvCxnSpPr/>
      </xdr:nvCxnSpPr>
      <xdr:spPr>
        <a:xfrm flipH="1" flipV="1">
          <a:off x="4770707" y="3007338"/>
          <a:ext cx="186051" cy="13187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1208690</xdr:colOff>
      <xdr:row>15</xdr:row>
      <xdr:rowOff>3193</xdr:rowOff>
    </xdr:from>
    <xdr:to>
      <xdr:col>2</xdr:col>
      <xdr:colOff>24588</xdr:colOff>
      <xdr:row>16</xdr:row>
      <xdr:rowOff>32845</xdr:rowOff>
    </xdr:to>
    <xdr:cxnSp macro="">
      <xdr:nvCxnSpPr>
        <xdr:cNvPr id="9" name="Straight Arrow Connector 8">
          <a:extLst>
            <a:ext uri="{FF2B5EF4-FFF2-40B4-BE49-F238E27FC236}">
              <a16:creationId xmlns:a16="http://schemas.microsoft.com/office/drawing/2014/main" id="{1A3587DD-DF78-420A-839B-3D750DC9623F}"/>
            </a:ext>
          </a:extLst>
        </xdr:cNvPr>
        <xdr:cNvCxnSpPr/>
      </xdr:nvCxnSpPr>
      <xdr:spPr>
        <a:xfrm flipV="1">
          <a:off x="1530569" y="2597934"/>
          <a:ext cx="1489467" cy="220152"/>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15</xdr:row>
      <xdr:rowOff>82769</xdr:rowOff>
    </xdr:from>
    <xdr:to>
      <xdr:col>1</xdr:col>
      <xdr:colOff>1445174</xdr:colOff>
      <xdr:row>20</xdr:row>
      <xdr:rowOff>39414</xdr:rowOff>
    </xdr:to>
    <xdr:sp macro="" textlink="">
      <xdr:nvSpPr>
        <xdr:cNvPr id="10" name="Rectangle 9">
          <a:extLst>
            <a:ext uri="{FF2B5EF4-FFF2-40B4-BE49-F238E27FC236}">
              <a16:creationId xmlns:a16="http://schemas.microsoft.com/office/drawing/2014/main" id="{83C47C44-A3BF-47F0-8CD0-2DF7BD692630}"/>
            </a:ext>
          </a:extLst>
        </xdr:cNvPr>
        <xdr:cNvSpPr/>
      </xdr:nvSpPr>
      <xdr:spPr>
        <a:xfrm>
          <a:off x="321879" y="2677510"/>
          <a:ext cx="1445174" cy="955128"/>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Payment is negative because money is coming out of wallet / purse. This is a monthly payment.</a:t>
          </a:r>
        </a:p>
      </xdr:txBody>
    </xdr:sp>
    <xdr:clientData/>
  </xdr:twoCellAnchor>
  <xdr:twoCellAnchor>
    <xdr:from>
      <xdr:col>3</xdr:col>
      <xdr:colOff>780107</xdr:colOff>
      <xdr:row>18</xdr:row>
      <xdr:rowOff>30507</xdr:rowOff>
    </xdr:from>
    <xdr:to>
      <xdr:col>3</xdr:col>
      <xdr:colOff>3199086</xdr:colOff>
      <xdr:row>22</xdr:row>
      <xdr:rowOff>0</xdr:rowOff>
    </xdr:to>
    <xdr:sp macro="" textlink="">
      <xdr:nvSpPr>
        <xdr:cNvPr id="11" name="Rectangle 10">
          <a:extLst>
            <a:ext uri="{FF2B5EF4-FFF2-40B4-BE49-F238E27FC236}">
              <a16:creationId xmlns:a16="http://schemas.microsoft.com/office/drawing/2014/main" id="{4194A9EA-EBED-41CE-BE4C-084B227C9BF3}"/>
            </a:ext>
          </a:extLst>
        </xdr:cNvPr>
        <xdr:cNvSpPr/>
      </xdr:nvSpPr>
      <xdr:spPr>
        <a:xfrm>
          <a:off x="4787176" y="3242731"/>
          <a:ext cx="2418979" cy="8234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Future value is negative because money is coming out of wallet / purse. This is a balloon payment at the end.</a:t>
          </a:r>
        </a:p>
      </xdr:txBody>
    </xdr:sp>
    <xdr:clientData/>
  </xdr:twoCellAnchor>
  <xdr:twoCellAnchor>
    <xdr:from>
      <xdr:col>3</xdr:col>
      <xdr:colOff>917858</xdr:colOff>
      <xdr:row>16</xdr:row>
      <xdr:rowOff>222989</xdr:rowOff>
    </xdr:from>
    <xdr:to>
      <xdr:col>4</xdr:col>
      <xdr:colOff>472965</xdr:colOff>
      <xdr:row>19</xdr:row>
      <xdr:rowOff>19708</xdr:rowOff>
    </xdr:to>
    <xdr:sp macro="" textlink="">
      <xdr:nvSpPr>
        <xdr:cNvPr id="12" name="Rectangle 11">
          <a:extLst>
            <a:ext uri="{FF2B5EF4-FFF2-40B4-BE49-F238E27FC236}">
              <a16:creationId xmlns:a16="http://schemas.microsoft.com/office/drawing/2014/main" id="{C5772B8E-E1CF-4324-907C-22FA10CAA8F8}"/>
            </a:ext>
          </a:extLst>
        </xdr:cNvPr>
        <xdr:cNvSpPr/>
      </xdr:nvSpPr>
      <xdr:spPr>
        <a:xfrm>
          <a:off x="4924927" y="3008230"/>
          <a:ext cx="2773900" cy="4142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Annuity is End, so type is omitted</a:t>
          </a:r>
        </a:p>
      </xdr:txBody>
    </xdr:sp>
    <xdr:clientData/>
  </xdr:twoCellAnchor>
  <xdr:twoCellAnchor>
    <xdr:from>
      <xdr:col>1</xdr:col>
      <xdr:colOff>2612948</xdr:colOff>
      <xdr:row>17</xdr:row>
      <xdr:rowOff>180929</xdr:rowOff>
    </xdr:from>
    <xdr:to>
      <xdr:col>3</xdr:col>
      <xdr:colOff>775137</xdr:colOff>
      <xdr:row>22</xdr:row>
      <xdr:rowOff>19707</xdr:rowOff>
    </xdr:to>
    <xdr:sp macro="" textlink="">
      <xdr:nvSpPr>
        <xdr:cNvPr id="13" name="Rectangle 12">
          <a:extLst>
            <a:ext uri="{FF2B5EF4-FFF2-40B4-BE49-F238E27FC236}">
              <a16:creationId xmlns:a16="http://schemas.microsoft.com/office/drawing/2014/main" id="{55FAC994-DC37-43D0-9229-BF3679A6E110}"/>
            </a:ext>
          </a:extLst>
        </xdr:cNvPr>
        <xdr:cNvSpPr/>
      </xdr:nvSpPr>
      <xdr:spPr>
        <a:xfrm>
          <a:off x="2934827" y="3202653"/>
          <a:ext cx="1847379" cy="98177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Present value is positive because money is coming into wallet / purse. The bank gives the lender the money.</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1491156</xdr:colOff>
      <xdr:row>14</xdr:row>
      <xdr:rowOff>93987</xdr:rowOff>
    </xdr:from>
    <xdr:to>
      <xdr:col>1</xdr:col>
      <xdr:colOff>2423949</xdr:colOff>
      <xdr:row>15</xdr:row>
      <xdr:rowOff>164224</xdr:rowOff>
    </xdr:to>
    <xdr:sp macro="" textlink="">
      <xdr:nvSpPr>
        <xdr:cNvPr id="2" name="Rectangle 1">
          <a:extLst>
            <a:ext uri="{FF2B5EF4-FFF2-40B4-BE49-F238E27FC236}">
              <a16:creationId xmlns:a16="http://schemas.microsoft.com/office/drawing/2014/main" id="{7DC5BA01-681B-4EBB-95E1-A74D9E0308D9}"/>
            </a:ext>
          </a:extLst>
        </xdr:cNvPr>
        <xdr:cNvSpPr/>
      </xdr:nvSpPr>
      <xdr:spPr>
        <a:xfrm>
          <a:off x="1813035" y="2544211"/>
          <a:ext cx="932793" cy="2607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rate</a:t>
          </a:r>
        </a:p>
      </xdr:txBody>
    </xdr:sp>
    <xdr:clientData/>
  </xdr:twoCellAnchor>
  <xdr:twoCellAnchor>
    <xdr:from>
      <xdr:col>1</xdr:col>
      <xdr:colOff>2102069</xdr:colOff>
      <xdr:row>13</xdr:row>
      <xdr:rowOff>233529</xdr:rowOff>
    </xdr:from>
    <xdr:to>
      <xdr:col>1</xdr:col>
      <xdr:colOff>2227254</xdr:colOff>
      <xdr:row>14</xdr:row>
      <xdr:rowOff>131379</xdr:rowOff>
    </xdr:to>
    <xdr:cxnSp macro="">
      <xdr:nvCxnSpPr>
        <xdr:cNvPr id="4" name="Straight Arrow Connector 3">
          <a:extLst>
            <a:ext uri="{FF2B5EF4-FFF2-40B4-BE49-F238E27FC236}">
              <a16:creationId xmlns:a16="http://schemas.microsoft.com/office/drawing/2014/main" id="{0C0C21C5-14F7-47A5-82E9-7850E01D668E}"/>
            </a:ext>
          </a:extLst>
        </xdr:cNvPr>
        <xdr:cNvCxnSpPr/>
      </xdr:nvCxnSpPr>
      <xdr:spPr>
        <a:xfrm flipV="1">
          <a:off x="2423948" y="2447270"/>
          <a:ext cx="125185" cy="13433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2469931</xdr:colOff>
      <xdr:row>14</xdr:row>
      <xdr:rowOff>0</xdr:rowOff>
    </xdr:from>
    <xdr:to>
      <xdr:col>2</xdr:col>
      <xdr:colOff>0</xdr:colOff>
      <xdr:row>16</xdr:row>
      <xdr:rowOff>19707</xdr:rowOff>
    </xdr:to>
    <xdr:cxnSp macro="">
      <xdr:nvCxnSpPr>
        <xdr:cNvPr id="5" name="Straight Arrow Connector 4">
          <a:extLst>
            <a:ext uri="{FF2B5EF4-FFF2-40B4-BE49-F238E27FC236}">
              <a16:creationId xmlns:a16="http://schemas.microsoft.com/office/drawing/2014/main" id="{23B7AB8B-71B1-4A2A-AF5C-1756E1F78BF0}"/>
            </a:ext>
          </a:extLst>
        </xdr:cNvPr>
        <xdr:cNvCxnSpPr/>
      </xdr:nvCxnSpPr>
      <xdr:spPr>
        <a:xfrm flipV="1">
          <a:off x="2791810" y="2450224"/>
          <a:ext cx="203638" cy="40070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433554</xdr:colOff>
      <xdr:row>13</xdr:row>
      <xdr:rowOff>223347</xdr:rowOff>
    </xdr:from>
    <xdr:to>
      <xdr:col>2</xdr:col>
      <xdr:colOff>440121</xdr:colOff>
      <xdr:row>16</xdr:row>
      <xdr:rowOff>157655</xdr:rowOff>
    </xdr:to>
    <xdr:cxnSp macro="">
      <xdr:nvCxnSpPr>
        <xdr:cNvPr id="6" name="Straight Arrow Connector 5">
          <a:extLst>
            <a:ext uri="{FF2B5EF4-FFF2-40B4-BE49-F238E27FC236}">
              <a16:creationId xmlns:a16="http://schemas.microsoft.com/office/drawing/2014/main" id="{05B7734F-144B-4C01-A12E-05A6AB551B42}"/>
            </a:ext>
          </a:extLst>
        </xdr:cNvPr>
        <xdr:cNvCxnSpPr/>
      </xdr:nvCxnSpPr>
      <xdr:spPr>
        <a:xfrm flipH="1" flipV="1">
          <a:off x="3429002" y="2437088"/>
          <a:ext cx="6567" cy="551791"/>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788279</xdr:colOff>
      <xdr:row>13</xdr:row>
      <xdr:rowOff>223349</xdr:rowOff>
    </xdr:from>
    <xdr:to>
      <xdr:col>2</xdr:col>
      <xdr:colOff>919655</xdr:colOff>
      <xdr:row>15</xdr:row>
      <xdr:rowOff>111673</xdr:rowOff>
    </xdr:to>
    <xdr:cxnSp macro="">
      <xdr:nvCxnSpPr>
        <xdr:cNvPr id="7" name="Straight Arrow Connector 6">
          <a:extLst>
            <a:ext uri="{FF2B5EF4-FFF2-40B4-BE49-F238E27FC236}">
              <a16:creationId xmlns:a16="http://schemas.microsoft.com/office/drawing/2014/main" id="{5496453B-7CA3-481B-BE33-09A1C4A8C877}"/>
            </a:ext>
          </a:extLst>
        </xdr:cNvPr>
        <xdr:cNvCxnSpPr/>
      </xdr:nvCxnSpPr>
      <xdr:spPr>
        <a:xfrm flipH="1" flipV="1">
          <a:off x="3783727" y="2437090"/>
          <a:ext cx="131376" cy="31530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343226</xdr:colOff>
      <xdr:row>13</xdr:row>
      <xdr:rowOff>220456</xdr:rowOff>
    </xdr:from>
    <xdr:to>
      <xdr:col>3</xdr:col>
      <xdr:colOff>440121</xdr:colOff>
      <xdr:row>14</xdr:row>
      <xdr:rowOff>118241</xdr:rowOff>
    </xdr:to>
    <xdr:cxnSp macro="">
      <xdr:nvCxnSpPr>
        <xdr:cNvPr id="8" name="Straight Arrow Connector 7">
          <a:extLst>
            <a:ext uri="{FF2B5EF4-FFF2-40B4-BE49-F238E27FC236}">
              <a16:creationId xmlns:a16="http://schemas.microsoft.com/office/drawing/2014/main" id="{AFBA7435-BD90-4E37-B6EB-5E1E7765327B}"/>
            </a:ext>
          </a:extLst>
        </xdr:cNvPr>
        <xdr:cNvCxnSpPr/>
      </xdr:nvCxnSpPr>
      <xdr:spPr>
        <a:xfrm flipH="1" flipV="1">
          <a:off x="4350295" y="2434197"/>
          <a:ext cx="96895" cy="13426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1202121</xdr:colOff>
      <xdr:row>10</xdr:row>
      <xdr:rowOff>101726</xdr:rowOff>
    </xdr:from>
    <xdr:to>
      <xdr:col>1</xdr:col>
      <xdr:colOff>2665313</xdr:colOff>
      <xdr:row>13</xdr:row>
      <xdr:rowOff>52552</xdr:rowOff>
    </xdr:to>
    <xdr:cxnSp macro="">
      <xdr:nvCxnSpPr>
        <xdr:cNvPr id="9" name="Straight Arrow Connector 8">
          <a:extLst>
            <a:ext uri="{FF2B5EF4-FFF2-40B4-BE49-F238E27FC236}">
              <a16:creationId xmlns:a16="http://schemas.microsoft.com/office/drawing/2014/main" id="{493038F9-ABE6-493F-AC8A-40152F8AD442}"/>
            </a:ext>
          </a:extLst>
        </xdr:cNvPr>
        <xdr:cNvCxnSpPr/>
      </xdr:nvCxnSpPr>
      <xdr:spPr>
        <a:xfrm flipV="1">
          <a:off x="1524000" y="1743967"/>
          <a:ext cx="1463192" cy="52232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316813</xdr:colOff>
      <xdr:row>12</xdr:row>
      <xdr:rowOff>63062</xdr:rowOff>
    </xdr:from>
    <xdr:to>
      <xdr:col>1</xdr:col>
      <xdr:colOff>1366346</xdr:colOff>
      <xdr:row>18</xdr:row>
      <xdr:rowOff>0</xdr:rowOff>
    </xdr:to>
    <xdr:sp macro="" textlink="">
      <xdr:nvSpPr>
        <xdr:cNvPr id="10" name="Rectangle 9">
          <a:extLst>
            <a:ext uri="{FF2B5EF4-FFF2-40B4-BE49-F238E27FC236}">
              <a16:creationId xmlns:a16="http://schemas.microsoft.com/office/drawing/2014/main" id="{0B82EF1B-7F47-447F-BB81-736E11AD675B}"/>
            </a:ext>
          </a:extLst>
        </xdr:cNvPr>
        <xdr:cNvSpPr/>
      </xdr:nvSpPr>
      <xdr:spPr>
        <a:xfrm>
          <a:off x="316813" y="2086303"/>
          <a:ext cx="1371412" cy="1125921"/>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Total number of periods uses the unit of time "months". So this is: total months to pay off loan.</a:t>
          </a:r>
        </a:p>
      </xdr:txBody>
    </xdr:sp>
    <xdr:clientData/>
  </xdr:twoCellAnchor>
  <xdr:twoCellAnchor>
    <xdr:from>
      <xdr:col>3</xdr:col>
      <xdr:colOff>168996</xdr:colOff>
      <xdr:row>14</xdr:row>
      <xdr:rowOff>49896</xdr:rowOff>
    </xdr:from>
    <xdr:to>
      <xdr:col>4</xdr:col>
      <xdr:colOff>302173</xdr:colOff>
      <xdr:row>15</xdr:row>
      <xdr:rowOff>151087</xdr:rowOff>
    </xdr:to>
    <xdr:sp macro="" textlink="">
      <xdr:nvSpPr>
        <xdr:cNvPr id="12" name="Rectangle 11">
          <a:extLst>
            <a:ext uri="{FF2B5EF4-FFF2-40B4-BE49-F238E27FC236}">
              <a16:creationId xmlns:a16="http://schemas.microsoft.com/office/drawing/2014/main" id="{0CE06896-34BF-4D3F-B1F0-80E9A2504DBA}"/>
            </a:ext>
          </a:extLst>
        </xdr:cNvPr>
        <xdr:cNvSpPr/>
      </xdr:nvSpPr>
      <xdr:spPr>
        <a:xfrm>
          <a:off x="4176065" y="2500120"/>
          <a:ext cx="2327211" cy="29169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Annuity is End, so type is omitted</a:t>
          </a:r>
        </a:p>
      </xdr:txBody>
    </xdr:sp>
    <xdr:clientData/>
  </xdr:twoCellAnchor>
  <xdr:twoCellAnchor>
    <xdr:from>
      <xdr:col>2</xdr:col>
      <xdr:colOff>85395</xdr:colOff>
      <xdr:row>16</xdr:row>
      <xdr:rowOff>128377</xdr:rowOff>
    </xdr:from>
    <xdr:to>
      <xdr:col>3</xdr:col>
      <xdr:colOff>1142998</xdr:colOff>
      <xdr:row>21</xdr:row>
      <xdr:rowOff>118241</xdr:rowOff>
    </xdr:to>
    <xdr:sp macro="" textlink="">
      <xdr:nvSpPr>
        <xdr:cNvPr id="13" name="Rectangle 12">
          <a:extLst>
            <a:ext uri="{FF2B5EF4-FFF2-40B4-BE49-F238E27FC236}">
              <a16:creationId xmlns:a16="http://schemas.microsoft.com/office/drawing/2014/main" id="{09959197-94B7-482A-A7D7-A7480B66A782}"/>
            </a:ext>
          </a:extLst>
        </xdr:cNvPr>
        <xdr:cNvSpPr/>
      </xdr:nvSpPr>
      <xdr:spPr>
        <a:xfrm>
          <a:off x="3080843" y="2959601"/>
          <a:ext cx="2069224" cy="8372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Present value is positive because money is coming into wallet / purse. The bank gives the lender the money.</a:t>
          </a:r>
        </a:p>
      </xdr:txBody>
    </xdr:sp>
    <xdr:clientData/>
  </xdr:twoCellAnchor>
  <xdr:twoCellAnchor>
    <xdr:from>
      <xdr:col>1</xdr:col>
      <xdr:colOff>1425467</xdr:colOff>
      <xdr:row>15</xdr:row>
      <xdr:rowOff>175674</xdr:rowOff>
    </xdr:from>
    <xdr:to>
      <xdr:col>2</xdr:col>
      <xdr:colOff>111674</xdr:colOff>
      <xdr:row>21</xdr:row>
      <xdr:rowOff>156011</xdr:rowOff>
    </xdr:to>
    <xdr:sp macro="" textlink="">
      <xdr:nvSpPr>
        <xdr:cNvPr id="15" name="Rectangle 14">
          <a:extLst>
            <a:ext uri="{FF2B5EF4-FFF2-40B4-BE49-F238E27FC236}">
              <a16:creationId xmlns:a16="http://schemas.microsoft.com/office/drawing/2014/main" id="{226CEBA4-9192-4FD3-ADC5-9F37BF5A7CA6}"/>
            </a:ext>
          </a:extLst>
        </xdr:cNvPr>
        <xdr:cNvSpPr/>
      </xdr:nvSpPr>
      <xdr:spPr>
        <a:xfrm>
          <a:off x="1747346" y="2816398"/>
          <a:ext cx="1359776" cy="10182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Payment is negative because money is coming out of wallet / purse. This is the monthly payment.</a:t>
          </a:r>
        </a:p>
      </xdr:txBody>
    </xdr:sp>
    <xdr:clientData/>
  </xdr:twoCellAnchor>
  <xdr:twoCellAnchor>
    <xdr:from>
      <xdr:col>2</xdr:col>
      <xdr:colOff>827690</xdr:colOff>
      <xdr:row>15</xdr:row>
      <xdr:rowOff>72259</xdr:rowOff>
    </xdr:from>
    <xdr:to>
      <xdr:col>3</xdr:col>
      <xdr:colOff>1911569</xdr:colOff>
      <xdr:row>17</xdr:row>
      <xdr:rowOff>6569</xdr:rowOff>
    </xdr:to>
    <xdr:sp macro="" textlink="">
      <xdr:nvSpPr>
        <xdr:cNvPr id="19" name="Rectangle 18">
          <a:extLst>
            <a:ext uri="{FF2B5EF4-FFF2-40B4-BE49-F238E27FC236}">
              <a16:creationId xmlns:a16="http://schemas.microsoft.com/office/drawing/2014/main" id="{7C10B0D4-6DF9-4A94-8420-1A0E2477BDDB}"/>
            </a:ext>
          </a:extLst>
        </xdr:cNvPr>
        <xdr:cNvSpPr/>
      </xdr:nvSpPr>
      <xdr:spPr>
        <a:xfrm>
          <a:off x="3823138" y="2712983"/>
          <a:ext cx="2095500" cy="3153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No fv, so argument omitted</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1491156</xdr:colOff>
      <xdr:row>14</xdr:row>
      <xdr:rowOff>93987</xdr:rowOff>
    </xdr:from>
    <xdr:to>
      <xdr:col>1</xdr:col>
      <xdr:colOff>2423949</xdr:colOff>
      <xdr:row>15</xdr:row>
      <xdr:rowOff>164224</xdr:rowOff>
    </xdr:to>
    <xdr:sp macro="" textlink="">
      <xdr:nvSpPr>
        <xdr:cNvPr id="2" name="Rectangle 1">
          <a:extLst>
            <a:ext uri="{FF2B5EF4-FFF2-40B4-BE49-F238E27FC236}">
              <a16:creationId xmlns:a16="http://schemas.microsoft.com/office/drawing/2014/main" id="{445D5036-AACB-4AE1-AD93-362266A64048}"/>
            </a:ext>
          </a:extLst>
        </xdr:cNvPr>
        <xdr:cNvSpPr/>
      </xdr:nvSpPr>
      <xdr:spPr>
        <a:xfrm>
          <a:off x="1815006" y="2541912"/>
          <a:ext cx="932793" cy="2607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rate</a:t>
          </a:r>
        </a:p>
      </xdr:txBody>
    </xdr:sp>
    <xdr:clientData/>
  </xdr:twoCellAnchor>
  <xdr:twoCellAnchor>
    <xdr:from>
      <xdr:col>1</xdr:col>
      <xdr:colOff>2102069</xdr:colOff>
      <xdr:row>13</xdr:row>
      <xdr:rowOff>233529</xdr:rowOff>
    </xdr:from>
    <xdr:to>
      <xdr:col>1</xdr:col>
      <xdr:colOff>2227254</xdr:colOff>
      <xdr:row>14</xdr:row>
      <xdr:rowOff>131379</xdr:rowOff>
    </xdr:to>
    <xdr:cxnSp macro="">
      <xdr:nvCxnSpPr>
        <xdr:cNvPr id="3" name="Straight Arrow Connector 2">
          <a:extLst>
            <a:ext uri="{FF2B5EF4-FFF2-40B4-BE49-F238E27FC236}">
              <a16:creationId xmlns:a16="http://schemas.microsoft.com/office/drawing/2014/main" id="{A702C1F7-67A1-480E-8BBE-C6627423AF99}"/>
            </a:ext>
          </a:extLst>
        </xdr:cNvPr>
        <xdr:cNvCxnSpPr/>
      </xdr:nvCxnSpPr>
      <xdr:spPr>
        <a:xfrm flipV="1">
          <a:off x="2425919" y="2443329"/>
          <a:ext cx="125185" cy="13597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2469931</xdr:colOff>
      <xdr:row>14</xdr:row>
      <xdr:rowOff>0</xdr:rowOff>
    </xdr:from>
    <xdr:to>
      <xdr:col>2</xdr:col>
      <xdr:colOff>0</xdr:colOff>
      <xdr:row>16</xdr:row>
      <xdr:rowOff>19707</xdr:rowOff>
    </xdr:to>
    <xdr:cxnSp macro="">
      <xdr:nvCxnSpPr>
        <xdr:cNvPr id="4" name="Straight Arrow Connector 3">
          <a:extLst>
            <a:ext uri="{FF2B5EF4-FFF2-40B4-BE49-F238E27FC236}">
              <a16:creationId xmlns:a16="http://schemas.microsoft.com/office/drawing/2014/main" id="{788D86EB-739A-4C65-A8B9-54890546F378}"/>
            </a:ext>
          </a:extLst>
        </xdr:cNvPr>
        <xdr:cNvCxnSpPr/>
      </xdr:nvCxnSpPr>
      <xdr:spPr>
        <a:xfrm flipV="1">
          <a:off x="2793781" y="2447925"/>
          <a:ext cx="206594" cy="40070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433554</xdr:colOff>
      <xdr:row>13</xdr:row>
      <xdr:rowOff>223347</xdr:rowOff>
    </xdr:from>
    <xdr:to>
      <xdr:col>2</xdr:col>
      <xdr:colOff>440121</xdr:colOff>
      <xdr:row>16</xdr:row>
      <xdr:rowOff>157655</xdr:rowOff>
    </xdr:to>
    <xdr:cxnSp macro="">
      <xdr:nvCxnSpPr>
        <xdr:cNvPr id="5" name="Straight Arrow Connector 4">
          <a:extLst>
            <a:ext uri="{FF2B5EF4-FFF2-40B4-BE49-F238E27FC236}">
              <a16:creationId xmlns:a16="http://schemas.microsoft.com/office/drawing/2014/main" id="{64E5EAE6-DEAF-40D8-891E-838A2096E6B9}"/>
            </a:ext>
          </a:extLst>
        </xdr:cNvPr>
        <xdr:cNvCxnSpPr/>
      </xdr:nvCxnSpPr>
      <xdr:spPr>
        <a:xfrm flipH="1" flipV="1">
          <a:off x="3433929" y="2433147"/>
          <a:ext cx="6567" cy="55343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788279</xdr:colOff>
      <xdr:row>13</xdr:row>
      <xdr:rowOff>223349</xdr:rowOff>
    </xdr:from>
    <xdr:to>
      <xdr:col>2</xdr:col>
      <xdr:colOff>919655</xdr:colOff>
      <xdr:row>15</xdr:row>
      <xdr:rowOff>111673</xdr:rowOff>
    </xdr:to>
    <xdr:cxnSp macro="">
      <xdr:nvCxnSpPr>
        <xdr:cNvPr id="6" name="Straight Arrow Connector 5">
          <a:extLst>
            <a:ext uri="{FF2B5EF4-FFF2-40B4-BE49-F238E27FC236}">
              <a16:creationId xmlns:a16="http://schemas.microsoft.com/office/drawing/2014/main" id="{64104D29-EA7C-4809-A130-54A711B7BBF7}"/>
            </a:ext>
          </a:extLst>
        </xdr:cNvPr>
        <xdr:cNvCxnSpPr/>
      </xdr:nvCxnSpPr>
      <xdr:spPr>
        <a:xfrm flipH="1" flipV="1">
          <a:off x="3788654" y="2433149"/>
          <a:ext cx="131376" cy="316949"/>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343226</xdr:colOff>
      <xdr:row>13</xdr:row>
      <xdr:rowOff>220456</xdr:rowOff>
    </xdr:from>
    <xdr:to>
      <xdr:col>3</xdr:col>
      <xdr:colOff>440121</xdr:colOff>
      <xdr:row>14</xdr:row>
      <xdr:rowOff>118241</xdr:rowOff>
    </xdr:to>
    <xdr:cxnSp macro="">
      <xdr:nvCxnSpPr>
        <xdr:cNvPr id="7" name="Straight Arrow Connector 6">
          <a:extLst>
            <a:ext uri="{FF2B5EF4-FFF2-40B4-BE49-F238E27FC236}">
              <a16:creationId xmlns:a16="http://schemas.microsoft.com/office/drawing/2014/main" id="{B5CD3C37-B7D0-4C5A-BC61-A151BD943585}"/>
            </a:ext>
          </a:extLst>
        </xdr:cNvPr>
        <xdr:cNvCxnSpPr/>
      </xdr:nvCxnSpPr>
      <xdr:spPr>
        <a:xfrm flipH="1" flipV="1">
          <a:off x="4353251" y="2430256"/>
          <a:ext cx="96895" cy="13591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1202121</xdr:colOff>
      <xdr:row>10</xdr:row>
      <xdr:rowOff>101726</xdr:rowOff>
    </xdr:from>
    <xdr:to>
      <xdr:col>1</xdr:col>
      <xdr:colOff>2665313</xdr:colOff>
      <xdr:row>13</xdr:row>
      <xdr:rowOff>52552</xdr:rowOff>
    </xdr:to>
    <xdr:cxnSp macro="">
      <xdr:nvCxnSpPr>
        <xdr:cNvPr id="8" name="Straight Arrow Connector 7">
          <a:extLst>
            <a:ext uri="{FF2B5EF4-FFF2-40B4-BE49-F238E27FC236}">
              <a16:creationId xmlns:a16="http://schemas.microsoft.com/office/drawing/2014/main" id="{D39B6DB4-3BE2-4204-9A4B-607DDB549E61}"/>
            </a:ext>
          </a:extLst>
        </xdr:cNvPr>
        <xdr:cNvCxnSpPr/>
      </xdr:nvCxnSpPr>
      <xdr:spPr>
        <a:xfrm flipV="1">
          <a:off x="1525971" y="1740026"/>
          <a:ext cx="1463192" cy="52232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316813</xdr:colOff>
      <xdr:row>12</xdr:row>
      <xdr:rowOff>63062</xdr:rowOff>
    </xdr:from>
    <xdr:to>
      <xdr:col>1</xdr:col>
      <xdr:colOff>1366346</xdr:colOff>
      <xdr:row>18</xdr:row>
      <xdr:rowOff>0</xdr:rowOff>
    </xdr:to>
    <xdr:sp macro="" textlink="">
      <xdr:nvSpPr>
        <xdr:cNvPr id="9" name="Rectangle 8">
          <a:extLst>
            <a:ext uri="{FF2B5EF4-FFF2-40B4-BE49-F238E27FC236}">
              <a16:creationId xmlns:a16="http://schemas.microsoft.com/office/drawing/2014/main" id="{3095AD3B-15D1-4ABF-B771-46B5E1A42A56}"/>
            </a:ext>
          </a:extLst>
        </xdr:cNvPr>
        <xdr:cNvSpPr/>
      </xdr:nvSpPr>
      <xdr:spPr>
        <a:xfrm>
          <a:off x="316813" y="2082362"/>
          <a:ext cx="1373383" cy="1127563"/>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Total number of periods uses the unit of time "months". So this is: total months to pay off loan.</a:t>
          </a:r>
        </a:p>
      </xdr:txBody>
    </xdr:sp>
    <xdr:clientData/>
  </xdr:twoCellAnchor>
  <xdr:twoCellAnchor>
    <xdr:from>
      <xdr:col>3</xdr:col>
      <xdr:colOff>168996</xdr:colOff>
      <xdr:row>14</xdr:row>
      <xdr:rowOff>49896</xdr:rowOff>
    </xdr:from>
    <xdr:to>
      <xdr:col>4</xdr:col>
      <xdr:colOff>302173</xdr:colOff>
      <xdr:row>15</xdr:row>
      <xdr:rowOff>151087</xdr:rowOff>
    </xdr:to>
    <xdr:sp macro="" textlink="">
      <xdr:nvSpPr>
        <xdr:cNvPr id="10" name="Rectangle 9">
          <a:extLst>
            <a:ext uri="{FF2B5EF4-FFF2-40B4-BE49-F238E27FC236}">
              <a16:creationId xmlns:a16="http://schemas.microsoft.com/office/drawing/2014/main" id="{6DFA381F-A5E9-438C-9291-0172D304836F}"/>
            </a:ext>
          </a:extLst>
        </xdr:cNvPr>
        <xdr:cNvSpPr/>
      </xdr:nvSpPr>
      <xdr:spPr>
        <a:xfrm>
          <a:off x="4179021" y="2497821"/>
          <a:ext cx="2323927" cy="29169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Annuity is End, so type is omitted</a:t>
          </a:r>
        </a:p>
      </xdr:txBody>
    </xdr:sp>
    <xdr:clientData/>
  </xdr:twoCellAnchor>
  <xdr:twoCellAnchor>
    <xdr:from>
      <xdr:col>2</xdr:col>
      <xdr:colOff>85395</xdr:colOff>
      <xdr:row>16</xdr:row>
      <xdr:rowOff>128377</xdr:rowOff>
    </xdr:from>
    <xdr:to>
      <xdr:col>3</xdr:col>
      <xdr:colOff>1142998</xdr:colOff>
      <xdr:row>21</xdr:row>
      <xdr:rowOff>118241</xdr:rowOff>
    </xdr:to>
    <xdr:sp macro="" textlink="">
      <xdr:nvSpPr>
        <xdr:cNvPr id="11" name="Rectangle 10">
          <a:extLst>
            <a:ext uri="{FF2B5EF4-FFF2-40B4-BE49-F238E27FC236}">
              <a16:creationId xmlns:a16="http://schemas.microsoft.com/office/drawing/2014/main" id="{6EC75F9C-3040-4052-BB4C-ACF28692C029}"/>
            </a:ext>
          </a:extLst>
        </xdr:cNvPr>
        <xdr:cNvSpPr/>
      </xdr:nvSpPr>
      <xdr:spPr>
        <a:xfrm>
          <a:off x="3085770" y="2957302"/>
          <a:ext cx="2067253" cy="83758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Present value is positive because money is coming into wallet / purse. The bank gives the lender the money.</a:t>
          </a:r>
        </a:p>
      </xdr:txBody>
    </xdr:sp>
    <xdr:clientData/>
  </xdr:twoCellAnchor>
  <xdr:twoCellAnchor>
    <xdr:from>
      <xdr:col>1</xdr:col>
      <xdr:colOff>1425467</xdr:colOff>
      <xdr:row>15</xdr:row>
      <xdr:rowOff>175674</xdr:rowOff>
    </xdr:from>
    <xdr:to>
      <xdr:col>2</xdr:col>
      <xdr:colOff>111674</xdr:colOff>
      <xdr:row>21</xdr:row>
      <xdr:rowOff>156011</xdr:rowOff>
    </xdr:to>
    <xdr:sp macro="" textlink="">
      <xdr:nvSpPr>
        <xdr:cNvPr id="12" name="Rectangle 11">
          <a:extLst>
            <a:ext uri="{FF2B5EF4-FFF2-40B4-BE49-F238E27FC236}">
              <a16:creationId xmlns:a16="http://schemas.microsoft.com/office/drawing/2014/main" id="{B2115334-8003-4EBD-A620-40B1E5E7B147}"/>
            </a:ext>
          </a:extLst>
        </xdr:cNvPr>
        <xdr:cNvSpPr/>
      </xdr:nvSpPr>
      <xdr:spPr>
        <a:xfrm>
          <a:off x="1749317" y="2814099"/>
          <a:ext cx="1362732" cy="10185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Payment is negative because money is coming out of wallet / purse. This is the monthly payment.</a:t>
          </a:r>
        </a:p>
      </xdr:txBody>
    </xdr:sp>
    <xdr:clientData/>
  </xdr:twoCellAnchor>
  <xdr:twoCellAnchor>
    <xdr:from>
      <xdr:col>2</xdr:col>
      <xdr:colOff>827690</xdr:colOff>
      <xdr:row>15</xdr:row>
      <xdr:rowOff>72259</xdr:rowOff>
    </xdr:from>
    <xdr:to>
      <xdr:col>3</xdr:col>
      <xdr:colOff>1911569</xdr:colOff>
      <xdr:row>17</xdr:row>
      <xdr:rowOff>6569</xdr:rowOff>
    </xdr:to>
    <xdr:sp macro="" textlink="">
      <xdr:nvSpPr>
        <xdr:cNvPr id="13" name="Rectangle 12">
          <a:extLst>
            <a:ext uri="{FF2B5EF4-FFF2-40B4-BE49-F238E27FC236}">
              <a16:creationId xmlns:a16="http://schemas.microsoft.com/office/drawing/2014/main" id="{75AD2ECA-12A4-4AF2-A7D1-CC744DA13FA0}"/>
            </a:ext>
          </a:extLst>
        </xdr:cNvPr>
        <xdr:cNvSpPr/>
      </xdr:nvSpPr>
      <xdr:spPr>
        <a:xfrm>
          <a:off x="3828065" y="2710684"/>
          <a:ext cx="2093529" cy="3153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No fv, so argument omitted</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1139464</xdr:colOff>
      <xdr:row>19</xdr:row>
      <xdr:rowOff>18519</xdr:rowOff>
    </xdr:from>
    <xdr:to>
      <xdr:col>1</xdr:col>
      <xdr:colOff>2072257</xdr:colOff>
      <xdr:row>20</xdr:row>
      <xdr:rowOff>124658</xdr:rowOff>
    </xdr:to>
    <xdr:sp macro="" textlink="">
      <xdr:nvSpPr>
        <xdr:cNvPr id="2" name="Rectangle 1">
          <a:extLst>
            <a:ext uri="{FF2B5EF4-FFF2-40B4-BE49-F238E27FC236}">
              <a16:creationId xmlns:a16="http://schemas.microsoft.com/office/drawing/2014/main" id="{5CEB2695-1059-48D2-BCF3-93F560661CC7}"/>
            </a:ext>
          </a:extLst>
        </xdr:cNvPr>
        <xdr:cNvSpPr/>
      </xdr:nvSpPr>
      <xdr:spPr>
        <a:xfrm>
          <a:off x="1463314" y="3561819"/>
          <a:ext cx="932793" cy="29663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rate</a:t>
          </a:r>
        </a:p>
      </xdr:txBody>
    </xdr:sp>
    <xdr:clientData/>
  </xdr:twoCellAnchor>
  <xdr:twoCellAnchor>
    <xdr:from>
      <xdr:col>1</xdr:col>
      <xdr:colOff>1912327</xdr:colOff>
      <xdr:row>18</xdr:row>
      <xdr:rowOff>169053</xdr:rowOff>
    </xdr:from>
    <xdr:to>
      <xdr:col>1</xdr:col>
      <xdr:colOff>2212601</xdr:colOff>
      <xdr:row>19</xdr:row>
      <xdr:rowOff>153865</xdr:rowOff>
    </xdr:to>
    <xdr:cxnSp macro="">
      <xdr:nvCxnSpPr>
        <xdr:cNvPr id="3" name="Straight Arrow Connector 2">
          <a:extLst>
            <a:ext uri="{FF2B5EF4-FFF2-40B4-BE49-F238E27FC236}">
              <a16:creationId xmlns:a16="http://schemas.microsoft.com/office/drawing/2014/main" id="{1B1A5109-BDEC-4C9B-BA24-3FA3C83AA36B}"/>
            </a:ext>
          </a:extLst>
        </xdr:cNvPr>
        <xdr:cNvCxnSpPr/>
      </xdr:nvCxnSpPr>
      <xdr:spPr>
        <a:xfrm flipV="1">
          <a:off x="2236177" y="3521853"/>
          <a:ext cx="300274" cy="175312"/>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2113061</xdr:colOff>
      <xdr:row>19</xdr:row>
      <xdr:rowOff>1</xdr:rowOff>
    </xdr:from>
    <xdr:to>
      <xdr:col>1</xdr:col>
      <xdr:colOff>2557096</xdr:colOff>
      <xdr:row>20</xdr:row>
      <xdr:rowOff>97276</xdr:rowOff>
    </xdr:to>
    <xdr:cxnSp macro="">
      <xdr:nvCxnSpPr>
        <xdr:cNvPr id="4" name="Straight Arrow Connector 3">
          <a:extLst>
            <a:ext uri="{FF2B5EF4-FFF2-40B4-BE49-F238E27FC236}">
              <a16:creationId xmlns:a16="http://schemas.microsoft.com/office/drawing/2014/main" id="{CA6F0A04-7531-4D25-A8A8-BC8ED4992439}"/>
            </a:ext>
          </a:extLst>
        </xdr:cNvPr>
        <xdr:cNvCxnSpPr>
          <a:stCxn id="11" idx="0"/>
        </xdr:cNvCxnSpPr>
      </xdr:nvCxnSpPr>
      <xdr:spPr>
        <a:xfrm flipV="1">
          <a:off x="2436911" y="3543301"/>
          <a:ext cx="444035" cy="28777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2784231</xdr:colOff>
      <xdr:row>19</xdr:row>
      <xdr:rowOff>29307</xdr:rowOff>
    </xdr:from>
    <xdr:to>
      <xdr:col>2</xdr:col>
      <xdr:colOff>0</xdr:colOff>
      <xdr:row>23</xdr:row>
      <xdr:rowOff>109905</xdr:rowOff>
    </xdr:to>
    <xdr:cxnSp macro="">
      <xdr:nvCxnSpPr>
        <xdr:cNvPr id="5" name="Straight Arrow Connector 4">
          <a:extLst>
            <a:ext uri="{FF2B5EF4-FFF2-40B4-BE49-F238E27FC236}">
              <a16:creationId xmlns:a16="http://schemas.microsoft.com/office/drawing/2014/main" id="{E9A92D47-5090-43DE-842F-9CFF680E4050}"/>
            </a:ext>
          </a:extLst>
        </xdr:cNvPr>
        <xdr:cNvCxnSpPr/>
      </xdr:nvCxnSpPr>
      <xdr:spPr>
        <a:xfrm flipV="1">
          <a:off x="3108081" y="3572607"/>
          <a:ext cx="120894" cy="84259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271096</xdr:colOff>
      <xdr:row>18</xdr:row>
      <xdr:rowOff>183173</xdr:rowOff>
    </xdr:from>
    <xdr:to>
      <xdr:col>2</xdr:col>
      <xdr:colOff>271096</xdr:colOff>
      <xdr:row>22</xdr:row>
      <xdr:rowOff>51288</xdr:rowOff>
    </xdr:to>
    <xdr:cxnSp macro="">
      <xdr:nvCxnSpPr>
        <xdr:cNvPr id="6" name="Straight Arrow Connector 5">
          <a:extLst>
            <a:ext uri="{FF2B5EF4-FFF2-40B4-BE49-F238E27FC236}">
              <a16:creationId xmlns:a16="http://schemas.microsoft.com/office/drawing/2014/main" id="{E9AADF47-50A7-436A-BB41-B41885E9BAB4}"/>
            </a:ext>
          </a:extLst>
        </xdr:cNvPr>
        <xdr:cNvCxnSpPr/>
      </xdr:nvCxnSpPr>
      <xdr:spPr>
        <a:xfrm flipV="1">
          <a:off x="3500071" y="3535973"/>
          <a:ext cx="0" cy="63011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630117</xdr:colOff>
      <xdr:row>19</xdr:row>
      <xdr:rowOff>14656</xdr:rowOff>
    </xdr:from>
    <xdr:to>
      <xdr:col>2</xdr:col>
      <xdr:colOff>710712</xdr:colOff>
      <xdr:row>20</xdr:row>
      <xdr:rowOff>161192</xdr:rowOff>
    </xdr:to>
    <xdr:cxnSp macro="">
      <xdr:nvCxnSpPr>
        <xdr:cNvPr id="7" name="Straight Arrow Connector 6">
          <a:extLst>
            <a:ext uri="{FF2B5EF4-FFF2-40B4-BE49-F238E27FC236}">
              <a16:creationId xmlns:a16="http://schemas.microsoft.com/office/drawing/2014/main" id="{E43A69F5-9241-4CA9-BA41-7262F1A7DDA5}"/>
            </a:ext>
          </a:extLst>
        </xdr:cNvPr>
        <xdr:cNvCxnSpPr/>
      </xdr:nvCxnSpPr>
      <xdr:spPr>
        <a:xfrm flipH="1" flipV="1">
          <a:off x="3859092" y="3557956"/>
          <a:ext cx="80595" cy="33703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564650</xdr:colOff>
      <xdr:row>20</xdr:row>
      <xdr:rowOff>137819</xdr:rowOff>
    </xdr:from>
    <xdr:to>
      <xdr:col>3</xdr:col>
      <xdr:colOff>1877462</xdr:colOff>
      <xdr:row>21</xdr:row>
      <xdr:rowOff>172335</xdr:rowOff>
    </xdr:to>
    <xdr:sp macro="" textlink="">
      <xdr:nvSpPr>
        <xdr:cNvPr id="9" name="Rectangle 8">
          <a:extLst>
            <a:ext uri="{FF2B5EF4-FFF2-40B4-BE49-F238E27FC236}">
              <a16:creationId xmlns:a16="http://schemas.microsoft.com/office/drawing/2014/main" id="{8B48E397-4A21-4A08-ABBF-9113E60448A7}"/>
            </a:ext>
          </a:extLst>
        </xdr:cNvPr>
        <xdr:cNvSpPr/>
      </xdr:nvSpPr>
      <xdr:spPr>
        <a:xfrm>
          <a:off x="3793625" y="3871619"/>
          <a:ext cx="2322462" cy="2250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Annuity is End, so type is omitted</a:t>
          </a:r>
        </a:p>
      </xdr:txBody>
    </xdr:sp>
    <xdr:clientData/>
  </xdr:twoCellAnchor>
  <xdr:twoCellAnchor>
    <xdr:from>
      <xdr:col>1</xdr:col>
      <xdr:colOff>2642490</xdr:colOff>
      <xdr:row>23</xdr:row>
      <xdr:rowOff>68296</xdr:rowOff>
    </xdr:from>
    <xdr:to>
      <xdr:col>4</xdr:col>
      <xdr:colOff>219809</xdr:colOff>
      <xdr:row>29</xdr:row>
      <xdr:rowOff>36634</xdr:rowOff>
    </xdr:to>
    <xdr:sp macro="" textlink="$P$10">
      <xdr:nvSpPr>
        <xdr:cNvPr id="10" name="Rectangle 9">
          <a:extLst>
            <a:ext uri="{FF2B5EF4-FFF2-40B4-BE49-F238E27FC236}">
              <a16:creationId xmlns:a16="http://schemas.microsoft.com/office/drawing/2014/main" id="{9FBD39EB-7B98-414F-A83B-EE0CC0FC9720}"/>
            </a:ext>
          </a:extLst>
        </xdr:cNvPr>
        <xdr:cNvSpPr/>
      </xdr:nvSpPr>
      <xdr:spPr>
        <a:xfrm>
          <a:off x="2966340" y="4373596"/>
          <a:ext cx="3682844" cy="11113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D6BDDA59-FCA5-49C0-8FF3-1AB525CDD138}" type="TxLink">
            <a:rPr lang="en-US" sz="1100" b="0" i="0" u="none" strike="noStrike" baseline="0">
              <a:solidFill>
                <a:srgbClr val="000000"/>
              </a:solidFill>
              <a:latin typeface="Calibri"/>
              <a:cs typeface="Calibri"/>
            </a:rPr>
            <a:pPr algn="l"/>
            <a:t>Present value is positive because money is coming into wallet / purse. The bank gives the lender the money. Borrower must pay back full 200,000, but only receives $197,250, so for the adjusted rate you must use the actual cash that was received: $197,250.</a:t>
          </a:fld>
          <a:endParaRPr lang="en-US" sz="1100" baseline="0">
            <a:solidFill>
              <a:schemeClr val="tx1"/>
            </a:solidFill>
          </a:endParaRPr>
        </a:p>
      </xdr:txBody>
    </xdr:sp>
    <xdr:clientData/>
  </xdr:twoCellAnchor>
  <xdr:twoCellAnchor>
    <xdr:from>
      <xdr:col>1</xdr:col>
      <xdr:colOff>1315563</xdr:colOff>
      <xdr:row>20</xdr:row>
      <xdr:rowOff>97276</xdr:rowOff>
    </xdr:from>
    <xdr:to>
      <xdr:col>2</xdr:col>
      <xdr:colOff>1770</xdr:colOff>
      <xdr:row>26</xdr:row>
      <xdr:rowOff>60761</xdr:rowOff>
    </xdr:to>
    <xdr:sp macro="" textlink="">
      <xdr:nvSpPr>
        <xdr:cNvPr id="11" name="Rectangle 10">
          <a:extLst>
            <a:ext uri="{FF2B5EF4-FFF2-40B4-BE49-F238E27FC236}">
              <a16:creationId xmlns:a16="http://schemas.microsoft.com/office/drawing/2014/main" id="{4B5F3797-4206-4BA8-806C-F6F514908085}"/>
            </a:ext>
          </a:extLst>
        </xdr:cNvPr>
        <xdr:cNvSpPr/>
      </xdr:nvSpPr>
      <xdr:spPr>
        <a:xfrm>
          <a:off x="1639413" y="3831076"/>
          <a:ext cx="1591332" cy="11064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Payment is negative because money is coming out of wallet / purse. This is the monthly payment.</a:t>
          </a:r>
        </a:p>
      </xdr:txBody>
    </xdr:sp>
    <xdr:clientData/>
  </xdr:twoCellAnchor>
  <xdr:twoCellAnchor>
    <xdr:from>
      <xdr:col>2</xdr:col>
      <xdr:colOff>80345</xdr:colOff>
      <xdr:row>21</xdr:row>
      <xdr:rowOff>189488</xdr:rowOff>
    </xdr:from>
    <xdr:to>
      <xdr:col>3</xdr:col>
      <xdr:colOff>1164224</xdr:colOff>
      <xdr:row>23</xdr:row>
      <xdr:rowOff>123798</xdr:rowOff>
    </xdr:to>
    <xdr:sp macro="" textlink="">
      <xdr:nvSpPr>
        <xdr:cNvPr id="12" name="Rectangle 11">
          <a:extLst>
            <a:ext uri="{FF2B5EF4-FFF2-40B4-BE49-F238E27FC236}">
              <a16:creationId xmlns:a16="http://schemas.microsoft.com/office/drawing/2014/main" id="{D5333B71-12CB-4B1D-A164-4105588B7037}"/>
            </a:ext>
          </a:extLst>
        </xdr:cNvPr>
        <xdr:cNvSpPr/>
      </xdr:nvSpPr>
      <xdr:spPr>
        <a:xfrm>
          <a:off x="3309320" y="4113788"/>
          <a:ext cx="2093529" cy="3153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No fv, so argument omitted</a:t>
          </a:r>
        </a:p>
      </xdr:txBody>
    </xdr:sp>
    <xdr:clientData/>
  </xdr:twoCellAnchor>
  <xdr:twoCellAnchor>
    <xdr:from>
      <xdr:col>3</xdr:col>
      <xdr:colOff>87924</xdr:colOff>
      <xdr:row>19</xdr:row>
      <xdr:rowOff>87923</xdr:rowOff>
    </xdr:from>
    <xdr:to>
      <xdr:col>4</xdr:col>
      <xdr:colOff>307732</xdr:colOff>
      <xdr:row>21</xdr:row>
      <xdr:rowOff>58615</xdr:rowOff>
    </xdr:to>
    <xdr:sp macro="" textlink="">
      <xdr:nvSpPr>
        <xdr:cNvPr id="19" name="Rectangle 18">
          <a:extLst>
            <a:ext uri="{FF2B5EF4-FFF2-40B4-BE49-F238E27FC236}">
              <a16:creationId xmlns:a16="http://schemas.microsoft.com/office/drawing/2014/main" id="{A6668914-CC0A-40AF-8E9A-ABE9A129EF4E}"/>
            </a:ext>
          </a:extLst>
        </xdr:cNvPr>
        <xdr:cNvSpPr/>
      </xdr:nvSpPr>
      <xdr:spPr>
        <a:xfrm>
          <a:off x="4326549" y="3631223"/>
          <a:ext cx="2410558" cy="35169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No guess, so argument omitted</a:t>
          </a:r>
        </a:p>
      </xdr:txBody>
    </xdr:sp>
    <xdr:clientData/>
  </xdr:twoCellAnchor>
  <xdr:twoCellAnchor>
    <xdr:from>
      <xdr:col>3</xdr:col>
      <xdr:colOff>108441</xdr:colOff>
      <xdr:row>18</xdr:row>
      <xdr:rowOff>181710</xdr:rowOff>
    </xdr:from>
    <xdr:to>
      <xdr:col>3</xdr:col>
      <xdr:colOff>168520</xdr:colOff>
      <xdr:row>19</xdr:row>
      <xdr:rowOff>124557</xdr:rowOff>
    </xdr:to>
    <xdr:cxnSp macro="">
      <xdr:nvCxnSpPr>
        <xdr:cNvPr id="20" name="Straight Arrow Connector 19">
          <a:extLst>
            <a:ext uri="{FF2B5EF4-FFF2-40B4-BE49-F238E27FC236}">
              <a16:creationId xmlns:a16="http://schemas.microsoft.com/office/drawing/2014/main" id="{CE08621A-C5C6-4613-BC4C-AF96E63A9539}"/>
            </a:ext>
          </a:extLst>
        </xdr:cNvPr>
        <xdr:cNvCxnSpPr/>
      </xdr:nvCxnSpPr>
      <xdr:spPr>
        <a:xfrm flipH="1" flipV="1">
          <a:off x="4347066" y="3534510"/>
          <a:ext cx="60079" cy="13334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857250</xdr:colOff>
      <xdr:row>15</xdr:row>
      <xdr:rowOff>87925</xdr:rowOff>
    </xdr:from>
    <xdr:to>
      <xdr:col>2</xdr:col>
      <xdr:colOff>0</xdr:colOff>
      <xdr:row>17</xdr:row>
      <xdr:rowOff>139211</xdr:rowOff>
    </xdr:to>
    <xdr:cxnSp macro="">
      <xdr:nvCxnSpPr>
        <xdr:cNvPr id="21" name="Straight Arrow Connector 20">
          <a:extLst>
            <a:ext uri="{FF2B5EF4-FFF2-40B4-BE49-F238E27FC236}">
              <a16:creationId xmlns:a16="http://schemas.microsoft.com/office/drawing/2014/main" id="{204D0C61-FCF9-4A13-9991-20076AB0484E}"/>
            </a:ext>
          </a:extLst>
        </xdr:cNvPr>
        <xdr:cNvCxnSpPr/>
      </xdr:nvCxnSpPr>
      <xdr:spPr>
        <a:xfrm flipV="1">
          <a:off x="1181100" y="2869225"/>
          <a:ext cx="2047875" cy="43228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696057</xdr:colOff>
      <xdr:row>16</xdr:row>
      <xdr:rowOff>93787</xdr:rowOff>
    </xdr:from>
    <xdr:to>
      <xdr:col>1</xdr:col>
      <xdr:colOff>2899996</xdr:colOff>
      <xdr:row>17</xdr:row>
      <xdr:rowOff>131884</xdr:rowOff>
    </xdr:to>
    <xdr:cxnSp macro="">
      <xdr:nvCxnSpPr>
        <xdr:cNvPr id="22" name="Straight Arrow Connector 21">
          <a:extLst>
            <a:ext uri="{FF2B5EF4-FFF2-40B4-BE49-F238E27FC236}">
              <a16:creationId xmlns:a16="http://schemas.microsoft.com/office/drawing/2014/main" id="{5CFA7D0D-4915-455B-A99B-67F98F7A5F50}"/>
            </a:ext>
          </a:extLst>
        </xdr:cNvPr>
        <xdr:cNvCxnSpPr/>
      </xdr:nvCxnSpPr>
      <xdr:spPr>
        <a:xfrm flipV="1">
          <a:off x="1019907" y="3065587"/>
          <a:ext cx="2203939" cy="22859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xdr:colOff>
      <xdr:row>17</xdr:row>
      <xdr:rowOff>87924</xdr:rowOff>
    </xdr:from>
    <xdr:to>
      <xdr:col>1</xdr:col>
      <xdr:colOff>1113693</xdr:colOff>
      <xdr:row>24</xdr:row>
      <xdr:rowOff>139211</xdr:rowOff>
    </xdr:to>
    <xdr:sp macro="" textlink="">
      <xdr:nvSpPr>
        <xdr:cNvPr id="23" name="Rectangle 22">
          <a:extLst>
            <a:ext uri="{FF2B5EF4-FFF2-40B4-BE49-F238E27FC236}">
              <a16:creationId xmlns:a16="http://schemas.microsoft.com/office/drawing/2014/main" id="{570174DE-5487-45AA-BEA3-2596FDE71546}"/>
            </a:ext>
          </a:extLst>
        </xdr:cNvPr>
        <xdr:cNvSpPr/>
      </xdr:nvSpPr>
      <xdr:spPr>
        <a:xfrm>
          <a:off x="323851" y="3250224"/>
          <a:ext cx="1113692" cy="13847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Adjusted period rate and APR reflects the true cash flow and therefore are higher than the quoted rates</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1139464</xdr:colOff>
      <xdr:row>19</xdr:row>
      <xdr:rowOff>18519</xdr:rowOff>
    </xdr:from>
    <xdr:to>
      <xdr:col>1</xdr:col>
      <xdr:colOff>2072257</xdr:colOff>
      <xdr:row>20</xdr:row>
      <xdr:rowOff>124658</xdr:rowOff>
    </xdr:to>
    <xdr:sp macro="" textlink="">
      <xdr:nvSpPr>
        <xdr:cNvPr id="2" name="Rectangle 1">
          <a:extLst>
            <a:ext uri="{FF2B5EF4-FFF2-40B4-BE49-F238E27FC236}">
              <a16:creationId xmlns:a16="http://schemas.microsoft.com/office/drawing/2014/main" id="{1E0CEE05-0477-4789-AE6C-BAC29F06EEEB}"/>
            </a:ext>
          </a:extLst>
        </xdr:cNvPr>
        <xdr:cNvSpPr/>
      </xdr:nvSpPr>
      <xdr:spPr>
        <a:xfrm>
          <a:off x="1461849" y="3564750"/>
          <a:ext cx="932793" cy="29663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rate</a:t>
          </a:r>
        </a:p>
      </xdr:txBody>
    </xdr:sp>
    <xdr:clientData/>
  </xdr:twoCellAnchor>
  <xdr:twoCellAnchor>
    <xdr:from>
      <xdr:col>1</xdr:col>
      <xdr:colOff>1912327</xdr:colOff>
      <xdr:row>18</xdr:row>
      <xdr:rowOff>169053</xdr:rowOff>
    </xdr:from>
    <xdr:to>
      <xdr:col>1</xdr:col>
      <xdr:colOff>2212601</xdr:colOff>
      <xdr:row>19</xdr:row>
      <xdr:rowOff>153865</xdr:rowOff>
    </xdr:to>
    <xdr:cxnSp macro="">
      <xdr:nvCxnSpPr>
        <xdr:cNvPr id="3" name="Straight Arrow Connector 2">
          <a:extLst>
            <a:ext uri="{FF2B5EF4-FFF2-40B4-BE49-F238E27FC236}">
              <a16:creationId xmlns:a16="http://schemas.microsoft.com/office/drawing/2014/main" id="{4AD775E6-6ADB-4BDA-9C2C-3D9ACC959914}"/>
            </a:ext>
          </a:extLst>
        </xdr:cNvPr>
        <xdr:cNvCxnSpPr/>
      </xdr:nvCxnSpPr>
      <xdr:spPr>
        <a:xfrm flipV="1">
          <a:off x="2234712" y="3524784"/>
          <a:ext cx="300274" cy="175312"/>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2113061</xdr:colOff>
      <xdr:row>19</xdr:row>
      <xdr:rowOff>1</xdr:rowOff>
    </xdr:from>
    <xdr:to>
      <xdr:col>1</xdr:col>
      <xdr:colOff>2557096</xdr:colOff>
      <xdr:row>20</xdr:row>
      <xdr:rowOff>97276</xdr:rowOff>
    </xdr:to>
    <xdr:cxnSp macro="">
      <xdr:nvCxnSpPr>
        <xdr:cNvPr id="4" name="Straight Arrow Connector 3">
          <a:extLst>
            <a:ext uri="{FF2B5EF4-FFF2-40B4-BE49-F238E27FC236}">
              <a16:creationId xmlns:a16="http://schemas.microsoft.com/office/drawing/2014/main" id="{38C11C5B-0EF1-4AB8-912F-A5A713779CC8}"/>
            </a:ext>
          </a:extLst>
        </xdr:cNvPr>
        <xdr:cNvCxnSpPr>
          <a:stCxn id="12" idx="0"/>
        </xdr:cNvCxnSpPr>
      </xdr:nvCxnSpPr>
      <xdr:spPr>
        <a:xfrm flipV="1">
          <a:off x="2435446" y="3546232"/>
          <a:ext cx="444035" cy="28777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2784231</xdr:colOff>
      <xdr:row>19</xdr:row>
      <xdr:rowOff>29307</xdr:rowOff>
    </xdr:from>
    <xdr:to>
      <xdr:col>2</xdr:col>
      <xdr:colOff>0</xdr:colOff>
      <xdr:row>23</xdr:row>
      <xdr:rowOff>109905</xdr:rowOff>
    </xdr:to>
    <xdr:cxnSp macro="">
      <xdr:nvCxnSpPr>
        <xdr:cNvPr id="5" name="Straight Arrow Connector 4">
          <a:extLst>
            <a:ext uri="{FF2B5EF4-FFF2-40B4-BE49-F238E27FC236}">
              <a16:creationId xmlns:a16="http://schemas.microsoft.com/office/drawing/2014/main" id="{F640059C-5FBC-4C2D-8C72-90BA604279E2}"/>
            </a:ext>
          </a:extLst>
        </xdr:cNvPr>
        <xdr:cNvCxnSpPr/>
      </xdr:nvCxnSpPr>
      <xdr:spPr>
        <a:xfrm flipV="1">
          <a:off x="3106616" y="3575538"/>
          <a:ext cx="124557" cy="84259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271096</xdr:colOff>
      <xdr:row>18</xdr:row>
      <xdr:rowOff>183173</xdr:rowOff>
    </xdr:from>
    <xdr:to>
      <xdr:col>2</xdr:col>
      <xdr:colOff>271096</xdr:colOff>
      <xdr:row>22</xdr:row>
      <xdr:rowOff>51288</xdr:rowOff>
    </xdr:to>
    <xdr:cxnSp macro="">
      <xdr:nvCxnSpPr>
        <xdr:cNvPr id="6" name="Straight Arrow Connector 5">
          <a:extLst>
            <a:ext uri="{FF2B5EF4-FFF2-40B4-BE49-F238E27FC236}">
              <a16:creationId xmlns:a16="http://schemas.microsoft.com/office/drawing/2014/main" id="{F4CE7B23-25CD-4306-86BF-CFB0DD444533}"/>
            </a:ext>
          </a:extLst>
        </xdr:cNvPr>
        <xdr:cNvCxnSpPr/>
      </xdr:nvCxnSpPr>
      <xdr:spPr>
        <a:xfrm flipV="1">
          <a:off x="3502269" y="3538904"/>
          <a:ext cx="0" cy="63011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630117</xdr:colOff>
      <xdr:row>19</xdr:row>
      <xdr:rowOff>14656</xdr:rowOff>
    </xdr:from>
    <xdr:to>
      <xdr:col>2</xdr:col>
      <xdr:colOff>710712</xdr:colOff>
      <xdr:row>20</xdr:row>
      <xdr:rowOff>161192</xdr:rowOff>
    </xdr:to>
    <xdr:cxnSp macro="">
      <xdr:nvCxnSpPr>
        <xdr:cNvPr id="7" name="Straight Arrow Connector 6">
          <a:extLst>
            <a:ext uri="{FF2B5EF4-FFF2-40B4-BE49-F238E27FC236}">
              <a16:creationId xmlns:a16="http://schemas.microsoft.com/office/drawing/2014/main" id="{264C61D4-13C1-42C4-B587-DA8F7F449717}"/>
            </a:ext>
          </a:extLst>
        </xdr:cNvPr>
        <xdr:cNvCxnSpPr/>
      </xdr:nvCxnSpPr>
      <xdr:spPr>
        <a:xfrm flipH="1" flipV="1">
          <a:off x="3861290" y="3560887"/>
          <a:ext cx="80595" cy="33703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564650</xdr:colOff>
      <xdr:row>20</xdr:row>
      <xdr:rowOff>137819</xdr:rowOff>
    </xdr:from>
    <xdr:to>
      <xdr:col>3</xdr:col>
      <xdr:colOff>1877462</xdr:colOff>
      <xdr:row>21</xdr:row>
      <xdr:rowOff>172335</xdr:rowOff>
    </xdr:to>
    <xdr:sp macro="" textlink="">
      <xdr:nvSpPr>
        <xdr:cNvPr id="10" name="Rectangle 9">
          <a:extLst>
            <a:ext uri="{FF2B5EF4-FFF2-40B4-BE49-F238E27FC236}">
              <a16:creationId xmlns:a16="http://schemas.microsoft.com/office/drawing/2014/main" id="{BFECA875-9CAE-4CA3-B3AD-877F7E5B82F5}"/>
            </a:ext>
          </a:extLst>
        </xdr:cNvPr>
        <xdr:cNvSpPr/>
      </xdr:nvSpPr>
      <xdr:spPr>
        <a:xfrm>
          <a:off x="3795823" y="3874550"/>
          <a:ext cx="2323927" cy="2250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Annuity is End, so type is omitted</a:t>
          </a:r>
        </a:p>
      </xdr:txBody>
    </xdr:sp>
    <xdr:clientData/>
  </xdr:twoCellAnchor>
  <xdr:twoCellAnchor>
    <xdr:from>
      <xdr:col>1</xdr:col>
      <xdr:colOff>2642490</xdr:colOff>
      <xdr:row>23</xdr:row>
      <xdr:rowOff>68296</xdr:rowOff>
    </xdr:from>
    <xdr:to>
      <xdr:col>4</xdr:col>
      <xdr:colOff>219809</xdr:colOff>
      <xdr:row>29</xdr:row>
      <xdr:rowOff>36634</xdr:rowOff>
    </xdr:to>
    <xdr:sp macro="" textlink="$H$10">
      <xdr:nvSpPr>
        <xdr:cNvPr id="11" name="Rectangle 10">
          <a:extLst>
            <a:ext uri="{FF2B5EF4-FFF2-40B4-BE49-F238E27FC236}">
              <a16:creationId xmlns:a16="http://schemas.microsoft.com/office/drawing/2014/main" id="{D8685309-501F-427C-A345-4EABB268EA19}"/>
            </a:ext>
          </a:extLst>
        </xdr:cNvPr>
        <xdr:cNvSpPr/>
      </xdr:nvSpPr>
      <xdr:spPr>
        <a:xfrm>
          <a:off x="2964875" y="4376527"/>
          <a:ext cx="3687972" cy="11113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D6BDDA59-FCA5-49C0-8FF3-1AB525CDD138}" type="TxLink">
            <a:rPr lang="en-US" sz="1100" b="0" i="0" u="none" strike="noStrike" baseline="0">
              <a:solidFill>
                <a:srgbClr val="000000"/>
              </a:solidFill>
              <a:latin typeface="Calibri"/>
              <a:cs typeface="Calibri"/>
            </a:rPr>
            <a:pPr algn="l"/>
            <a:t>Present value is positive because money is coming into wallet / purse. The bank gives the lender the money. Borrower must pay back full 200,000, but only receives $197,250, so for the adjusted rate you must use the actual cash that was received: $197,250.</a:t>
          </a:fld>
          <a:endParaRPr lang="en-US" sz="1100" baseline="0">
            <a:solidFill>
              <a:schemeClr val="tx1"/>
            </a:solidFill>
          </a:endParaRPr>
        </a:p>
      </xdr:txBody>
    </xdr:sp>
    <xdr:clientData/>
  </xdr:twoCellAnchor>
  <xdr:twoCellAnchor>
    <xdr:from>
      <xdr:col>1</xdr:col>
      <xdr:colOff>1315563</xdr:colOff>
      <xdr:row>20</xdr:row>
      <xdr:rowOff>97276</xdr:rowOff>
    </xdr:from>
    <xdr:to>
      <xdr:col>2</xdr:col>
      <xdr:colOff>1770</xdr:colOff>
      <xdr:row>26</xdr:row>
      <xdr:rowOff>60761</xdr:rowOff>
    </xdr:to>
    <xdr:sp macro="" textlink="">
      <xdr:nvSpPr>
        <xdr:cNvPr id="12" name="Rectangle 11">
          <a:extLst>
            <a:ext uri="{FF2B5EF4-FFF2-40B4-BE49-F238E27FC236}">
              <a16:creationId xmlns:a16="http://schemas.microsoft.com/office/drawing/2014/main" id="{1E6BF95D-294E-4216-9B35-F39F680EB628}"/>
            </a:ext>
          </a:extLst>
        </xdr:cNvPr>
        <xdr:cNvSpPr/>
      </xdr:nvSpPr>
      <xdr:spPr>
        <a:xfrm>
          <a:off x="1637948" y="3834007"/>
          <a:ext cx="1594995" cy="11064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Payment is negative because money is coming out of wallet / purse. This is the monthly payment.</a:t>
          </a:r>
        </a:p>
      </xdr:txBody>
    </xdr:sp>
    <xdr:clientData/>
  </xdr:twoCellAnchor>
  <xdr:twoCellAnchor>
    <xdr:from>
      <xdr:col>2</xdr:col>
      <xdr:colOff>80345</xdr:colOff>
      <xdr:row>21</xdr:row>
      <xdr:rowOff>189488</xdr:rowOff>
    </xdr:from>
    <xdr:to>
      <xdr:col>3</xdr:col>
      <xdr:colOff>1164224</xdr:colOff>
      <xdr:row>23</xdr:row>
      <xdr:rowOff>123798</xdr:rowOff>
    </xdr:to>
    <xdr:sp macro="" textlink="">
      <xdr:nvSpPr>
        <xdr:cNvPr id="13" name="Rectangle 12">
          <a:extLst>
            <a:ext uri="{FF2B5EF4-FFF2-40B4-BE49-F238E27FC236}">
              <a16:creationId xmlns:a16="http://schemas.microsoft.com/office/drawing/2014/main" id="{6C2E7725-8076-473A-B524-77C813986DFD}"/>
            </a:ext>
          </a:extLst>
        </xdr:cNvPr>
        <xdr:cNvSpPr/>
      </xdr:nvSpPr>
      <xdr:spPr>
        <a:xfrm>
          <a:off x="3311518" y="4116719"/>
          <a:ext cx="2094994" cy="3153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No fv, so argument omitted</a:t>
          </a:r>
        </a:p>
      </xdr:txBody>
    </xdr:sp>
    <xdr:clientData/>
  </xdr:twoCellAnchor>
  <xdr:twoCellAnchor>
    <xdr:from>
      <xdr:col>2</xdr:col>
      <xdr:colOff>1003791</xdr:colOff>
      <xdr:row>7</xdr:row>
      <xdr:rowOff>124557</xdr:rowOff>
    </xdr:from>
    <xdr:to>
      <xdr:col>3</xdr:col>
      <xdr:colOff>974481</xdr:colOff>
      <xdr:row>10</xdr:row>
      <xdr:rowOff>14654</xdr:rowOff>
    </xdr:to>
    <xdr:cxnSp macro="">
      <xdr:nvCxnSpPr>
        <xdr:cNvPr id="15" name="Straight Arrow Connector 14">
          <a:extLst>
            <a:ext uri="{FF2B5EF4-FFF2-40B4-BE49-F238E27FC236}">
              <a16:creationId xmlns:a16="http://schemas.microsoft.com/office/drawing/2014/main" id="{E63BCCB4-841A-4AFC-9D77-40B3C9C66B3E}"/>
            </a:ext>
          </a:extLst>
        </xdr:cNvPr>
        <xdr:cNvCxnSpPr/>
      </xdr:nvCxnSpPr>
      <xdr:spPr>
        <a:xfrm flipH="1">
          <a:off x="4234964" y="1194288"/>
          <a:ext cx="981805" cy="46159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827943</xdr:colOff>
      <xdr:row>2</xdr:row>
      <xdr:rowOff>51289</xdr:rowOff>
    </xdr:from>
    <xdr:to>
      <xdr:col>4</xdr:col>
      <xdr:colOff>2</xdr:colOff>
      <xdr:row>8</xdr:row>
      <xdr:rowOff>0</xdr:rowOff>
    </xdr:to>
    <xdr:sp macro="" textlink="$H$7">
      <xdr:nvSpPr>
        <xdr:cNvPr id="9" name="Rectangle 8">
          <a:extLst>
            <a:ext uri="{FF2B5EF4-FFF2-40B4-BE49-F238E27FC236}">
              <a16:creationId xmlns:a16="http://schemas.microsoft.com/office/drawing/2014/main" id="{793DF60A-E49A-4573-B125-F246D27BCA6B}"/>
            </a:ext>
          </a:extLst>
        </xdr:cNvPr>
        <xdr:cNvSpPr/>
      </xdr:nvSpPr>
      <xdr:spPr>
        <a:xfrm>
          <a:off x="5070231" y="300404"/>
          <a:ext cx="1362809" cy="959827"/>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5461768-BA92-48B1-9F2F-E7AF94E124B6}" type="TxLink">
            <a:rPr lang="en-US" sz="1100" b="0" i="0" u="none" strike="noStrike" baseline="0">
              <a:solidFill>
                <a:srgbClr val="000000"/>
              </a:solidFill>
              <a:latin typeface="Calibri"/>
              <a:cs typeface="Calibri"/>
            </a:rPr>
            <a:pPr algn="ctr"/>
            <a:t>Bank takes a total fee of $200,000 * 1.00% + $750 = $2,750</a:t>
          </a:fld>
          <a:endParaRPr lang="en-US" sz="1100" baseline="0">
            <a:solidFill>
              <a:schemeClr val="tx1"/>
            </a:solidFill>
          </a:endParaRPr>
        </a:p>
      </xdr:txBody>
    </xdr:sp>
    <xdr:clientData/>
  </xdr:twoCellAnchor>
  <xdr:twoCellAnchor>
    <xdr:from>
      <xdr:col>3</xdr:col>
      <xdr:colOff>600808</xdr:colOff>
      <xdr:row>10</xdr:row>
      <xdr:rowOff>146538</xdr:rowOff>
    </xdr:from>
    <xdr:to>
      <xdr:col>3</xdr:col>
      <xdr:colOff>1135674</xdr:colOff>
      <xdr:row>11</xdr:row>
      <xdr:rowOff>102576</xdr:rowOff>
    </xdr:to>
    <xdr:cxnSp macro="">
      <xdr:nvCxnSpPr>
        <xdr:cNvPr id="24" name="Straight Arrow Connector 23">
          <a:extLst>
            <a:ext uri="{FF2B5EF4-FFF2-40B4-BE49-F238E27FC236}">
              <a16:creationId xmlns:a16="http://schemas.microsoft.com/office/drawing/2014/main" id="{A08D00CF-B029-4D84-808C-FAB77E6F7036}"/>
            </a:ext>
          </a:extLst>
        </xdr:cNvPr>
        <xdr:cNvCxnSpPr/>
      </xdr:nvCxnSpPr>
      <xdr:spPr>
        <a:xfrm flipH="1">
          <a:off x="4843096" y="1787769"/>
          <a:ext cx="534866" cy="14653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973017</xdr:colOff>
      <xdr:row>8</xdr:row>
      <xdr:rowOff>71803</xdr:rowOff>
    </xdr:from>
    <xdr:to>
      <xdr:col>3</xdr:col>
      <xdr:colOff>2183425</xdr:colOff>
      <xdr:row>14</xdr:row>
      <xdr:rowOff>0</xdr:rowOff>
    </xdr:to>
    <xdr:sp macro="" textlink="$H$8">
      <xdr:nvSpPr>
        <xdr:cNvPr id="20" name="Rectangle 19">
          <a:extLst>
            <a:ext uri="{FF2B5EF4-FFF2-40B4-BE49-F238E27FC236}">
              <a16:creationId xmlns:a16="http://schemas.microsoft.com/office/drawing/2014/main" id="{C553C763-2CD3-4CAA-8F31-339ED66CA872}"/>
            </a:ext>
          </a:extLst>
        </xdr:cNvPr>
        <xdr:cNvSpPr/>
      </xdr:nvSpPr>
      <xdr:spPr>
        <a:xfrm>
          <a:off x="5215305" y="1332034"/>
          <a:ext cx="1210408" cy="1071197"/>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A292B80-66BD-4939-BE0F-4C4AAC8B3A7B}" type="TxLink">
            <a:rPr lang="en-US" sz="1100" b="0" i="0" u="none" strike="noStrike" baseline="0">
              <a:solidFill>
                <a:srgbClr val="000000"/>
              </a:solidFill>
              <a:latin typeface="Calibri"/>
              <a:cs typeface="Calibri"/>
            </a:rPr>
            <a:pPr algn="ctr"/>
            <a:t>Borrower must pay back full $200,000, but only receives $197,250</a:t>
          </a:fld>
          <a:endParaRPr lang="en-US" sz="1100" baseline="0">
            <a:solidFill>
              <a:schemeClr val="tx1"/>
            </a:solidFill>
          </a:endParaRPr>
        </a:p>
      </xdr:txBody>
    </xdr:sp>
    <xdr:clientData/>
  </xdr:twoCellAnchor>
  <xdr:twoCellAnchor>
    <xdr:from>
      <xdr:col>3</xdr:col>
      <xdr:colOff>1252904</xdr:colOff>
      <xdr:row>15</xdr:row>
      <xdr:rowOff>95250</xdr:rowOff>
    </xdr:from>
    <xdr:to>
      <xdr:col>3</xdr:col>
      <xdr:colOff>1883020</xdr:colOff>
      <xdr:row>15</xdr:row>
      <xdr:rowOff>95250</xdr:rowOff>
    </xdr:to>
    <xdr:cxnSp macro="">
      <xdr:nvCxnSpPr>
        <xdr:cNvPr id="28" name="Straight Arrow Connector 27">
          <a:extLst>
            <a:ext uri="{FF2B5EF4-FFF2-40B4-BE49-F238E27FC236}">
              <a16:creationId xmlns:a16="http://schemas.microsoft.com/office/drawing/2014/main" id="{5596A8BB-A369-4175-8515-DFD8C17C632E}"/>
            </a:ext>
          </a:extLst>
        </xdr:cNvPr>
        <xdr:cNvCxnSpPr/>
      </xdr:nvCxnSpPr>
      <xdr:spPr>
        <a:xfrm flipH="1">
          <a:off x="5495192" y="2879481"/>
          <a:ext cx="630116"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1384789</xdr:colOff>
      <xdr:row>14</xdr:row>
      <xdr:rowOff>65943</xdr:rowOff>
    </xdr:from>
    <xdr:to>
      <xdr:col>4</xdr:col>
      <xdr:colOff>183174</xdr:colOff>
      <xdr:row>19</xdr:row>
      <xdr:rowOff>0</xdr:rowOff>
    </xdr:to>
    <xdr:sp macro="" textlink="$H$9">
      <xdr:nvSpPr>
        <xdr:cNvPr id="26" name="Rectangle 25">
          <a:extLst>
            <a:ext uri="{FF2B5EF4-FFF2-40B4-BE49-F238E27FC236}">
              <a16:creationId xmlns:a16="http://schemas.microsoft.com/office/drawing/2014/main" id="{767833CC-2C5A-449C-9B75-BB00203A2E5F}"/>
            </a:ext>
          </a:extLst>
        </xdr:cNvPr>
        <xdr:cNvSpPr/>
      </xdr:nvSpPr>
      <xdr:spPr>
        <a:xfrm>
          <a:off x="5627077" y="2469174"/>
          <a:ext cx="989135" cy="1077057"/>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16C0902-FB0A-46BF-A8B5-ECB8A0F899EA}" type="TxLink">
            <a:rPr lang="en-US" sz="1100" b="0" i="0" u="none" strike="noStrike" baseline="0">
              <a:solidFill>
                <a:srgbClr val="000000"/>
              </a:solidFill>
              <a:latin typeface="Calibri"/>
              <a:cs typeface="Calibri"/>
            </a:rPr>
            <a:pPr algn="ctr"/>
            <a:t>RATE function uses the $197,250 as the present value amount</a:t>
          </a:fld>
          <a:endParaRPr lang="en-US" sz="1200" baseline="0">
            <a:solidFill>
              <a:schemeClr val="tx1"/>
            </a:solidFill>
          </a:endParaRPr>
        </a:p>
      </xdr:txBody>
    </xdr:sp>
    <xdr:clientData/>
  </xdr:twoCellAnchor>
  <xdr:twoCellAnchor>
    <xdr:from>
      <xdr:col>3</xdr:col>
      <xdr:colOff>87924</xdr:colOff>
      <xdr:row>19</xdr:row>
      <xdr:rowOff>87923</xdr:rowOff>
    </xdr:from>
    <xdr:to>
      <xdr:col>4</xdr:col>
      <xdr:colOff>307732</xdr:colOff>
      <xdr:row>21</xdr:row>
      <xdr:rowOff>58615</xdr:rowOff>
    </xdr:to>
    <xdr:sp macro="" textlink="">
      <xdr:nvSpPr>
        <xdr:cNvPr id="36" name="Rectangle 35">
          <a:extLst>
            <a:ext uri="{FF2B5EF4-FFF2-40B4-BE49-F238E27FC236}">
              <a16:creationId xmlns:a16="http://schemas.microsoft.com/office/drawing/2014/main" id="{B330D4B8-95CE-439D-AC02-52445723C4E3}"/>
            </a:ext>
          </a:extLst>
        </xdr:cNvPr>
        <xdr:cNvSpPr/>
      </xdr:nvSpPr>
      <xdr:spPr>
        <a:xfrm>
          <a:off x="4330212" y="3634154"/>
          <a:ext cx="2410558" cy="35169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No guess, so argument omitted</a:t>
          </a:r>
        </a:p>
      </xdr:txBody>
    </xdr:sp>
    <xdr:clientData/>
  </xdr:twoCellAnchor>
  <xdr:twoCellAnchor>
    <xdr:from>
      <xdr:col>3</xdr:col>
      <xdr:colOff>108441</xdr:colOff>
      <xdr:row>18</xdr:row>
      <xdr:rowOff>181710</xdr:rowOff>
    </xdr:from>
    <xdr:to>
      <xdr:col>3</xdr:col>
      <xdr:colOff>168520</xdr:colOff>
      <xdr:row>19</xdr:row>
      <xdr:rowOff>124557</xdr:rowOff>
    </xdr:to>
    <xdr:cxnSp macro="">
      <xdr:nvCxnSpPr>
        <xdr:cNvPr id="48" name="Straight Arrow Connector 47">
          <a:extLst>
            <a:ext uri="{FF2B5EF4-FFF2-40B4-BE49-F238E27FC236}">
              <a16:creationId xmlns:a16="http://schemas.microsoft.com/office/drawing/2014/main" id="{6706FE38-B375-475B-BBA7-0D9AEEBB481E}"/>
            </a:ext>
          </a:extLst>
        </xdr:cNvPr>
        <xdr:cNvCxnSpPr/>
      </xdr:nvCxnSpPr>
      <xdr:spPr>
        <a:xfrm flipH="1" flipV="1">
          <a:off x="4350729" y="3537441"/>
          <a:ext cx="60079" cy="13334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857250</xdr:colOff>
      <xdr:row>15</xdr:row>
      <xdr:rowOff>87925</xdr:rowOff>
    </xdr:from>
    <xdr:to>
      <xdr:col>2</xdr:col>
      <xdr:colOff>0</xdr:colOff>
      <xdr:row>17</xdr:row>
      <xdr:rowOff>139211</xdr:rowOff>
    </xdr:to>
    <xdr:cxnSp macro="">
      <xdr:nvCxnSpPr>
        <xdr:cNvPr id="52" name="Straight Arrow Connector 51">
          <a:extLst>
            <a:ext uri="{FF2B5EF4-FFF2-40B4-BE49-F238E27FC236}">
              <a16:creationId xmlns:a16="http://schemas.microsoft.com/office/drawing/2014/main" id="{9DB4BA4B-EAF0-48F3-B02A-676EADC48513}"/>
            </a:ext>
          </a:extLst>
        </xdr:cNvPr>
        <xdr:cNvCxnSpPr/>
      </xdr:nvCxnSpPr>
      <xdr:spPr>
        <a:xfrm flipV="1">
          <a:off x="1179635" y="2872156"/>
          <a:ext cx="2051538" cy="43228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696057</xdr:colOff>
      <xdr:row>16</xdr:row>
      <xdr:rowOff>93787</xdr:rowOff>
    </xdr:from>
    <xdr:to>
      <xdr:col>1</xdr:col>
      <xdr:colOff>2899996</xdr:colOff>
      <xdr:row>17</xdr:row>
      <xdr:rowOff>131884</xdr:rowOff>
    </xdr:to>
    <xdr:cxnSp macro="">
      <xdr:nvCxnSpPr>
        <xdr:cNvPr id="55" name="Straight Arrow Connector 54">
          <a:extLst>
            <a:ext uri="{FF2B5EF4-FFF2-40B4-BE49-F238E27FC236}">
              <a16:creationId xmlns:a16="http://schemas.microsoft.com/office/drawing/2014/main" id="{79347DD7-2886-4E4C-97AF-F33B1B92E29B}"/>
            </a:ext>
          </a:extLst>
        </xdr:cNvPr>
        <xdr:cNvCxnSpPr/>
      </xdr:nvCxnSpPr>
      <xdr:spPr>
        <a:xfrm flipV="1">
          <a:off x="1018442" y="3068518"/>
          <a:ext cx="2203939" cy="22859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xdr:colOff>
      <xdr:row>17</xdr:row>
      <xdr:rowOff>87924</xdr:rowOff>
    </xdr:from>
    <xdr:to>
      <xdr:col>1</xdr:col>
      <xdr:colOff>1113693</xdr:colOff>
      <xdr:row>24</xdr:row>
      <xdr:rowOff>139211</xdr:rowOff>
    </xdr:to>
    <xdr:sp macro="" textlink="">
      <xdr:nvSpPr>
        <xdr:cNvPr id="50" name="Rectangle 49">
          <a:extLst>
            <a:ext uri="{FF2B5EF4-FFF2-40B4-BE49-F238E27FC236}">
              <a16:creationId xmlns:a16="http://schemas.microsoft.com/office/drawing/2014/main" id="{76EDE9A5-B654-4029-84BF-E56B2E0A96D3}"/>
            </a:ext>
          </a:extLst>
        </xdr:cNvPr>
        <xdr:cNvSpPr/>
      </xdr:nvSpPr>
      <xdr:spPr>
        <a:xfrm>
          <a:off x="322386" y="3253155"/>
          <a:ext cx="1113692" cy="13847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Adjusted period rate and APR reflects the true cash flow and therefore are higher than the quoted rates</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1169276</xdr:colOff>
      <xdr:row>17</xdr:row>
      <xdr:rowOff>216779</xdr:rowOff>
    </xdr:from>
    <xdr:to>
      <xdr:col>1</xdr:col>
      <xdr:colOff>1274379</xdr:colOff>
      <xdr:row>18</xdr:row>
      <xdr:rowOff>183931</xdr:rowOff>
    </xdr:to>
    <xdr:cxnSp macro="">
      <xdr:nvCxnSpPr>
        <xdr:cNvPr id="2" name="Straight Arrow Connector 1">
          <a:extLst>
            <a:ext uri="{FF2B5EF4-FFF2-40B4-BE49-F238E27FC236}">
              <a16:creationId xmlns:a16="http://schemas.microsoft.com/office/drawing/2014/main" id="{8D4EA365-DCE8-41D5-A2FE-14A707DF7EF7}"/>
            </a:ext>
          </a:extLst>
        </xdr:cNvPr>
        <xdr:cNvCxnSpPr/>
      </xdr:nvCxnSpPr>
      <xdr:spPr>
        <a:xfrm flipV="1">
          <a:off x="1569983" y="3231934"/>
          <a:ext cx="105103" cy="20363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1842650</xdr:colOff>
      <xdr:row>17</xdr:row>
      <xdr:rowOff>207988</xdr:rowOff>
    </xdr:from>
    <xdr:to>
      <xdr:col>1</xdr:col>
      <xdr:colOff>2069224</xdr:colOff>
      <xdr:row>19</xdr:row>
      <xdr:rowOff>32845</xdr:rowOff>
    </xdr:to>
    <xdr:cxnSp macro="">
      <xdr:nvCxnSpPr>
        <xdr:cNvPr id="3" name="Straight Arrow Connector 2">
          <a:extLst>
            <a:ext uri="{FF2B5EF4-FFF2-40B4-BE49-F238E27FC236}">
              <a16:creationId xmlns:a16="http://schemas.microsoft.com/office/drawing/2014/main" id="{29C0594A-8A98-4973-95FC-E0D29174A6E3}"/>
            </a:ext>
          </a:extLst>
        </xdr:cNvPr>
        <xdr:cNvCxnSpPr/>
      </xdr:nvCxnSpPr>
      <xdr:spPr>
        <a:xfrm flipH="1" flipV="1">
          <a:off x="2243357" y="3223143"/>
          <a:ext cx="226574" cy="25184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663468</xdr:colOff>
      <xdr:row>18</xdr:row>
      <xdr:rowOff>142296</xdr:rowOff>
    </xdr:from>
    <xdr:to>
      <xdr:col>1</xdr:col>
      <xdr:colOff>1957554</xdr:colOff>
      <xdr:row>23</xdr:row>
      <xdr:rowOff>164224</xdr:rowOff>
    </xdr:to>
    <xdr:sp macro="" textlink="">
      <xdr:nvSpPr>
        <xdr:cNvPr id="5" name="Rectangle 4">
          <a:extLst>
            <a:ext uri="{FF2B5EF4-FFF2-40B4-BE49-F238E27FC236}">
              <a16:creationId xmlns:a16="http://schemas.microsoft.com/office/drawing/2014/main" id="{99BCD2A7-FD75-4D34-99BB-5400021E5B49}"/>
            </a:ext>
          </a:extLst>
        </xdr:cNvPr>
        <xdr:cNvSpPr/>
      </xdr:nvSpPr>
      <xdr:spPr>
        <a:xfrm>
          <a:off x="1064175" y="3393934"/>
          <a:ext cx="1294086" cy="9744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discount rate is the required rate of return that the company has estimated</a:t>
          </a:r>
        </a:p>
      </xdr:txBody>
    </xdr:sp>
    <xdr:clientData/>
  </xdr:twoCellAnchor>
  <xdr:twoCellAnchor>
    <xdr:from>
      <xdr:col>1</xdr:col>
      <xdr:colOff>2001618</xdr:colOff>
      <xdr:row>18</xdr:row>
      <xdr:rowOff>150181</xdr:rowOff>
    </xdr:from>
    <xdr:to>
      <xdr:col>2</xdr:col>
      <xdr:colOff>886811</xdr:colOff>
      <xdr:row>22</xdr:row>
      <xdr:rowOff>124810</xdr:rowOff>
    </xdr:to>
    <xdr:sp macro="" textlink="">
      <xdr:nvSpPr>
        <xdr:cNvPr id="9" name="Rectangle 8">
          <a:extLst>
            <a:ext uri="{FF2B5EF4-FFF2-40B4-BE49-F238E27FC236}">
              <a16:creationId xmlns:a16="http://schemas.microsoft.com/office/drawing/2014/main" id="{D7A0007A-1FBF-4F9A-914F-AA41182903DB}"/>
            </a:ext>
          </a:extLst>
        </xdr:cNvPr>
        <xdr:cNvSpPr/>
      </xdr:nvSpPr>
      <xdr:spPr>
        <a:xfrm>
          <a:off x="2402325" y="3401819"/>
          <a:ext cx="1282865" cy="7366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Cash flows for each equal time period</a:t>
          </a:r>
        </a:p>
      </xdr:txBody>
    </xdr:sp>
    <xdr:clientData/>
  </xdr:twoCellAnchor>
  <xdr:twoCellAnchor>
    <xdr:from>
      <xdr:col>1</xdr:col>
      <xdr:colOff>394138</xdr:colOff>
      <xdr:row>14</xdr:row>
      <xdr:rowOff>118242</xdr:rowOff>
    </xdr:from>
    <xdr:to>
      <xdr:col>1</xdr:col>
      <xdr:colOff>2391103</xdr:colOff>
      <xdr:row>16</xdr:row>
      <xdr:rowOff>118242</xdr:rowOff>
    </xdr:to>
    <xdr:cxnSp macro="">
      <xdr:nvCxnSpPr>
        <xdr:cNvPr id="26" name="Straight Arrow Connector 25">
          <a:extLst>
            <a:ext uri="{FF2B5EF4-FFF2-40B4-BE49-F238E27FC236}">
              <a16:creationId xmlns:a16="http://schemas.microsoft.com/office/drawing/2014/main" id="{78CCF7DB-931D-4494-A54F-F18177C10DB4}"/>
            </a:ext>
          </a:extLst>
        </xdr:cNvPr>
        <xdr:cNvCxnSpPr/>
      </xdr:nvCxnSpPr>
      <xdr:spPr>
        <a:xfrm flipV="1">
          <a:off x="794845" y="2561897"/>
          <a:ext cx="1996965" cy="38100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106417</xdr:colOff>
      <xdr:row>16</xdr:row>
      <xdr:rowOff>80143</xdr:rowOff>
    </xdr:from>
    <xdr:to>
      <xdr:col>1</xdr:col>
      <xdr:colOff>558361</xdr:colOff>
      <xdr:row>20</xdr:row>
      <xdr:rowOff>59121</xdr:rowOff>
    </xdr:to>
    <xdr:sp macro="" textlink="">
      <xdr:nvSpPr>
        <xdr:cNvPr id="24" name="Rectangle 23">
          <a:extLst>
            <a:ext uri="{FF2B5EF4-FFF2-40B4-BE49-F238E27FC236}">
              <a16:creationId xmlns:a16="http://schemas.microsoft.com/office/drawing/2014/main" id="{EFAAB729-6670-41BB-8378-6B88124744FE}"/>
            </a:ext>
          </a:extLst>
        </xdr:cNvPr>
        <xdr:cNvSpPr/>
      </xdr:nvSpPr>
      <xdr:spPr>
        <a:xfrm>
          <a:off x="106417" y="2904798"/>
          <a:ext cx="852651" cy="786961"/>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0" u="none" strike="noStrike" baseline="0">
              <a:solidFill>
                <a:srgbClr val="000000"/>
              </a:solidFill>
              <a:latin typeface="Calibri"/>
              <a:cs typeface="Calibri"/>
            </a:rPr>
            <a:t>This is the max to pay for machine!</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xdr:col>
      <xdr:colOff>1169276</xdr:colOff>
      <xdr:row>17</xdr:row>
      <xdr:rowOff>216779</xdr:rowOff>
    </xdr:from>
    <xdr:to>
      <xdr:col>1</xdr:col>
      <xdr:colOff>1274379</xdr:colOff>
      <xdr:row>18</xdr:row>
      <xdr:rowOff>183931</xdr:rowOff>
    </xdr:to>
    <xdr:cxnSp macro="">
      <xdr:nvCxnSpPr>
        <xdr:cNvPr id="2" name="Straight Arrow Connector 1">
          <a:extLst>
            <a:ext uri="{FF2B5EF4-FFF2-40B4-BE49-F238E27FC236}">
              <a16:creationId xmlns:a16="http://schemas.microsoft.com/office/drawing/2014/main" id="{C5595BBB-1691-4973-B1B1-25E717358787}"/>
            </a:ext>
          </a:extLst>
        </xdr:cNvPr>
        <xdr:cNvCxnSpPr/>
      </xdr:nvCxnSpPr>
      <xdr:spPr>
        <a:xfrm flipV="1">
          <a:off x="1569326" y="3226679"/>
          <a:ext cx="105103" cy="20527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1842650</xdr:colOff>
      <xdr:row>17</xdr:row>
      <xdr:rowOff>207988</xdr:rowOff>
    </xdr:from>
    <xdr:to>
      <xdr:col>1</xdr:col>
      <xdr:colOff>2069224</xdr:colOff>
      <xdr:row>19</xdr:row>
      <xdr:rowOff>32845</xdr:rowOff>
    </xdr:to>
    <xdr:cxnSp macro="">
      <xdr:nvCxnSpPr>
        <xdr:cNvPr id="3" name="Straight Arrow Connector 2">
          <a:extLst>
            <a:ext uri="{FF2B5EF4-FFF2-40B4-BE49-F238E27FC236}">
              <a16:creationId xmlns:a16="http://schemas.microsoft.com/office/drawing/2014/main" id="{39F39298-64FB-4E96-A34A-D95D6D8DF9CD}"/>
            </a:ext>
          </a:extLst>
        </xdr:cNvPr>
        <xdr:cNvCxnSpPr/>
      </xdr:nvCxnSpPr>
      <xdr:spPr>
        <a:xfrm flipH="1" flipV="1">
          <a:off x="2242700" y="3217888"/>
          <a:ext cx="226574" cy="253482"/>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663468</xdr:colOff>
      <xdr:row>18</xdr:row>
      <xdr:rowOff>142296</xdr:rowOff>
    </xdr:from>
    <xdr:to>
      <xdr:col>1</xdr:col>
      <xdr:colOff>1957554</xdr:colOff>
      <xdr:row>23</xdr:row>
      <xdr:rowOff>164224</xdr:rowOff>
    </xdr:to>
    <xdr:sp macro="" textlink="">
      <xdr:nvSpPr>
        <xdr:cNvPr id="4" name="Rectangle 3">
          <a:extLst>
            <a:ext uri="{FF2B5EF4-FFF2-40B4-BE49-F238E27FC236}">
              <a16:creationId xmlns:a16="http://schemas.microsoft.com/office/drawing/2014/main" id="{C6B9B223-1499-443D-A98C-B643EEA29DF3}"/>
            </a:ext>
          </a:extLst>
        </xdr:cNvPr>
        <xdr:cNvSpPr/>
      </xdr:nvSpPr>
      <xdr:spPr>
        <a:xfrm>
          <a:off x="1063518" y="3390321"/>
          <a:ext cx="1294086" cy="9744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discount rate is the required rate of return that the company has estimated</a:t>
          </a:r>
        </a:p>
      </xdr:txBody>
    </xdr:sp>
    <xdr:clientData/>
  </xdr:twoCellAnchor>
  <xdr:twoCellAnchor>
    <xdr:from>
      <xdr:col>1</xdr:col>
      <xdr:colOff>2001618</xdr:colOff>
      <xdr:row>18</xdr:row>
      <xdr:rowOff>150181</xdr:rowOff>
    </xdr:from>
    <xdr:to>
      <xdr:col>2</xdr:col>
      <xdr:colOff>886811</xdr:colOff>
      <xdr:row>22</xdr:row>
      <xdr:rowOff>124810</xdr:rowOff>
    </xdr:to>
    <xdr:sp macro="" textlink="">
      <xdr:nvSpPr>
        <xdr:cNvPr id="5" name="Rectangle 4">
          <a:extLst>
            <a:ext uri="{FF2B5EF4-FFF2-40B4-BE49-F238E27FC236}">
              <a16:creationId xmlns:a16="http://schemas.microsoft.com/office/drawing/2014/main" id="{C97C5E58-5647-4A5C-8528-45807D747885}"/>
            </a:ext>
          </a:extLst>
        </xdr:cNvPr>
        <xdr:cNvSpPr/>
      </xdr:nvSpPr>
      <xdr:spPr>
        <a:xfrm>
          <a:off x="2401668" y="3398206"/>
          <a:ext cx="1285493" cy="7366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Cash flows for each equal time period</a:t>
          </a:r>
        </a:p>
      </xdr:txBody>
    </xdr:sp>
    <xdr:clientData/>
  </xdr:twoCellAnchor>
  <xdr:twoCellAnchor>
    <xdr:from>
      <xdr:col>3</xdr:col>
      <xdr:colOff>6570</xdr:colOff>
      <xdr:row>11</xdr:row>
      <xdr:rowOff>137948</xdr:rowOff>
    </xdr:from>
    <xdr:to>
      <xdr:col>3</xdr:col>
      <xdr:colOff>348155</xdr:colOff>
      <xdr:row>13</xdr:row>
      <xdr:rowOff>183931</xdr:rowOff>
    </xdr:to>
    <xdr:cxnSp macro="">
      <xdr:nvCxnSpPr>
        <xdr:cNvPr id="6" name="Straight Arrow Connector 5">
          <a:extLst>
            <a:ext uri="{FF2B5EF4-FFF2-40B4-BE49-F238E27FC236}">
              <a16:creationId xmlns:a16="http://schemas.microsoft.com/office/drawing/2014/main" id="{57521FE2-C6FA-4773-94DC-C6160CAE2DAD}"/>
            </a:ext>
          </a:extLst>
        </xdr:cNvPr>
        <xdr:cNvCxnSpPr/>
      </xdr:nvCxnSpPr>
      <xdr:spPr>
        <a:xfrm flipH="1">
          <a:off x="4102320" y="2004848"/>
          <a:ext cx="341585" cy="42698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210207</xdr:colOff>
      <xdr:row>3</xdr:row>
      <xdr:rowOff>157656</xdr:rowOff>
    </xdr:from>
    <xdr:to>
      <xdr:col>3</xdr:col>
      <xdr:colOff>1399189</xdr:colOff>
      <xdr:row>12</xdr:row>
      <xdr:rowOff>114302</xdr:rowOff>
    </xdr:to>
    <xdr:sp macro="" textlink="">
      <xdr:nvSpPr>
        <xdr:cNvPr id="7" name="Rectangle 6">
          <a:extLst>
            <a:ext uri="{FF2B5EF4-FFF2-40B4-BE49-F238E27FC236}">
              <a16:creationId xmlns:a16="http://schemas.microsoft.com/office/drawing/2014/main" id="{EE418CAE-A53F-48C9-B475-4A76B80158DD}"/>
            </a:ext>
          </a:extLst>
        </xdr:cNvPr>
        <xdr:cNvSpPr/>
      </xdr:nvSpPr>
      <xdr:spPr>
        <a:xfrm>
          <a:off x="4305957" y="500556"/>
          <a:ext cx="1188982" cy="1671146"/>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Because the value of the cash flows at time zero is larger than the cost, it looks like a profitable machine</a:t>
          </a:r>
        </a:p>
      </xdr:txBody>
    </xdr:sp>
    <xdr:clientData/>
  </xdr:twoCellAnchor>
  <xdr:twoCellAnchor>
    <xdr:from>
      <xdr:col>2</xdr:col>
      <xdr:colOff>1248104</xdr:colOff>
      <xdr:row>16</xdr:row>
      <xdr:rowOff>6570</xdr:rowOff>
    </xdr:from>
    <xdr:to>
      <xdr:col>3</xdr:col>
      <xdr:colOff>433551</xdr:colOff>
      <xdr:row>17</xdr:row>
      <xdr:rowOff>32845</xdr:rowOff>
    </xdr:to>
    <xdr:cxnSp macro="">
      <xdr:nvCxnSpPr>
        <xdr:cNvPr id="8" name="Straight Arrow Connector 7">
          <a:extLst>
            <a:ext uri="{FF2B5EF4-FFF2-40B4-BE49-F238E27FC236}">
              <a16:creationId xmlns:a16="http://schemas.microsoft.com/office/drawing/2014/main" id="{4272BF76-75D6-4B4C-901C-6259DB224D67}"/>
            </a:ext>
          </a:extLst>
        </xdr:cNvPr>
        <xdr:cNvCxnSpPr/>
      </xdr:nvCxnSpPr>
      <xdr:spPr>
        <a:xfrm flipH="1" flipV="1">
          <a:off x="4048454" y="2825970"/>
          <a:ext cx="480847" cy="21677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354724</xdr:colOff>
      <xdr:row>16</xdr:row>
      <xdr:rowOff>177363</xdr:rowOff>
    </xdr:from>
    <xdr:to>
      <xdr:col>3</xdr:col>
      <xdr:colOff>1399189</xdr:colOff>
      <xdr:row>20</xdr:row>
      <xdr:rowOff>157655</xdr:rowOff>
    </xdr:to>
    <xdr:sp macro="" textlink="$G$22">
      <xdr:nvSpPr>
        <xdr:cNvPr id="9" name="Rectangle 8">
          <a:extLst>
            <a:ext uri="{FF2B5EF4-FFF2-40B4-BE49-F238E27FC236}">
              <a16:creationId xmlns:a16="http://schemas.microsoft.com/office/drawing/2014/main" id="{EADC235A-C82F-433B-A471-E880BBE9EC64}"/>
            </a:ext>
          </a:extLst>
        </xdr:cNvPr>
        <xdr:cNvSpPr/>
      </xdr:nvSpPr>
      <xdr:spPr>
        <a:xfrm>
          <a:off x="4450474" y="2996763"/>
          <a:ext cx="1044465" cy="789917"/>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224E7EBF-D9BD-4FDE-A040-0DC8D92975C9}" type="TxLink">
            <a:rPr lang="en-US" sz="1100" b="0" i="0" u="none" strike="noStrike" baseline="0">
              <a:solidFill>
                <a:srgbClr val="000000"/>
              </a:solidFill>
              <a:latin typeface="Calibri"/>
              <a:cs typeface="Calibri"/>
            </a:rPr>
            <a:pPr algn="l"/>
            <a:t>Value - Cost = $288,582.20 - $285,000 = 3,582.20</a:t>
          </a:fld>
          <a:endParaRPr lang="en-US" sz="1100" baseline="0">
            <a:solidFill>
              <a:schemeClr val="tx1"/>
            </a:solidFill>
          </a:endParaRPr>
        </a:p>
      </xdr:txBody>
    </xdr:sp>
    <xdr:clientData/>
  </xdr:twoCellAnchor>
  <xdr:twoCellAnchor>
    <xdr:from>
      <xdr:col>1</xdr:col>
      <xdr:colOff>394138</xdr:colOff>
      <xdr:row>14</xdr:row>
      <xdr:rowOff>118242</xdr:rowOff>
    </xdr:from>
    <xdr:to>
      <xdr:col>1</xdr:col>
      <xdr:colOff>2391103</xdr:colOff>
      <xdr:row>16</xdr:row>
      <xdr:rowOff>118242</xdr:rowOff>
    </xdr:to>
    <xdr:cxnSp macro="">
      <xdr:nvCxnSpPr>
        <xdr:cNvPr id="10" name="Straight Arrow Connector 9">
          <a:extLst>
            <a:ext uri="{FF2B5EF4-FFF2-40B4-BE49-F238E27FC236}">
              <a16:creationId xmlns:a16="http://schemas.microsoft.com/office/drawing/2014/main" id="{A4AD9EC1-687D-444F-8E65-29E8EFC2294D}"/>
            </a:ext>
          </a:extLst>
        </xdr:cNvPr>
        <xdr:cNvCxnSpPr/>
      </xdr:nvCxnSpPr>
      <xdr:spPr>
        <a:xfrm flipV="1">
          <a:off x="794188" y="2556642"/>
          <a:ext cx="1996965" cy="38100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106417</xdr:colOff>
      <xdr:row>16</xdr:row>
      <xdr:rowOff>80143</xdr:rowOff>
    </xdr:from>
    <xdr:to>
      <xdr:col>1</xdr:col>
      <xdr:colOff>558361</xdr:colOff>
      <xdr:row>20</xdr:row>
      <xdr:rowOff>59121</xdr:rowOff>
    </xdr:to>
    <xdr:sp macro="" textlink="">
      <xdr:nvSpPr>
        <xdr:cNvPr id="11" name="Rectangle 10">
          <a:extLst>
            <a:ext uri="{FF2B5EF4-FFF2-40B4-BE49-F238E27FC236}">
              <a16:creationId xmlns:a16="http://schemas.microsoft.com/office/drawing/2014/main" id="{68C9F469-6553-4A38-8EA3-830354103179}"/>
            </a:ext>
          </a:extLst>
        </xdr:cNvPr>
        <xdr:cNvSpPr/>
      </xdr:nvSpPr>
      <xdr:spPr>
        <a:xfrm>
          <a:off x="106417" y="2899543"/>
          <a:ext cx="851994" cy="788603"/>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0" u="none" strike="noStrike" baseline="0">
              <a:solidFill>
                <a:srgbClr val="000000"/>
              </a:solidFill>
              <a:latin typeface="Calibri"/>
              <a:cs typeface="Calibri"/>
            </a:rPr>
            <a:t>This is the max to pay for machine!</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xdr:col>
      <xdr:colOff>1123293</xdr:colOff>
      <xdr:row>17</xdr:row>
      <xdr:rowOff>1973</xdr:rowOff>
    </xdr:from>
    <xdr:to>
      <xdr:col>1</xdr:col>
      <xdr:colOff>1228396</xdr:colOff>
      <xdr:row>18</xdr:row>
      <xdr:rowOff>26275</xdr:rowOff>
    </xdr:to>
    <xdr:cxnSp macro="">
      <xdr:nvCxnSpPr>
        <xdr:cNvPr id="2" name="Straight Arrow Connector 1">
          <a:extLst>
            <a:ext uri="{FF2B5EF4-FFF2-40B4-BE49-F238E27FC236}">
              <a16:creationId xmlns:a16="http://schemas.microsoft.com/office/drawing/2014/main" id="{30790663-5748-4492-BDD1-FE8200240DC8}"/>
            </a:ext>
          </a:extLst>
        </xdr:cNvPr>
        <xdr:cNvCxnSpPr/>
      </xdr:nvCxnSpPr>
      <xdr:spPr>
        <a:xfrm flipV="1">
          <a:off x="1524000" y="3017128"/>
          <a:ext cx="105103" cy="26078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1783529</xdr:colOff>
      <xdr:row>16</xdr:row>
      <xdr:rowOff>212915</xdr:rowOff>
    </xdr:from>
    <xdr:to>
      <xdr:col>1</xdr:col>
      <xdr:colOff>1895803</xdr:colOff>
      <xdr:row>18</xdr:row>
      <xdr:rowOff>85397</xdr:rowOff>
    </xdr:to>
    <xdr:cxnSp macro="">
      <xdr:nvCxnSpPr>
        <xdr:cNvPr id="3" name="Straight Arrow Connector 2">
          <a:extLst>
            <a:ext uri="{FF2B5EF4-FFF2-40B4-BE49-F238E27FC236}">
              <a16:creationId xmlns:a16="http://schemas.microsoft.com/office/drawing/2014/main" id="{BB250651-DDC3-4F85-9768-0DF003D8D3BE}"/>
            </a:ext>
          </a:extLst>
        </xdr:cNvPr>
        <xdr:cNvCxnSpPr/>
      </xdr:nvCxnSpPr>
      <xdr:spPr>
        <a:xfrm flipH="1" flipV="1">
          <a:off x="2184236" y="3037570"/>
          <a:ext cx="112274" cy="29946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243053</xdr:colOff>
      <xdr:row>17</xdr:row>
      <xdr:rowOff>190499</xdr:rowOff>
    </xdr:from>
    <xdr:to>
      <xdr:col>1</xdr:col>
      <xdr:colOff>1793328</xdr:colOff>
      <xdr:row>21</xdr:row>
      <xdr:rowOff>26276</xdr:rowOff>
    </xdr:to>
    <xdr:sp macro="" textlink="">
      <xdr:nvSpPr>
        <xdr:cNvPr id="4" name="Rectangle 3">
          <a:extLst>
            <a:ext uri="{FF2B5EF4-FFF2-40B4-BE49-F238E27FC236}">
              <a16:creationId xmlns:a16="http://schemas.microsoft.com/office/drawing/2014/main" id="{C58C6C04-60A3-4B9C-A2AE-3175E6CB4AF4}"/>
            </a:ext>
          </a:extLst>
        </xdr:cNvPr>
        <xdr:cNvSpPr/>
      </xdr:nvSpPr>
      <xdr:spPr>
        <a:xfrm>
          <a:off x="243053" y="3251637"/>
          <a:ext cx="1950982" cy="61748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discount rate is the required rate of return that the company has estimated</a:t>
          </a:r>
        </a:p>
      </xdr:txBody>
    </xdr:sp>
    <xdr:clientData/>
  </xdr:twoCellAnchor>
  <xdr:twoCellAnchor>
    <xdr:from>
      <xdr:col>1</xdr:col>
      <xdr:colOff>1796337</xdr:colOff>
      <xdr:row>18</xdr:row>
      <xdr:rowOff>51648</xdr:rowOff>
    </xdr:from>
    <xdr:to>
      <xdr:col>2</xdr:col>
      <xdr:colOff>466395</xdr:colOff>
      <xdr:row>21</xdr:row>
      <xdr:rowOff>183932</xdr:rowOff>
    </xdr:to>
    <xdr:sp macro="" textlink="">
      <xdr:nvSpPr>
        <xdr:cNvPr id="5" name="Rectangle 4">
          <a:extLst>
            <a:ext uri="{FF2B5EF4-FFF2-40B4-BE49-F238E27FC236}">
              <a16:creationId xmlns:a16="http://schemas.microsoft.com/office/drawing/2014/main" id="{D4267E60-0BA9-4C8D-BA09-A333008A44CE}"/>
            </a:ext>
          </a:extLst>
        </xdr:cNvPr>
        <xdr:cNvSpPr/>
      </xdr:nvSpPr>
      <xdr:spPr>
        <a:xfrm>
          <a:off x="2197044" y="3303286"/>
          <a:ext cx="719575" cy="70378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Cash flows</a:t>
          </a:r>
        </a:p>
      </xdr:txBody>
    </xdr:sp>
    <xdr:clientData/>
  </xdr:twoCellAnchor>
  <xdr:twoCellAnchor>
    <xdr:from>
      <xdr:col>2</xdr:col>
      <xdr:colOff>365943</xdr:colOff>
      <xdr:row>16</xdr:row>
      <xdr:rowOff>201747</xdr:rowOff>
    </xdr:from>
    <xdr:to>
      <xdr:col>2</xdr:col>
      <xdr:colOff>478217</xdr:colOff>
      <xdr:row>18</xdr:row>
      <xdr:rowOff>93279</xdr:rowOff>
    </xdr:to>
    <xdr:cxnSp macro="">
      <xdr:nvCxnSpPr>
        <xdr:cNvPr id="8" name="Straight Arrow Connector 7">
          <a:extLst>
            <a:ext uri="{FF2B5EF4-FFF2-40B4-BE49-F238E27FC236}">
              <a16:creationId xmlns:a16="http://schemas.microsoft.com/office/drawing/2014/main" id="{862FC05B-7AC8-4590-81C5-BF2A775C6453}"/>
            </a:ext>
          </a:extLst>
        </xdr:cNvPr>
        <xdr:cNvCxnSpPr/>
      </xdr:nvCxnSpPr>
      <xdr:spPr>
        <a:xfrm flipH="1" flipV="1">
          <a:off x="2816167" y="3026402"/>
          <a:ext cx="112274" cy="31851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398458</xdr:colOff>
      <xdr:row>18</xdr:row>
      <xdr:rowOff>39822</xdr:rowOff>
    </xdr:from>
    <xdr:to>
      <xdr:col>2</xdr:col>
      <xdr:colOff>1282259</xdr:colOff>
      <xdr:row>22</xdr:row>
      <xdr:rowOff>0</xdr:rowOff>
    </xdr:to>
    <xdr:sp macro="" textlink="">
      <xdr:nvSpPr>
        <xdr:cNvPr id="9" name="Rectangle 8">
          <a:extLst>
            <a:ext uri="{FF2B5EF4-FFF2-40B4-BE49-F238E27FC236}">
              <a16:creationId xmlns:a16="http://schemas.microsoft.com/office/drawing/2014/main" id="{8DFCA630-CA13-4A9F-A26B-A4D8A08CC5B9}"/>
            </a:ext>
          </a:extLst>
        </xdr:cNvPr>
        <xdr:cNvSpPr/>
      </xdr:nvSpPr>
      <xdr:spPr>
        <a:xfrm>
          <a:off x="2750148" y="3291460"/>
          <a:ext cx="883801" cy="7366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Dates associated with cash flows</a:t>
          </a:r>
        </a:p>
      </xdr:txBody>
    </xdr:sp>
    <xdr:clientData/>
  </xdr:twoCellAnchor>
  <xdr:twoCellAnchor editAs="oneCell">
    <xdr:from>
      <xdr:col>6</xdr:col>
      <xdr:colOff>440120</xdr:colOff>
      <xdr:row>17</xdr:row>
      <xdr:rowOff>39414</xdr:rowOff>
    </xdr:from>
    <xdr:to>
      <xdr:col>7</xdr:col>
      <xdr:colOff>1029685</xdr:colOff>
      <xdr:row>19</xdr:row>
      <xdr:rowOff>87039</xdr:rowOff>
    </xdr:to>
    <xdr:pic>
      <xdr:nvPicPr>
        <xdr:cNvPr id="10" name="Picture 9" descr="Equation">
          <a:extLst>
            <a:ext uri="{FF2B5EF4-FFF2-40B4-BE49-F238E27FC236}">
              <a16:creationId xmlns:a16="http://schemas.microsoft.com/office/drawing/2014/main" id="{B389CC9D-A3C5-4679-95F3-6F2AE175C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03223" y="3100552"/>
          <a:ext cx="1686582" cy="448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1</xdr:col>
      <xdr:colOff>1123293</xdr:colOff>
      <xdr:row>17</xdr:row>
      <xdr:rowOff>1973</xdr:rowOff>
    </xdr:from>
    <xdr:to>
      <xdr:col>1</xdr:col>
      <xdr:colOff>1228396</xdr:colOff>
      <xdr:row>18</xdr:row>
      <xdr:rowOff>26275</xdr:rowOff>
    </xdr:to>
    <xdr:cxnSp macro="">
      <xdr:nvCxnSpPr>
        <xdr:cNvPr id="2" name="Straight Arrow Connector 1">
          <a:extLst>
            <a:ext uri="{FF2B5EF4-FFF2-40B4-BE49-F238E27FC236}">
              <a16:creationId xmlns:a16="http://schemas.microsoft.com/office/drawing/2014/main" id="{008FDAE5-1899-47B4-A99F-D51D3A721973}"/>
            </a:ext>
          </a:extLst>
        </xdr:cNvPr>
        <xdr:cNvCxnSpPr/>
      </xdr:nvCxnSpPr>
      <xdr:spPr>
        <a:xfrm flipV="1">
          <a:off x="1523343" y="3059498"/>
          <a:ext cx="105103" cy="214802"/>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1783529</xdr:colOff>
      <xdr:row>16</xdr:row>
      <xdr:rowOff>212915</xdr:rowOff>
    </xdr:from>
    <xdr:to>
      <xdr:col>1</xdr:col>
      <xdr:colOff>1895803</xdr:colOff>
      <xdr:row>18</xdr:row>
      <xdr:rowOff>85397</xdr:rowOff>
    </xdr:to>
    <xdr:cxnSp macro="">
      <xdr:nvCxnSpPr>
        <xdr:cNvPr id="3" name="Straight Arrow Connector 2">
          <a:extLst>
            <a:ext uri="{FF2B5EF4-FFF2-40B4-BE49-F238E27FC236}">
              <a16:creationId xmlns:a16="http://schemas.microsoft.com/office/drawing/2014/main" id="{F84691AC-57C1-4BDF-9908-20AC77BB9567}"/>
            </a:ext>
          </a:extLst>
        </xdr:cNvPr>
        <xdr:cNvCxnSpPr/>
      </xdr:nvCxnSpPr>
      <xdr:spPr>
        <a:xfrm flipH="1" flipV="1">
          <a:off x="2183579" y="3032315"/>
          <a:ext cx="112274" cy="30110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243053</xdr:colOff>
      <xdr:row>17</xdr:row>
      <xdr:rowOff>190499</xdr:rowOff>
    </xdr:from>
    <xdr:to>
      <xdr:col>1</xdr:col>
      <xdr:colOff>1793328</xdr:colOff>
      <xdr:row>21</xdr:row>
      <xdr:rowOff>26276</xdr:rowOff>
    </xdr:to>
    <xdr:sp macro="" textlink="">
      <xdr:nvSpPr>
        <xdr:cNvPr id="4" name="Rectangle 3">
          <a:extLst>
            <a:ext uri="{FF2B5EF4-FFF2-40B4-BE49-F238E27FC236}">
              <a16:creationId xmlns:a16="http://schemas.microsoft.com/office/drawing/2014/main" id="{31EF53B1-F9D3-4699-9056-7B38AA2931E8}"/>
            </a:ext>
          </a:extLst>
        </xdr:cNvPr>
        <xdr:cNvSpPr/>
      </xdr:nvSpPr>
      <xdr:spPr>
        <a:xfrm>
          <a:off x="243053" y="3248024"/>
          <a:ext cx="1950325" cy="61682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Period discount rate is the required rate of return that the company has estimated</a:t>
          </a:r>
        </a:p>
      </xdr:txBody>
    </xdr:sp>
    <xdr:clientData/>
  </xdr:twoCellAnchor>
  <xdr:twoCellAnchor>
    <xdr:from>
      <xdr:col>1</xdr:col>
      <xdr:colOff>1796337</xdr:colOff>
      <xdr:row>18</xdr:row>
      <xdr:rowOff>51648</xdr:rowOff>
    </xdr:from>
    <xdr:to>
      <xdr:col>2</xdr:col>
      <xdr:colOff>466395</xdr:colOff>
      <xdr:row>21</xdr:row>
      <xdr:rowOff>183932</xdr:rowOff>
    </xdr:to>
    <xdr:sp macro="" textlink="">
      <xdr:nvSpPr>
        <xdr:cNvPr id="5" name="Rectangle 4">
          <a:extLst>
            <a:ext uri="{FF2B5EF4-FFF2-40B4-BE49-F238E27FC236}">
              <a16:creationId xmlns:a16="http://schemas.microsoft.com/office/drawing/2014/main" id="{15760FC3-617F-4A78-8CEB-886585B2D4C8}"/>
            </a:ext>
          </a:extLst>
        </xdr:cNvPr>
        <xdr:cNvSpPr/>
      </xdr:nvSpPr>
      <xdr:spPr>
        <a:xfrm>
          <a:off x="2196387" y="3299673"/>
          <a:ext cx="717933" cy="7228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Cash flows</a:t>
          </a:r>
        </a:p>
      </xdr:txBody>
    </xdr:sp>
    <xdr:clientData/>
  </xdr:twoCellAnchor>
  <xdr:twoCellAnchor>
    <xdr:from>
      <xdr:col>3</xdr:col>
      <xdr:colOff>13138</xdr:colOff>
      <xdr:row>10</xdr:row>
      <xdr:rowOff>72259</xdr:rowOff>
    </xdr:from>
    <xdr:to>
      <xdr:col>3</xdr:col>
      <xdr:colOff>755431</xdr:colOff>
      <xdr:row>13</xdr:row>
      <xdr:rowOff>183933</xdr:rowOff>
    </xdr:to>
    <xdr:cxnSp macro="">
      <xdr:nvCxnSpPr>
        <xdr:cNvPr id="6" name="Straight Arrow Connector 5">
          <a:extLst>
            <a:ext uri="{FF2B5EF4-FFF2-40B4-BE49-F238E27FC236}">
              <a16:creationId xmlns:a16="http://schemas.microsoft.com/office/drawing/2014/main" id="{C9AA133B-BF3F-4DEA-B9B4-7FD2C55B1F13}"/>
            </a:ext>
          </a:extLst>
        </xdr:cNvPr>
        <xdr:cNvCxnSpPr/>
      </xdr:nvCxnSpPr>
      <xdr:spPr>
        <a:xfrm flipH="1">
          <a:off x="3756463" y="1748659"/>
          <a:ext cx="742293" cy="68317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310056</xdr:colOff>
      <xdr:row>8</xdr:row>
      <xdr:rowOff>40730</xdr:rowOff>
    </xdr:from>
    <xdr:to>
      <xdr:col>3</xdr:col>
      <xdr:colOff>2141483</xdr:colOff>
      <xdr:row>12</xdr:row>
      <xdr:rowOff>98534</xdr:rowOff>
    </xdr:to>
    <xdr:sp macro="" textlink="">
      <xdr:nvSpPr>
        <xdr:cNvPr id="7" name="Rectangle 6">
          <a:extLst>
            <a:ext uri="{FF2B5EF4-FFF2-40B4-BE49-F238E27FC236}">
              <a16:creationId xmlns:a16="http://schemas.microsoft.com/office/drawing/2014/main" id="{9B2B7D92-23A4-48E4-A964-B13928B3AA08}"/>
            </a:ext>
          </a:extLst>
        </xdr:cNvPr>
        <xdr:cNvSpPr/>
      </xdr:nvSpPr>
      <xdr:spPr>
        <a:xfrm>
          <a:off x="4053381" y="1336130"/>
          <a:ext cx="1831427" cy="819804"/>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u="none" strike="noStrike" baseline="0">
              <a:solidFill>
                <a:srgbClr val="000000"/>
              </a:solidFill>
              <a:latin typeface="Calibri"/>
              <a:cs typeface="Calibri"/>
            </a:rPr>
            <a:t>This is the net present value. This positive value indicates that the machine can bring value to purchaser. </a:t>
          </a:r>
        </a:p>
      </xdr:txBody>
    </xdr:sp>
    <xdr:clientData/>
  </xdr:twoCellAnchor>
  <xdr:twoCellAnchor>
    <xdr:from>
      <xdr:col>2</xdr:col>
      <xdr:colOff>365943</xdr:colOff>
      <xdr:row>16</xdr:row>
      <xdr:rowOff>201747</xdr:rowOff>
    </xdr:from>
    <xdr:to>
      <xdr:col>2</xdr:col>
      <xdr:colOff>478217</xdr:colOff>
      <xdr:row>18</xdr:row>
      <xdr:rowOff>93279</xdr:rowOff>
    </xdr:to>
    <xdr:cxnSp macro="">
      <xdr:nvCxnSpPr>
        <xdr:cNvPr id="8" name="Straight Arrow Connector 7">
          <a:extLst>
            <a:ext uri="{FF2B5EF4-FFF2-40B4-BE49-F238E27FC236}">
              <a16:creationId xmlns:a16="http://schemas.microsoft.com/office/drawing/2014/main" id="{8F999137-8C45-43C4-BC6D-3AE347F3B8DA}"/>
            </a:ext>
          </a:extLst>
        </xdr:cNvPr>
        <xdr:cNvCxnSpPr/>
      </xdr:nvCxnSpPr>
      <xdr:spPr>
        <a:xfrm flipH="1" flipV="1">
          <a:off x="2813868" y="3021147"/>
          <a:ext cx="112274" cy="32015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398458</xdr:colOff>
      <xdr:row>18</xdr:row>
      <xdr:rowOff>39822</xdr:rowOff>
    </xdr:from>
    <xdr:to>
      <xdr:col>2</xdr:col>
      <xdr:colOff>1282259</xdr:colOff>
      <xdr:row>22</xdr:row>
      <xdr:rowOff>0</xdr:rowOff>
    </xdr:to>
    <xdr:sp macro="" textlink="">
      <xdr:nvSpPr>
        <xdr:cNvPr id="9" name="Rectangle 8">
          <a:extLst>
            <a:ext uri="{FF2B5EF4-FFF2-40B4-BE49-F238E27FC236}">
              <a16:creationId xmlns:a16="http://schemas.microsoft.com/office/drawing/2014/main" id="{F9237447-FC13-49E9-BB0B-9FA1F851381C}"/>
            </a:ext>
          </a:extLst>
        </xdr:cNvPr>
        <xdr:cNvSpPr/>
      </xdr:nvSpPr>
      <xdr:spPr>
        <a:xfrm>
          <a:off x="2846383" y="3287847"/>
          <a:ext cx="883801" cy="7412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Dates associated with cash flows</a:t>
          </a:r>
        </a:p>
      </xdr:txBody>
    </xdr:sp>
    <xdr:clientData/>
  </xdr:twoCellAnchor>
  <xdr:twoCellAnchor editAs="oneCell">
    <xdr:from>
      <xdr:col>6</xdr:col>
      <xdr:colOff>440120</xdr:colOff>
      <xdr:row>17</xdr:row>
      <xdr:rowOff>39414</xdr:rowOff>
    </xdr:from>
    <xdr:to>
      <xdr:col>7</xdr:col>
      <xdr:colOff>1029685</xdr:colOff>
      <xdr:row>19</xdr:row>
      <xdr:rowOff>87039</xdr:rowOff>
    </xdr:to>
    <xdr:pic>
      <xdr:nvPicPr>
        <xdr:cNvPr id="10" name="Picture 9" descr="Equation">
          <a:extLst>
            <a:ext uri="{FF2B5EF4-FFF2-40B4-BE49-F238E27FC236}">
              <a16:creationId xmlns:a16="http://schemas.microsoft.com/office/drawing/2014/main" id="{9E1450C5-6107-43C2-874F-47EA2B38A6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55345" y="3096939"/>
          <a:ext cx="168494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6</xdr:col>
      <xdr:colOff>440120</xdr:colOff>
      <xdr:row>17</xdr:row>
      <xdr:rowOff>39414</xdr:rowOff>
    </xdr:from>
    <xdr:to>
      <xdr:col>7</xdr:col>
      <xdr:colOff>1029685</xdr:colOff>
      <xdr:row>19</xdr:row>
      <xdr:rowOff>106746</xdr:rowOff>
    </xdr:to>
    <xdr:pic>
      <xdr:nvPicPr>
        <xdr:cNvPr id="10" name="Picture 9" descr="Equation">
          <a:extLst>
            <a:ext uri="{FF2B5EF4-FFF2-40B4-BE49-F238E27FC236}">
              <a16:creationId xmlns:a16="http://schemas.microsoft.com/office/drawing/2014/main" id="{7B34F895-2175-46AC-AD96-0A67D993F5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55345" y="3096939"/>
          <a:ext cx="168494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5.xml><?xml version="1.0" encoding="utf-8"?>
<xdr:wsDr xmlns:xdr="http://schemas.openxmlformats.org/drawingml/2006/spreadsheetDrawing" xmlns:a="http://schemas.openxmlformats.org/drawingml/2006/main">
  <xdr:oneCellAnchor>
    <xdr:from>
      <xdr:col>7</xdr:col>
      <xdr:colOff>178593</xdr:colOff>
      <xdr:row>17</xdr:row>
      <xdr:rowOff>83344</xdr:rowOff>
    </xdr:from>
    <xdr:ext cx="4103291" cy="1083468"/>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AF7A0D2E-326F-4AB1-B58A-B04633EE4D4D}"/>
                </a:ext>
              </a:extLst>
            </xdr:cNvPr>
            <xdr:cNvSpPr txBox="1"/>
          </xdr:nvSpPr>
          <xdr:spPr>
            <a:xfrm>
              <a:off x="5531643" y="3188494"/>
              <a:ext cx="4103291" cy="10834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en-US" sz="2000" b="0" i="1">
                        <a:latin typeface="Cambria Math" panose="02040503050406030204" pitchFamily="18" charset="0"/>
                      </a:rPr>
                      <m:t>𝑋𝑁𝑃𝑉</m:t>
                    </m:r>
                    <m:r>
                      <a:rPr lang="en-US" sz="2000" i="1">
                        <a:latin typeface="Cambria Math" panose="02040503050406030204" pitchFamily="18" charset="0"/>
                      </a:rPr>
                      <m:t>=</m:t>
                    </m:r>
                    <m:nary>
                      <m:naryPr>
                        <m:chr m:val="∑"/>
                        <m:ctrlPr>
                          <a:rPr lang="en-US" sz="2000" i="1">
                            <a:latin typeface="Cambria Math" panose="02040503050406030204" pitchFamily="18" charset="0"/>
                          </a:rPr>
                        </m:ctrlPr>
                      </m:naryPr>
                      <m:sub>
                        <m:r>
                          <a:rPr lang="en-US" sz="2000" b="0" i="1">
                            <a:latin typeface="Cambria Math" panose="02040503050406030204" pitchFamily="18" charset="0"/>
                          </a:rPr>
                          <m:t>𝑗</m:t>
                        </m:r>
                        <m:r>
                          <a:rPr lang="en-US" sz="2000" i="1">
                            <a:latin typeface="Cambria Math" panose="02040503050406030204" pitchFamily="18" charset="0"/>
                          </a:rPr>
                          <m:t>=</m:t>
                        </m:r>
                        <m:r>
                          <a:rPr lang="en-US" sz="2000" b="0" i="1">
                            <a:latin typeface="Cambria Math" panose="02040503050406030204" pitchFamily="18" charset="0"/>
                          </a:rPr>
                          <m:t>1</m:t>
                        </m:r>
                      </m:sub>
                      <m:sup>
                        <m:r>
                          <a:rPr lang="en-US" sz="2000" i="1">
                            <a:latin typeface="Cambria Math" panose="02040503050406030204" pitchFamily="18" charset="0"/>
                          </a:rPr>
                          <m:t>𝑛</m:t>
                        </m:r>
                      </m:sup>
                      <m:e>
                        <m:f>
                          <m:fPr>
                            <m:ctrlPr>
                              <a:rPr lang="en-US" sz="2000" i="1">
                                <a:latin typeface="Cambria Math" panose="02040503050406030204" pitchFamily="18" charset="0"/>
                              </a:rPr>
                            </m:ctrlPr>
                          </m:fPr>
                          <m:num>
                            <m:sSub>
                              <m:sSubPr>
                                <m:ctrlPr>
                                  <a:rPr lang="en-US" sz="2000" i="1">
                                    <a:latin typeface="Cambria Math" panose="02040503050406030204" pitchFamily="18" charset="0"/>
                                  </a:rPr>
                                </m:ctrlPr>
                              </m:sSubPr>
                              <m:e>
                                <m:r>
                                  <a:rPr lang="en-US" sz="2000" b="0" i="1">
                                    <a:latin typeface="Cambria Math" panose="02040503050406030204" pitchFamily="18" charset="0"/>
                                  </a:rPr>
                                  <m:t>𝐶𝐹</m:t>
                                </m:r>
                              </m:e>
                              <m:sub>
                                <m:r>
                                  <a:rPr lang="en-US" sz="2000" b="0" i="1">
                                    <a:latin typeface="Cambria Math" panose="02040503050406030204" pitchFamily="18" charset="0"/>
                                  </a:rPr>
                                  <m:t>𝑗</m:t>
                                </m:r>
                              </m:sub>
                            </m:sSub>
                          </m:num>
                          <m:den>
                            <m:sSup>
                              <m:sSupPr>
                                <m:ctrlPr>
                                  <a:rPr lang="en-US" sz="2000" i="1">
                                    <a:latin typeface="Cambria Math" panose="02040503050406030204" pitchFamily="18" charset="0"/>
                                  </a:rPr>
                                </m:ctrlPr>
                              </m:sSupPr>
                              <m:e>
                                <m:r>
                                  <a:rPr lang="en-US" sz="2000" b="0" i="1">
                                    <a:latin typeface="Cambria Math" panose="02040503050406030204" pitchFamily="18" charset="0"/>
                                  </a:rPr>
                                  <m:t>(1+</m:t>
                                </m:r>
                                <m:r>
                                  <a:rPr lang="en-US" sz="2000" b="0" i="1">
                                    <a:latin typeface="Cambria Math" panose="02040503050406030204" pitchFamily="18" charset="0"/>
                                  </a:rPr>
                                  <m:t>𝑃𝑒𝑟𝑅𝑎𝑡𝑒</m:t>
                                </m:r>
                                <m:r>
                                  <a:rPr lang="en-US" sz="2000" b="0" i="1">
                                    <a:latin typeface="Cambria Math" panose="02040503050406030204" pitchFamily="18" charset="0"/>
                                  </a:rPr>
                                  <m:t>)</m:t>
                                </m:r>
                              </m:e>
                              <m:sup>
                                <m:f>
                                  <m:fPr>
                                    <m:ctrlPr>
                                      <a:rPr lang="en-US" sz="2000" i="1">
                                        <a:latin typeface="Cambria Math" panose="02040503050406030204" pitchFamily="18" charset="0"/>
                                      </a:rPr>
                                    </m:ctrlPr>
                                  </m:fPr>
                                  <m:num>
                                    <m:d>
                                      <m:dPr>
                                        <m:ctrlPr>
                                          <a:rPr lang="en-US" sz="2000" i="1">
                                            <a:latin typeface="Cambria Math" panose="02040503050406030204" pitchFamily="18" charset="0"/>
                                          </a:rPr>
                                        </m:ctrlPr>
                                      </m:dPr>
                                      <m:e>
                                        <m:sSub>
                                          <m:sSubPr>
                                            <m:ctrlPr>
                                              <a:rPr lang="en-US" sz="2000" i="1">
                                                <a:latin typeface="Cambria Math" panose="02040503050406030204" pitchFamily="18" charset="0"/>
                                              </a:rPr>
                                            </m:ctrlPr>
                                          </m:sSubPr>
                                          <m:e>
                                            <m:r>
                                              <a:rPr lang="en-US" sz="2000" b="0" i="1">
                                                <a:latin typeface="Cambria Math" panose="02040503050406030204" pitchFamily="18" charset="0"/>
                                              </a:rPr>
                                              <m:t>𝐷</m:t>
                                            </m:r>
                                          </m:e>
                                          <m:sub>
                                            <m:r>
                                              <a:rPr lang="en-US" sz="2000" b="0" i="1">
                                                <a:latin typeface="Cambria Math" panose="02040503050406030204" pitchFamily="18" charset="0"/>
                                              </a:rPr>
                                              <m:t>𝑗</m:t>
                                            </m:r>
                                          </m:sub>
                                        </m:sSub>
                                        <m:r>
                                          <a:rPr lang="en-US" sz="2000" b="0" i="1">
                                            <a:latin typeface="Cambria Math" panose="02040503050406030204" pitchFamily="18" charset="0"/>
                                          </a:rPr>
                                          <m:t>−</m:t>
                                        </m:r>
                                        <m:sSub>
                                          <m:sSubPr>
                                            <m:ctrlPr>
                                              <a:rPr lang="en-US" sz="2000" b="0" i="1">
                                                <a:latin typeface="Cambria Math" panose="02040503050406030204" pitchFamily="18" charset="0"/>
                                              </a:rPr>
                                            </m:ctrlPr>
                                          </m:sSubPr>
                                          <m:e>
                                            <m:r>
                                              <a:rPr lang="en-US" sz="2000" b="0" i="1">
                                                <a:latin typeface="Cambria Math" panose="02040503050406030204" pitchFamily="18" charset="0"/>
                                              </a:rPr>
                                              <m:t>𝐷</m:t>
                                            </m:r>
                                          </m:e>
                                          <m:sub>
                                            <m:r>
                                              <a:rPr lang="en-US" sz="2000" b="0" i="1">
                                                <a:latin typeface="Cambria Math" panose="02040503050406030204" pitchFamily="18" charset="0"/>
                                              </a:rPr>
                                              <m:t>1</m:t>
                                            </m:r>
                                          </m:sub>
                                        </m:sSub>
                                      </m:e>
                                    </m:d>
                                  </m:num>
                                  <m:den>
                                    <m:r>
                                      <a:rPr lang="en-US" sz="2000" b="0" i="1">
                                        <a:latin typeface="Cambria Math" panose="02040503050406030204" pitchFamily="18" charset="0"/>
                                      </a:rPr>
                                      <m:t>365</m:t>
                                    </m:r>
                                  </m:den>
                                </m:f>
                              </m:sup>
                            </m:sSup>
                          </m:den>
                        </m:f>
                      </m:e>
                    </m:nary>
                  </m:oMath>
                </m:oMathPara>
              </a14:m>
              <a:endParaRPr lang="en-US" sz="2000"/>
            </a:p>
          </xdr:txBody>
        </xdr:sp>
      </mc:Choice>
      <mc:Fallback xmlns="">
        <xdr:sp macro="" textlink="">
          <xdr:nvSpPr>
            <xdr:cNvPr id="2" name="TextBox 1">
              <a:extLst>
                <a:ext uri="{FF2B5EF4-FFF2-40B4-BE49-F238E27FC236}">
                  <a16:creationId xmlns:a16="http://schemas.microsoft.com/office/drawing/2014/main" id="{AF7A0D2E-326F-4AB1-B58A-B04633EE4D4D}"/>
                </a:ext>
              </a:extLst>
            </xdr:cNvPr>
            <xdr:cNvSpPr txBox="1"/>
          </xdr:nvSpPr>
          <xdr:spPr>
            <a:xfrm>
              <a:off x="5531643" y="3188494"/>
              <a:ext cx="4103291" cy="10834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2000" b="0" i="0">
                  <a:latin typeface="Cambria Math" panose="02040503050406030204" pitchFamily="18" charset="0"/>
                </a:rPr>
                <a:t>𝑋𝑁𝑃𝑉</a:t>
              </a:r>
              <a:r>
                <a:rPr lang="en-US" sz="2000" i="0">
                  <a:latin typeface="Cambria Math" panose="02040503050406030204" pitchFamily="18" charset="0"/>
                </a:rPr>
                <a:t>=∑</a:t>
              </a:r>
              <a:r>
                <a:rPr lang="en-US" sz="2000" b="0" i="0">
                  <a:latin typeface="Cambria Math" panose="02040503050406030204" pitchFamily="18" charset="0"/>
                </a:rPr>
                <a:t>_(𝑗</a:t>
              </a:r>
              <a:r>
                <a:rPr lang="en-US" sz="2000" i="0">
                  <a:latin typeface="Cambria Math" panose="02040503050406030204" pitchFamily="18" charset="0"/>
                </a:rPr>
                <a:t>=</a:t>
              </a:r>
              <a:r>
                <a:rPr lang="en-US" sz="2000" b="0" i="0">
                  <a:latin typeface="Cambria Math" panose="02040503050406030204" pitchFamily="18" charset="0"/>
                </a:rPr>
                <a:t>1)^</a:t>
              </a:r>
              <a:r>
                <a:rPr lang="en-US" sz="2000" i="0">
                  <a:latin typeface="Cambria Math" panose="02040503050406030204" pitchFamily="18" charset="0"/>
                </a:rPr>
                <a:t>𝑛</a:t>
              </a:r>
              <a:r>
                <a:rPr lang="en-US" sz="2000" b="0" i="0">
                  <a:latin typeface="Cambria Math" panose="02040503050406030204" pitchFamily="18" charset="0"/>
                </a:rPr>
                <a:t>▒〖𝐶𝐹〗_𝑗/〖(1+𝑃𝑒𝑟𝑅𝑎𝑡𝑒)〗^(((𝐷_𝑗−𝐷_1 ))/365) </a:t>
              </a:r>
              <a:endParaRPr lang="en-US" sz="2000"/>
            </a:p>
          </xdr:txBody>
        </xdr:sp>
      </mc:Fallback>
    </mc:AlternateContent>
    <xdr:clientData/>
  </xdr:oneCellAnchor>
  <xdr:oneCellAnchor>
    <xdr:from>
      <xdr:col>2</xdr:col>
      <xdr:colOff>450055</xdr:colOff>
      <xdr:row>17</xdr:row>
      <xdr:rowOff>170259</xdr:rowOff>
    </xdr:from>
    <xdr:ext cx="4103291" cy="954882"/>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C4761A6A-AF03-44A5-9698-BE720D72DB1D}"/>
                </a:ext>
              </a:extLst>
            </xdr:cNvPr>
            <xdr:cNvSpPr txBox="1"/>
          </xdr:nvSpPr>
          <xdr:spPr>
            <a:xfrm>
              <a:off x="1154905" y="3275409"/>
              <a:ext cx="4103291" cy="954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en-US" sz="2000" b="0" i="1">
                        <a:latin typeface="Cambria Math" panose="02040503050406030204" pitchFamily="18" charset="0"/>
                      </a:rPr>
                      <m:t>𝑁𝑃𝑉</m:t>
                    </m:r>
                    <m:r>
                      <a:rPr lang="en-US" sz="2000" i="1">
                        <a:latin typeface="Cambria Math" panose="02040503050406030204" pitchFamily="18" charset="0"/>
                      </a:rPr>
                      <m:t>=</m:t>
                    </m:r>
                    <m:nary>
                      <m:naryPr>
                        <m:chr m:val="∑"/>
                        <m:ctrlPr>
                          <a:rPr lang="en-US" sz="2000" i="1">
                            <a:latin typeface="Cambria Math" panose="02040503050406030204" pitchFamily="18" charset="0"/>
                          </a:rPr>
                        </m:ctrlPr>
                      </m:naryPr>
                      <m:sub>
                        <m:r>
                          <a:rPr lang="en-US" sz="2000" b="0" i="1">
                            <a:latin typeface="Cambria Math" panose="02040503050406030204" pitchFamily="18" charset="0"/>
                          </a:rPr>
                          <m:t>𝑗</m:t>
                        </m:r>
                        <m:r>
                          <a:rPr lang="en-US" sz="2000" i="1">
                            <a:latin typeface="Cambria Math" panose="02040503050406030204" pitchFamily="18" charset="0"/>
                          </a:rPr>
                          <m:t>=</m:t>
                        </m:r>
                        <m:r>
                          <a:rPr lang="en-US" sz="2000" b="0" i="1">
                            <a:latin typeface="Cambria Math" panose="02040503050406030204" pitchFamily="18" charset="0"/>
                          </a:rPr>
                          <m:t>1</m:t>
                        </m:r>
                      </m:sub>
                      <m:sup>
                        <m:r>
                          <a:rPr lang="en-US" sz="2000" i="1">
                            <a:latin typeface="Cambria Math" panose="02040503050406030204" pitchFamily="18" charset="0"/>
                          </a:rPr>
                          <m:t>𝑛</m:t>
                        </m:r>
                      </m:sup>
                      <m:e>
                        <m:f>
                          <m:fPr>
                            <m:ctrlPr>
                              <a:rPr lang="en-US" sz="2000" i="1">
                                <a:latin typeface="Cambria Math" panose="02040503050406030204" pitchFamily="18" charset="0"/>
                              </a:rPr>
                            </m:ctrlPr>
                          </m:fPr>
                          <m:num>
                            <m:sSub>
                              <m:sSubPr>
                                <m:ctrlPr>
                                  <a:rPr lang="en-US" sz="2000" i="1">
                                    <a:latin typeface="Cambria Math" panose="02040503050406030204" pitchFamily="18" charset="0"/>
                                  </a:rPr>
                                </m:ctrlPr>
                              </m:sSubPr>
                              <m:e>
                                <m:r>
                                  <a:rPr lang="en-US" sz="2000" b="0" i="1">
                                    <a:latin typeface="Cambria Math" panose="02040503050406030204" pitchFamily="18" charset="0"/>
                                  </a:rPr>
                                  <m:t>𝐶𝐹</m:t>
                                </m:r>
                              </m:e>
                              <m:sub>
                                <m:r>
                                  <a:rPr lang="en-US" sz="2000" b="0" i="1">
                                    <a:latin typeface="Cambria Math" panose="02040503050406030204" pitchFamily="18" charset="0"/>
                                  </a:rPr>
                                  <m:t>𝑗</m:t>
                                </m:r>
                              </m:sub>
                            </m:sSub>
                          </m:num>
                          <m:den>
                            <m:sSup>
                              <m:sSupPr>
                                <m:ctrlPr>
                                  <a:rPr lang="en-US" sz="2000" i="1">
                                    <a:latin typeface="Cambria Math" panose="02040503050406030204" pitchFamily="18" charset="0"/>
                                  </a:rPr>
                                </m:ctrlPr>
                              </m:sSupPr>
                              <m:e>
                                <m:r>
                                  <a:rPr lang="en-US" sz="2000" b="0" i="1">
                                    <a:latin typeface="Cambria Math" panose="02040503050406030204" pitchFamily="18" charset="0"/>
                                  </a:rPr>
                                  <m:t>(1+</m:t>
                                </m:r>
                                <m:r>
                                  <a:rPr lang="en-US" sz="2000" b="0" i="1">
                                    <a:latin typeface="Cambria Math" panose="02040503050406030204" pitchFamily="18" charset="0"/>
                                  </a:rPr>
                                  <m:t>𝑃𝑒𝑟𝑅𝑎𝑡𝑒</m:t>
                                </m:r>
                                <m:r>
                                  <a:rPr lang="en-US" sz="2000" b="0" i="1">
                                    <a:latin typeface="Cambria Math" panose="02040503050406030204" pitchFamily="18" charset="0"/>
                                  </a:rPr>
                                  <m:t>)</m:t>
                                </m:r>
                              </m:e>
                              <m:sup>
                                <m:r>
                                  <a:rPr lang="en-US" sz="2000" b="0" i="1">
                                    <a:latin typeface="Cambria Math" panose="02040503050406030204" pitchFamily="18" charset="0"/>
                                  </a:rPr>
                                  <m:t>𝑇𝑜𝑡𝑎𝑙𝑃𝑒𝑟𝑖𝑜𝑑𝑠</m:t>
                                </m:r>
                              </m:sup>
                            </m:sSup>
                          </m:den>
                        </m:f>
                      </m:e>
                    </m:nary>
                  </m:oMath>
                </m:oMathPara>
              </a14:m>
              <a:endParaRPr lang="en-US" sz="2000"/>
            </a:p>
          </xdr:txBody>
        </xdr:sp>
      </mc:Choice>
      <mc:Fallback xmlns="">
        <xdr:sp macro="" textlink="">
          <xdr:nvSpPr>
            <xdr:cNvPr id="3" name="TextBox 2">
              <a:extLst>
                <a:ext uri="{FF2B5EF4-FFF2-40B4-BE49-F238E27FC236}">
                  <a16:creationId xmlns:a16="http://schemas.microsoft.com/office/drawing/2014/main" id="{C4761A6A-AF03-44A5-9698-BE720D72DB1D}"/>
                </a:ext>
              </a:extLst>
            </xdr:cNvPr>
            <xdr:cNvSpPr txBox="1"/>
          </xdr:nvSpPr>
          <xdr:spPr>
            <a:xfrm>
              <a:off x="1154905" y="3275409"/>
              <a:ext cx="4103291" cy="954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2000" b="0" i="0">
                  <a:latin typeface="Cambria Math" panose="02040503050406030204" pitchFamily="18" charset="0"/>
                </a:rPr>
                <a:t>𝑁𝑃𝑉</a:t>
              </a:r>
              <a:r>
                <a:rPr lang="en-US" sz="2000" i="0">
                  <a:latin typeface="Cambria Math" panose="02040503050406030204" pitchFamily="18" charset="0"/>
                </a:rPr>
                <a:t>=∑</a:t>
              </a:r>
              <a:r>
                <a:rPr lang="en-US" sz="2000" b="0" i="0">
                  <a:latin typeface="Cambria Math" panose="02040503050406030204" pitchFamily="18" charset="0"/>
                </a:rPr>
                <a:t>_(𝑗</a:t>
              </a:r>
              <a:r>
                <a:rPr lang="en-US" sz="2000" i="0">
                  <a:latin typeface="Cambria Math" panose="02040503050406030204" pitchFamily="18" charset="0"/>
                </a:rPr>
                <a:t>=</a:t>
              </a:r>
              <a:r>
                <a:rPr lang="en-US" sz="2000" b="0" i="0">
                  <a:latin typeface="Cambria Math" panose="02040503050406030204" pitchFamily="18" charset="0"/>
                </a:rPr>
                <a:t>1)^</a:t>
              </a:r>
              <a:r>
                <a:rPr lang="en-US" sz="2000" i="0">
                  <a:latin typeface="Cambria Math" panose="02040503050406030204" pitchFamily="18" charset="0"/>
                </a:rPr>
                <a:t>𝑛</a:t>
              </a:r>
              <a:r>
                <a:rPr lang="en-US" sz="2000" b="0" i="0">
                  <a:latin typeface="Cambria Math" panose="02040503050406030204" pitchFamily="18" charset="0"/>
                </a:rPr>
                <a:t>▒〖𝐶𝐹〗_𝑗/〖(1+𝑃𝑒𝑟𝑅𝑎𝑡𝑒)〗^𝑇𝑜𝑡𝑎𝑙𝑃𝑒𝑟𝑖𝑜𝑑𝑠 </a:t>
              </a:r>
              <a:endParaRPr lang="en-US" sz="2000"/>
            </a:p>
          </xdr:txBody>
        </xdr:sp>
      </mc:Fallback>
    </mc:AlternateContent>
    <xdr:clientData/>
  </xdr:oneCellAnchor>
  <xdr:twoCellAnchor editAs="oneCell">
    <xdr:from>
      <xdr:col>7</xdr:col>
      <xdr:colOff>424724</xdr:colOff>
      <xdr:row>23</xdr:row>
      <xdr:rowOff>139570</xdr:rowOff>
    </xdr:from>
    <xdr:to>
      <xdr:col>10</xdr:col>
      <xdr:colOff>409315</xdr:colOff>
      <xdr:row>29</xdr:row>
      <xdr:rowOff>125015</xdr:rowOff>
    </xdr:to>
    <xdr:pic>
      <xdr:nvPicPr>
        <xdr:cNvPr id="4" name="Picture 3">
          <a:extLst>
            <a:ext uri="{FF2B5EF4-FFF2-40B4-BE49-F238E27FC236}">
              <a16:creationId xmlns:a16="http://schemas.microsoft.com/office/drawing/2014/main" id="{68A45E8F-A97E-429E-9A1D-2F9D61B4D8C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77774" y="4387720"/>
          <a:ext cx="3766016" cy="1128445"/>
        </a:xfrm>
        <a:prstGeom prst="rect">
          <a:avLst/>
        </a:prstGeom>
      </xdr:spPr>
    </xdr:pic>
    <xdr:clientData/>
  </xdr:twoCellAnchor>
  <xdr:twoCellAnchor editAs="oneCell">
    <xdr:from>
      <xdr:col>3</xdr:col>
      <xdr:colOff>7328</xdr:colOff>
      <xdr:row>24</xdr:row>
      <xdr:rowOff>21382</xdr:rowOff>
    </xdr:from>
    <xdr:to>
      <xdr:col>6</xdr:col>
      <xdr:colOff>1614653</xdr:colOff>
      <xdr:row>31</xdr:row>
      <xdr:rowOff>70226</xdr:rowOff>
    </xdr:to>
    <xdr:pic>
      <xdr:nvPicPr>
        <xdr:cNvPr id="5" name="Picture 4">
          <a:extLst>
            <a:ext uri="{FF2B5EF4-FFF2-40B4-BE49-F238E27FC236}">
              <a16:creationId xmlns:a16="http://schemas.microsoft.com/office/drawing/2014/main" id="{526799A3-4809-4262-B8BF-31C3DC3535A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1778" y="4460032"/>
          <a:ext cx="3969525" cy="138234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oneCellAnchor>
    <xdr:from>
      <xdr:col>7</xdr:col>
      <xdr:colOff>178593</xdr:colOff>
      <xdr:row>17</xdr:row>
      <xdr:rowOff>83344</xdr:rowOff>
    </xdr:from>
    <xdr:ext cx="4103291" cy="1083468"/>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3073E628-2973-4059-9E5E-FB5B73585A00}"/>
                </a:ext>
              </a:extLst>
            </xdr:cNvPr>
            <xdr:cNvSpPr txBox="1"/>
          </xdr:nvSpPr>
          <xdr:spPr>
            <a:xfrm>
              <a:off x="5531643" y="3188494"/>
              <a:ext cx="4103291" cy="10834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en-US" sz="2000" b="0" i="1">
                        <a:latin typeface="Cambria Math" panose="02040503050406030204" pitchFamily="18" charset="0"/>
                      </a:rPr>
                      <m:t>𝑋𝑁𝑃𝑉</m:t>
                    </m:r>
                    <m:r>
                      <a:rPr lang="en-US" sz="2000" i="1">
                        <a:latin typeface="Cambria Math" panose="02040503050406030204" pitchFamily="18" charset="0"/>
                      </a:rPr>
                      <m:t>=</m:t>
                    </m:r>
                    <m:nary>
                      <m:naryPr>
                        <m:chr m:val="∑"/>
                        <m:ctrlPr>
                          <a:rPr lang="en-US" sz="2000" i="1">
                            <a:latin typeface="Cambria Math" panose="02040503050406030204" pitchFamily="18" charset="0"/>
                          </a:rPr>
                        </m:ctrlPr>
                      </m:naryPr>
                      <m:sub>
                        <m:r>
                          <a:rPr lang="en-US" sz="2000" b="0" i="1">
                            <a:latin typeface="Cambria Math" panose="02040503050406030204" pitchFamily="18" charset="0"/>
                          </a:rPr>
                          <m:t>𝑗</m:t>
                        </m:r>
                        <m:r>
                          <a:rPr lang="en-US" sz="2000" i="1">
                            <a:latin typeface="Cambria Math" panose="02040503050406030204" pitchFamily="18" charset="0"/>
                          </a:rPr>
                          <m:t>=</m:t>
                        </m:r>
                        <m:r>
                          <a:rPr lang="en-US" sz="2000" b="0" i="1">
                            <a:latin typeface="Cambria Math" panose="02040503050406030204" pitchFamily="18" charset="0"/>
                          </a:rPr>
                          <m:t>1</m:t>
                        </m:r>
                      </m:sub>
                      <m:sup>
                        <m:r>
                          <a:rPr lang="en-US" sz="2000" i="1">
                            <a:latin typeface="Cambria Math" panose="02040503050406030204" pitchFamily="18" charset="0"/>
                          </a:rPr>
                          <m:t>𝑛</m:t>
                        </m:r>
                      </m:sup>
                      <m:e>
                        <m:f>
                          <m:fPr>
                            <m:ctrlPr>
                              <a:rPr lang="en-US" sz="2000" i="1">
                                <a:latin typeface="Cambria Math" panose="02040503050406030204" pitchFamily="18" charset="0"/>
                              </a:rPr>
                            </m:ctrlPr>
                          </m:fPr>
                          <m:num>
                            <m:sSub>
                              <m:sSubPr>
                                <m:ctrlPr>
                                  <a:rPr lang="en-US" sz="2000" i="1">
                                    <a:latin typeface="Cambria Math" panose="02040503050406030204" pitchFamily="18" charset="0"/>
                                  </a:rPr>
                                </m:ctrlPr>
                              </m:sSubPr>
                              <m:e>
                                <m:r>
                                  <a:rPr lang="en-US" sz="2000" b="0" i="1">
                                    <a:latin typeface="Cambria Math" panose="02040503050406030204" pitchFamily="18" charset="0"/>
                                  </a:rPr>
                                  <m:t>𝐶𝐹</m:t>
                                </m:r>
                              </m:e>
                              <m:sub>
                                <m:r>
                                  <a:rPr lang="en-US" sz="2000" b="0" i="1">
                                    <a:latin typeface="Cambria Math" panose="02040503050406030204" pitchFamily="18" charset="0"/>
                                  </a:rPr>
                                  <m:t>𝑗</m:t>
                                </m:r>
                              </m:sub>
                            </m:sSub>
                          </m:num>
                          <m:den>
                            <m:sSup>
                              <m:sSupPr>
                                <m:ctrlPr>
                                  <a:rPr lang="en-US" sz="2000" i="1">
                                    <a:latin typeface="Cambria Math" panose="02040503050406030204" pitchFamily="18" charset="0"/>
                                  </a:rPr>
                                </m:ctrlPr>
                              </m:sSupPr>
                              <m:e>
                                <m:r>
                                  <a:rPr lang="en-US" sz="2000" b="0" i="1">
                                    <a:latin typeface="Cambria Math" panose="02040503050406030204" pitchFamily="18" charset="0"/>
                                  </a:rPr>
                                  <m:t>(1+</m:t>
                                </m:r>
                                <m:r>
                                  <a:rPr lang="en-US" sz="2000" b="0" i="1">
                                    <a:latin typeface="Cambria Math" panose="02040503050406030204" pitchFamily="18" charset="0"/>
                                  </a:rPr>
                                  <m:t>𝑃𝑒𝑟𝑅𝑎𝑡𝑒</m:t>
                                </m:r>
                                <m:r>
                                  <a:rPr lang="en-US" sz="2000" b="0" i="1">
                                    <a:latin typeface="Cambria Math" panose="02040503050406030204" pitchFamily="18" charset="0"/>
                                  </a:rPr>
                                  <m:t>)</m:t>
                                </m:r>
                              </m:e>
                              <m:sup>
                                <m:f>
                                  <m:fPr>
                                    <m:ctrlPr>
                                      <a:rPr lang="en-US" sz="2000" i="1">
                                        <a:latin typeface="Cambria Math" panose="02040503050406030204" pitchFamily="18" charset="0"/>
                                      </a:rPr>
                                    </m:ctrlPr>
                                  </m:fPr>
                                  <m:num>
                                    <m:d>
                                      <m:dPr>
                                        <m:ctrlPr>
                                          <a:rPr lang="en-US" sz="2000" i="1">
                                            <a:latin typeface="Cambria Math" panose="02040503050406030204" pitchFamily="18" charset="0"/>
                                          </a:rPr>
                                        </m:ctrlPr>
                                      </m:dPr>
                                      <m:e>
                                        <m:sSub>
                                          <m:sSubPr>
                                            <m:ctrlPr>
                                              <a:rPr lang="en-US" sz="2000" i="1">
                                                <a:latin typeface="Cambria Math" panose="02040503050406030204" pitchFamily="18" charset="0"/>
                                              </a:rPr>
                                            </m:ctrlPr>
                                          </m:sSubPr>
                                          <m:e>
                                            <m:r>
                                              <a:rPr lang="en-US" sz="2000" b="0" i="1">
                                                <a:latin typeface="Cambria Math" panose="02040503050406030204" pitchFamily="18" charset="0"/>
                                              </a:rPr>
                                              <m:t>𝐷</m:t>
                                            </m:r>
                                          </m:e>
                                          <m:sub>
                                            <m:r>
                                              <a:rPr lang="en-US" sz="2000" b="0" i="1">
                                                <a:latin typeface="Cambria Math" panose="02040503050406030204" pitchFamily="18" charset="0"/>
                                              </a:rPr>
                                              <m:t>𝑗</m:t>
                                            </m:r>
                                          </m:sub>
                                        </m:sSub>
                                        <m:r>
                                          <a:rPr lang="en-US" sz="2000" b="0" i="1">
                                            <a:latin typeface="Cambria Math" panose="02040503050406030204" pitchFamily="18" charset="0"/>
                                          </a:rPr>
                                          <m:t>−</m:t>
                                        </m:r>
                                        <m:sSub>
                                          <m:sSubPr>
                                            <m:ctrlPr>
                                              <a:rPr lang="en-US" sz="2000" b="0" i="1">
                                                <a:latin typeface="Cambria Math" panose="02040503050406030204" pitchFamily="18" charset="0"/>
                                              </a:rPr>
                                            </m:ctrlPr>
                                          </m:sSubPr>
                                          <m:e>
                                            <m:r>
                                              <a:rPr lang="en-US" sz="2000" b="0" i="1">
                                                <a:latin typeface="Cambria Math" panose="02040503050406030204" pitchFamily="18" charset="0"/>
                                              </a:rPr>
                                              <m:t>𝐷</m:t>
                                            </m:r>
                                          </m:e>
                                          <m:sub>
                                            <m:r>
                                              <a:rPr lang="en-US" sz="2000" b="0" i="1">
                                                <a:latin typeface="Cambria Math" panose="02040503050406030204" pitchFamily="18" charset="0"/>
                                              </a:rPr>
                                              <m:t>1</m:t>
                                            </m:r>
                                          </m:sub>
                                        </m:sSub>
                                      </m:e>
                                    </m:d>
                                  </m:num>
                                  <m:den>
                                    <m:r>
                                      <a:rPr lang="en-US" sz="2000" b="0" i="1">
                                        <a:latin typeface="Cambria Math" panose="02040503050406030204" pitchFamily="18" charset="0"/>
                                      </a:rPr>
                                      <m:t>365</m:t>
                                    </m:r>
                                  </m:den>
                                </m:f>
                              </m:sup>
                            </m:sSup>
                          </m:den>
                        </m:f>
                      </m:e>
                    </m:nary>
                  </m:oMath>
                </m:oMathPara>
              </a14:m>
              <a:endParaRPr lang="en-US" sz="2000"/>
            </a:p>
          </xdr:txBody>
        </xdr:sp>
      </mc:Choice>
      <mc:Fallback xmlns="">
        <xdr:sp macro="" textlink="">
          <xdr:nvSpPr>
            <xdr:cNvPr id="2" name="TextBox 1">
              <a:extLst>
                <a:ext uri="{FF2B5EF4-FFF2-40B4-BE49-F238E27FC236}">
                  <a16:creationId xmlns:a16="http://schemas.microsoft.com/office/drawing/2014/main" id="{3073E628-2973-4059-9E5E-FB5B73585A00}"/>
                </a:ext>
              </a:extLst>
            </xdr:cNvPr>
            <xdr:cNvSpPr txBox="1"/>
          </xdr:nvSpPr>
          <xdr:spPr>
            <a:xfrm>
              <a:off x="5531643" y="3188494"/>
              <a:ext cx="4103291" cy="10834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2000" b="0" i="0">
                  <a:latin typeface="Cambria Math" panose="02040503050406030204" pitchFamily="18" charset="0"/>
                </a:rPr>
                <a:t>𝑋𝑁𝑃𝑉</a:t>
              </a:r>
              <a:r>
                <a:rPr lang="en-US" sz="2000" i="0">
                  <a:latin typeface="Cambria Math" panose="02040503050406030204" pitchFamily="18" charset="0"/>
                </a:rPr>
                <a:t>=∑</a:t>
              </a:r>
              <a:r>
                <a:rPr lang="en-US" sz="2000" b="0" i="0">
                  <a:latin typeface="Cambria Math" panose="02040503050406030204" pitchFamily="18" charset="0"/>
                </a:rPr>
                <a:t>_(𝑗</a:t>
              </a:r>
              <a:r>
                <a:rPr lang="en-US" sz="2000" i="0">
                  <a:latin typeface="Cambria Math" panose="02040503050406030204" pitchFamily="18" charset="0"/>
                </a:rPr>
                <a:t>=</a:t>
              </a:r>
              <a:r>
                <a:rPr lang="en-US" sz="2000" b="0" i="0">
                  <a:latin typeface="Cambria Math" panose="02040503050406030204" pitchFamily="18" charset="0"/>
                </a:rPr>
                <a:t>1)^</a:t>
              </a:r>
              <a:r>
                <a:rPr lang="en-US" sz="2000" i="0">
                  <a:latin typeface="Cambria Math" panose="02040503050406030204" pitchFamily="18" charset="0"/>
                </a:rPr>
                <a:t>𝑛</a:t>
              </a:r>
              <a:r>
                <a:rPr lang="en-US" sz="2000" b="0" i="0">
                  <a:latin typeface="Cambria Math" panose="02040503050406030204" pitchFamily="18" charset="0"/>
                </a:rPr>
                <a:t>▒〖𝐶𝐹〗_𝑗/〖(1+𝑃𝑒𝑟𝑅𝑎𝑡𝑒)〗^(((𝐷_𝑗−𝐷_1 ))/365) </a:t>
              </a:r>
              <a:endParaRPr lang="en-US" sz="2000"/>
            </a:p>
          </xdr:txBody>
        </xdr:sp>
      </mc:Fallback>
    </mc:AlternateContent>
    <xdr:clientData/>
  </xdr:oneCellAnchor>
  <xdr:oneCellAnchor>
    <xdr:from>
      <xdr:col>2</xdr:col>
      <xdr:colOff>450055</xdr:colOff>
      <xdr:row>17</xdr:row>
      <xdr:rowOff>170259</xdr:rowOff>
    </xdr:from>
    <xdr:ext cx="4103291" cy="954882"/>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96209B16-7FA5-4EAF-A906-C348E613A647}"/>
                </a:ext>
              </a:extLst>
            </xdr:cNvPr>
            <xdr:cNvSpPr txBox="1"/>
          </xdr:nvSpPr>
          <xdr:spPr>
            <a:xfrm>
              <a:off x="1154905" y="3275409"/>
              <a:ext cx="4103291" cy="954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en-US" sz="2000" b="0" i="1">
                        <a:latin typeface="Cambria Math" panose="02040503050406030204" pitchFamily="18" charset="0"/>
                      </a:rPr>
                      <m:t>𝑁𝑃𝑉</m:t>
                    </m:r>
                    <m:r>
                      <a:rPr lang="en-US" sz="2000" i="1">
                        <a:latin typeface="Cambria Math" panose="02040503050406030204" pitchFamily="18" charset="0"/>
                      </a:rPr>
                      <m:t>=</m:t>
                    </m:r>
                    <m:nary>
                      <m:naryPr>
                        <m:chr m:val="∑"/>
                        <m:ctrlPr>
                          <a:rPr lang="en-US" sz="2000" i="1">
                            <a:latin typeface="Cambria Math" panose="02040503050406030204" pitchFamily="18" charset="0"/>
                          </a:rPr>
                        </m:ctrlPr>
                      </m:naryPr>
                      <m:sub>
                        <m:r>
                          <a:rPr lang="en-US" sz="2000" b="0" i="1">
                            <a:latin typeface="Cambria Math" panose="02040503050406030204" pitchFamily="18" charset="0"/>
                          </a:rPr>
                          <m:t>𝑗</m:t>
                        </m:r>
                        <m:r>
                          <a:rPr lang="en-US" sz="2000" i="1">
                            <a:latin typeface="Cambria Math" panose="02040503050406030204" pitchFamily="18" charset="0"/>
                          </a:rPr>
                          <m:t>=</m:t>
                        </m:r>
                        <m:r>
                          <a:rPr lang="en-US" sz="2000" b="0" i="1">
                            <a:latin typeface="Cambria Math" panose="02040503050406030204" pitchFamily="18" charset="0"/>
                          </a:rPr>
                          <m:t>1</m:t>
                        </m:r>
                      </m:sub>
                      <m:sup>
                        <m:r>
                          <a:rPr lang="en-US" sz="2000" i="1">
                            <a:latin typeface="Cambria Math" panose="02040503050406030204" pitchFamily="18" charset="0"/>
                          </a:rPr>
                          <m:t>𝑛</m:t>
                        </m:r>
                      </m:sup>
                      <m:e>
                        <m:f>
                          <m:fPr>
                            <m:ctrlPr>
                              <a:rPr lang="en-US" sz="2000" i="1">
                                <a:latin typeface="Cambria Math" panose="02040503050406030204" pitchFamily="18" charset="0"/>
                              </a:rPr>
                            </m:ctrlPr>
                          </m:fPr>
                          <m:num>
                            <m:sSub>
                              <m:sSubPr>
                                <m:ctrlPr>
                                  <a:rPr lang="en-US" sz="2000" i="1">
                                    <a:latin typeface="Cambria Math" panose="02040503050406030204" pitchFamily="18" charset="0"/>
                                  </a:rPr>
                                </m:ctrlPr>
                              </m:sSubPr>
                              <m:e>
                                <m:r>
                                  <a:rPr lang="en-US" sz="2000" b="0" i="1">
                                    <a:latin typeface="Cambria Math" panose="02040503050406030204" pitchFamily="18" charset="0"/>
                                  </a:rPr>
                                  <m:t>𝐶𝐹</m:t>
                                </m:r>
                              </m:e>
                              <m:sub>
                                <m:r>
                                  <a:rPr lang="en-US" sz="2000" b="0" i="1">
                                    <a:latin typeface="Cambria Math" panose="02040503050406030204" pitchFamily="18" charset="0"/>
                                  </a:rPr>
                                  <m:t>𝑗</m:t>
                                </m:r>
                              </m:sub>
                            </m:sSub>
                          </m:num>
                          <m:den>
                            <m:sSup>
                              <m:sSupPr>
                                <m:ctrlPr>
                                  <a:rPr lang="en-US" sz="2000" i="1">
                                    <a:latin typeface="Cambria Math" panose="02040503050406030204" pitchFamily="18" charset="0"/>
                                  </a:rPr>
                                </m:ctrlPr>
                              </m:sSupPr>
                              <m:e>
                                <m:r>
                                  <a:rPr lang="en-US" sz="2000" b="0" i="1">
                                    <a:latin typeface="Cambria Math" panose="02040503050406030204" pitchFamily="18" charset="0"/>
                                  </a:rPr>
                                  <m:t>(1+</m:t>
                                </m:r>
                                <m:r>
                                  <a:rPr lang="en-US" sz="2000" b="0" i="1">
                                    <a:latin typeface="Cambria Math" panose="02040503050406030204" pitchFamily="18" charset="0"/>
                                  </a:rPr>
                                  <m:t>𝑃𝑒𝑟𝑅𝑎𝑡𝑒</m:t>
                                </m:r>
                                <m:r>
                                  <a:rPr lang="en-US" sz="2000" b="0" i="1">
                                    <a:latin typeface="Cambria Math" panose="02040503050406030204" pitchFamily="18" charset="0"/>
                                  </a:rPr>
                                  <m:t>)</m:t>
                                </m:r>
                              </m:e>
                              <m:sup>
                                <m:r>
                                  <a:rPr lang="en-US" sz="2000" b="0" i="1">
                                    <a:latin typeface="Cambria Math" panose="02040503050406030204" pitchFamily="18" charset="0"/>
                                  </a:rPr>
                                  <m:t>𝑇𝑜𝑡𝑎𝑙𝑃𝑒𝑟𝑖𝑜𝑑𝑠</m:t>
                                </m:r>
                              </m:sup>
                            </m:sSup>
                          </m:den>
                        </m:f>
                      </m:e>
                    </m:nary>
                  </m:oMath>
                </m:oMathPara>
              </a14:m>
              <a:endParaRPr lang="en-US" sz="2000"/>
            </a:p>
          </xdr:txBody>
        </xdr:sp>
      </mc:Choice>
      <mc:Fallback xmlns="">
        <xdr:sp macro="" textlink="">
          <xdr:nvSpPr>
            <xdr:cNvPr id="3" name="TextBox 2">
              <a:extLst>
                <a:ext uri="{FF2B5EF4-FFF2-40B4-BE49-F238E27FC236}">
                  <a16:creationId xmlns:a16="http://schemas.microsoft.com/office/drawing/2014/main" id="{96209B16-7FA5-4EAF-A906-C348E613A647}"/>
                </a:ext>
              </a:extLst>
            </xdr:cNvPr>
            <xdr:cNvSpPr txBox="1"/>
          </xdr:nvSpPr>
          <xdr:spPr>
            <a:xfrm>
              <a:off x="1154905" y="3275409"/>
              <a:ext cx="4103291" cy="954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2000" b="0" i="0">
                  <a:latin typeface="Cambria Math" panose="02040503050406030204" pitchFamily="18" charset="0"/>
                </a:rPr>
                <a:t>𝑁𝑃𝑉</a:t>
              </a:r>
              <a:r>
                <a:rPr lang="en-US" sz="2000" i="0">
                  <a:latin typeface="Cambria Math" panose="02040503050406030204" pitchFamily="18" charset="0"/>
                </a:rPr>
                <a:t>=∑</a:t>
              </a:r>
              <a:r>
                <a:rPr lang="en-US" sz="2000" b="0" i="0">
                  <a:latin typeface="Cambria Math" panose="02040503050406030204" pitchFamily="18" charset="0"/>
                </a:rPr>
                <a:t>_(𝑗</a:t>
              </a:r>
              <a:r>
                <a:rPr lang="en-US" sz="2000" i="0">
                  <a:latin typeface="Cambria Math" panose="02040503050406030204" pitchFamily="18" charset="0"/>
                </a:rPr>
                <a:t>=</a:t>
              </a:r>
              <a:r>
                <a:rPr lang="en-US" sz="2000" b="0" i="0">
                  <a:latin typeface="Cambria Math" panose="02040503050406030204" pitchFamily="18" charset="0"/>
                </a:rPr>
                <a:t>1)^</a:t>
              </a:r>
              <a:r>
                <a:rPr lang="en-US" sz="2000" i="0">
                  <a:latin typeface="Cambria Math" panose="02040503050406030204" pitchFamily="18" charset="0"/>
                </a:rPr>
                <a:t>𝑛</a:t>
              </a:r>
              <a:r>
                <a:rPr lang="en-US" sz="2000" b="0" i="0">
                  <a:latin typeface="Cambria Math" panose="02040503050406030204" pitchFamily="18" charset="0"/>
                </a:rPr>
                <a:t>▒〖𝐶𝐹〗_𝑗/〖(1+𝑃𝑒𝑟𝑅𝑎𝑡𝑒)〗^𝑇𝑜𝑡𝑎𝑙𝑃𝑒𝑟𝑖𝑜𝑑𝑠 </a:t>
              </a:r>
              <a:endParaRPr lang="en-US" sz="2000"/>
            </a:p>
          </xdr:txBody>
        </xdr:sp>
      </mc:Fallback>
    </mc:AlternateContent>
    <xdr:clientData/>
  </xdr:oneCellAnchor>
  <xdr:twoCellAnchor editAs="oneCell">
    <xdr:from>
      <xdr:col>7</xdr:col>
      <xdr:colOff>424724</xdr:colOff>
      <xdr:row>23</xdr:row>
      <xdr:rowOff>139570</xdr:rowOff>
    </xdr:from>
    <xdr:to>
      <xdr:col>10</xdr:col>
      <xdr:colOff>409315</xdr:colOff>
      <xdr:row>29</xdr:row>
      <xdr:rowOff>125015</xdr:rowOff>
    </xdr:to>
    <xdr:pic>
      <xdr:nvPicPr>
        <xdr:cNvPr id="4" name="Picture 3">
          <a:extLst>
            <a:ext uri="{FF2B5EF4-FFF2-40B4-BE49-F238E27FC236}">
              <a16:creationId xmlns:a16="http://schemas.microsoft.com/office/drawing/2014/main" id="{B28D71E9-37DF-4D76-8E80-534EB8A168A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77774" y="4387720"/>
          <a:ext cx="3766016" cy="1128445"/>
        </a:xfrm>
        <a:prstGeom prst="rect">
          <a:avLst/>
        </a:prstGeom>
      </xdr:spPr>
    </xdr:pic>
    <xdr:clientData/>
  </xdr:twoCellAnchor>
  <xdr:twoCellAnchor editAs="oneCell">
    <xdr:from>
      <xdr:col>3</xdr:col>
      <xdr:colOff>7328</xdr:colOff>
      <xdr:row>24</xdr:row>
      <xdr:rowOff>21382</xdr:rowOff>
    </xdr:from>
    <xdr:to>
      <xdr:col>6</xdr:col>
      <xdr:colOff>1614653</xdr:colOff>
      <xdr:row>31</xdr:row>
      <xdr:rowOff>70226</xdr:rowOff>
    </xdr:to>
    <xdr:pic>
      <xdr:nvPicPr>
        <xdr:cNvPr id="5" name="Picture 4">
          <a:extLst>
            <a:ext uri="{FF2B5EF4-FFF2-40B4-BE49-F238E27FC236}">
              <a16:creationId xmlns:a16="http://schemas.microsoft.com/office/drawing/2014/main" id="{EF8602A1-B03E-4FF4-AE4A-4039348E62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1778" y="4460032"/>
          <a:ext cx="3969525" cy="13823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w="12700">
          <a:solidFill>
            <a:schemeClr val="tx1"/>
          </a:solidFill>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lassic-computers.org.nz/system-80/software-manuals/manuals-visicalc.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37.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40.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I22"/>
  <sheetViews>
    <sheetView tabSelected="1" zoomScale="145" zoomScaleNormal="145" workbookViewId="0"/>
  </sheetViews>
  <sheetFormatPr defaultColWidth="8.85546875" defaultRowHeight="15" x14ac:dyDescent="0.25"/>
  <cols>
    <col min="1" max="1" width="36.140625" bestFit="1" customWidth="1"/>
  </cols>
  <sheetData>
    <row r="1" spans="1:9" x14ac:dyDescent="0.25">
      <c r="A1" s="1" t="s">
        <v>0</v>
      </c>
      <c r="C1" s="3" t="s">
        <v>3</v>
      </c>
    </row>
    <row r="2" spans="1:9" x14ac:dyDescent="0.25">
      <c r="A2" s="2" t="s">
        <v>25</v>
      </c>
      <c r="B2" s="2" t="s">
        <v>1</v>
      </c>
    </row>
    <row r="3" spans="1:9" x14ac:dyDescent="0.25">
      <c r="A3" s="2" t="s">
        <v>26</v>
      </c>
      <c r="B3" s="2" t="s">
        <v>4</v>
      </c>
      <c r="I3" s="1" t="s">
        <v>46</v>
      </c>
    </row>
    <row r="4" spans="1:9" x14ac:dyDescent="0.25">
      <c r="A4" s="2" t="s">
        <v>27</v>
      </c>
      <c r="B4" s="2" t="s">
        <v>2</v>
      </c>
      <c r="I4">
        <v>3</v>
      </c>
    </row>
    <row r="5" spans="1:9" x14ac:dyDescent="0.25">
      <c r="A5" t="s">
        <v>5</v>
      </c>
      <c r="B5" s="2" t="s">
        <v>28</v>
      </c>
      <c r="I5">
        <v>2</v>
      </c>
    </row>
    <row r="6" spans="1:9" x14ac:dyDescent="0.25">
      <c r="A6" t="s">
        <v>6</v>
      </c>
      <c r="B6" s="2" t="s">
        <v>29</v>
      </c>
      <c r="I6">
        <v>4</v>
      </c>
    </row>
    <row r="7" spans="1:9" x14ac:dyDescent="0.25">
      <c r="A7" t="s">
        <v>7</v>
      </c>
      <c r="B7" s="2" t="s">
        <v>30</v>
      </c>
      <c r="I7">
        <v>2</v>
      </c>
    </row>
    <row r="8" spans="1:9" x14ac:dyDescent="0.25">
      <c r="A8" t="s">
        <v>8</v>
      </c>
      <c r="B8" s="2" t="s">
        <v>31</v>
      </c>
      <c r="I8">
        <v>4</v>
      </c>
    </row>
    <row r="9" spans="1:9" x14ac:dyDescent="0.25">
      <c r="A9" t="s">
        <v>9</v>
      </c>
      <c r="B9" s="2" t="s">
        <v>32</v>
      </c>
      <c r="D9" t="s">
        <v>10</v>
      </c>
      <c r="E9" t="s">
        <v>11</v>
      </c>
      <c r="I9">
        <f>SUM(I4:I8)</f>
        <v>15</v>
      </c>
    </row>
    <row r="10" spans="1:9" x14ac:dyDescent="0.25">
      <c r="A10" t="s">
        <v>12</v>
      </c>
      <c r="B10" s="2" t="s">
        <v>33</v>
      </c>
    </row>
    <row r="11" spans="1:9" x14ac:dyDescent="0.25">
      <c r="A11" t="s">
        <v>13</v>
      </c>
      <c r="B11" s="2" t="s">
        <v>34</v>
      </c>
    </row>
    <row r="12" spans="1:9" x14ac:dyDescent="0.25">
      <c r="A12" t="s">
        <v>14</v>
      </c>
      <c r="B12" s="2" t="s">
        <v>35</v>
      </c>
    </row>
    <row r="13" spans="1:9" x14ac:dyDescent="0.25">
      <c r="A13" t="s">
        <v>15</v>
      </c>
      <c r="B13" s="2" t="s">
        <v>36</v>
      </c>
    </row>
    <row r="14" spans="1:9" x14ac:dyDescent="0.25">
      <c r="A14" t="s">
        <v>19</v>
      </c>
      <c r="B14" s="2" t="s">
        <v>37</v>
      </c>
    </row>
    <row r="15" spans="1:9" x14ac:dyDescent="0.25">
      <c r="A15" t="s">
        <v>16</v>
      </c>
      <c r="B15" s="2" t="s">
        <v>38</v>
      </c>
    </row>
    <row r="16" spans="1:9" x14ac:dyDescent="0.25">
      <c r="A16" t="s">
        <v>18</v>
      </c>
      <c r="B16" s="2" t="s">
        <v>39</v>
      </c>
    </row>
    <row r="17" spans="1:4" x14ac:dyDescent="0.25">
      <c r="A17" t="s">
        <v>17</v>
      </c>
      <c r="B17" s="2" t="s">
        <v>40</v>
      </c>
      <c r="D17" t="str">
        <f>_xlfn.ARRAYTOTEXT(B2:B22)</f>
        <v>@SUM, @NA, @ERROR, @MAX, @MIN, @AVERAGE, @COUNT, @NPV, @LOOKUP, @ABS, @INT, @EXP, @LOG10, @LN, @PI, @SIN, @COS, @TAN, @ASIN, @ACOS, @ATAN</v>
      </c>
    </row>
    <row r="18" spans="1:4" x14ac:dyDescent="0.25">
      <c r="A18" t="s">
        <v>20</v>
      </c>
      <c r="B18" s="2" t="s">
        <v>41</v>
      </c>
    </row>
    <row r="19" spans="1:4" x14ac:dyDescent="0.25">
      <c r="A19" t="s">
        <v>21</v>
      </c>
      <c r="B19" s="2" t="s">
        <v>42</v>
      </c>
    </row>
    <row r="20" spans="1:4" x14ac:dyDescent="0.25">
      <c r="A20" t="s">
        <v>22</v>
      </c>
      <c r="B20" s="2" t="s">
        <v>43</v>
      </c>
    </row>
    <row r="21" spans="1:4" x14ac:dyDescent="0.25">
      <c r="A21" t="s">
        <v>23</v>
      </c>
      <c r="B21" s="2" t="s">
        <v>44</v>
      </c>
    </row>
    <row r="22" spans="1:4" x14ac:dyDescent="0.25">
      <c r="A22" t="s">
        <v>24</v>
      </c>
      <c r="B22" s="2" t="s">
        <v>45</v>
      </c>
    </row>
  </sheetData>
  <hyperlinks>
    <hyperlink ref="C1" r:id="rId1" xr:uid="{0CC62DF3-6770-4415-B65E-960DFF8E745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92B26-024D-4BF2-BE83-2AD0720704F8}">
  <sheetPr>
    <tabColor rgb="FFFFFF00"/>
  </sheetPr>
  <dimension ref="A1:E56"/>
  <sheetViews>
    <sheetView zoomScale="115" zoomScaleNormal="115" workbookViewId="0"/>
  </sheetViews>
  <sheetFormatPr defaultColWidth="7.85546875" defaultRowHeight="15" x14ac:dyDescent="0.25"/>
  <cols>
    <col min="1" max="1" width="21.42578125" bestFit="1" customWidth="1"/>
    <col min="2" max="2" width="94.42578125" customWidth="1"/>
  </cols>
  <sheetData>
    <row r="1" spans="1:5" x14ac:dyDescent="0.25">
      <c r="A1" s="6" t="s">
        <v>47</v>
      </c>
      <c r="B1" s="6" t="s">
        <v>48</v>
      </c>
      <c r="D1" t="s">
        <v>159</v>
      </c>
      <c r="E1">
        <f>COUNTA(A2:A56)</f>
        <v>55</v>
      </c>
    </row>
    <row r="2" spans="1:5" x14ac:dyDescent="0.25">
      <c r="A2" s="7" t="s">
        <v>49</v>
      </c>
      <c r="B2" s="5" t="s">
        <v>50</v>
      </c>
    </row>
    <row r="3" spans="1:5" x14ac:dyDescent="0.25">
      <c r="A3" s="7" t="s">
        <v>51</v>
      </c>
      <c r="B3" s="5" t="s">
        <v>52</v>
      </c>
    </row>
    <row r="4" spans="1:5" x14ac:dyDescent="0.25">
      <c r="A4" s="7" t="s">
        <v>53</v>
      </c>
      <c r="B4" s="5" t="s">
        <v>54</v>
      </c>
    </row>
    <row r="5" spans="1:5" x14ac:dyDescent="0.25">
      <c r="A5" s="7" t="s">
        <v>55</v>
      </c>
      <c r="B5" s="5" t="s">
        <v>56</v>
      </c>
    </row>
    <row r="6" spans="1:5" x14ac:dyDescent="0.25">
      <c r="A6" s="7" t="s">
        <v>57</v>
      </c>
      <c r="B6" s="5" t="s">
        <v>58</v>
      </c>
    </row>
    <row r="7" spans="1:5" x14ac:dyDescent="0.25">
      <c r="A7" s="7" t="s">
        <v>59</v>
      </c>
      <c r="B7" s="5" t="s">
        <v>60</v>
      </c>
    </row>
    <row r="8" spans="1:5" x14ac:dyDescent="0.25">
      <c r="A8" s="7" t="s">
        <v>61</v>
      </c>
      <c r="B8" s="5" t="s">
        <v>62</v>
      </c>
    </row>
    <row r="9" spans="1:5" x14ac:dyDescent="0.25">
      <c r="A9" s="7" t="s">
        <v>63</v>
      </c>
      <c r="B9" s="5" t="s">
        <v>64</v>
      </c>
    </row>
    <row r="10" spans="1:5" x14ac:dyDescent="0.25">
      <c r="A10" s="7" t="s">
        <v>65</v>
      </c>
      <c r="B10" s="5" t="s">
        <v>66</v>
      </c>
    </row>
    <row r="11" spans="1:5" x14ac:dyDescent="0.25">
      <c r="A11" s="7" t="s">
        <v>67</v>
      </c>
      <c r="B11" s="5" t="s">
        <v>68</v>
      </c>
    </row>
    <row r="12" spans="1:5" x14ac:dyDescent="0.25">
      <c r="A12" s="7" t="s">
        <v>69</v>
      </c>
      <c r="B12" s="5" t="s">
        <v>70</v>
      </c>
    </row>
    <row r="13" spans="1:5" x14ac:dyDescent="0.25">
      <c r="A13" s="7" t="s">
        <v>71</v>
      </c>
      <c r="B13" s="5" t="s">
        <v>72</v>
      </c>
    </row>
    <row r="14" spans="1:5" ht="30" x14ac:dyDescent="0.25">
      <c r="A14" s="7" t="s">
        <v>73</v>
      </c>
      <c r="B14" s="5" t="s">
        <v>74</v>
      </c>
    </row>
    <row r="15" spans="1:5" ht="30" x14ac:dyDescent="0.25">
      <c r="A15" s="7" t="s">
        <v>75</v>
      </c>
      <c r="B15" s="5" t="s">
        <v>76</v>
      </c>
    </row>
    <row r="16" spans="1:5" x14ac:dyDescent="0.25">
      <c r="A16" s="7" t="s">
        <v>77</v>
      </c>
      <c r="B16" s="5" t="s">
        <v>78</v>
      </c>
    </row>
    <row r="17" spans="1:2" x14ac:dyDescent="0.25">
      <c r="A17" s="7" t="s">
        <v>79</v>
      </c>
      <c r="B17" s="5" t="s">
        <v>80</v>
      </c>
    </row>
    <row r="18" spans="1:2" x14ac:dyDescent="0.25">
      <c r="A18" s="7" t="s">
        <v>81</v>
      </c>
      <c r="B18" s="5" t="s">
        <v>82</v>
      </c>
    </row>
    <row r="19" spans="1:2" x14ac:dyDescent="0.25">
      <c r="A19" s="7" t="s">
        <v>83</v>
      </c>
      <c r="B19" s="5" t="s">
        <v>84</v>
      </c>
    </row>
    <row r="20" spans="1:2" x14ac:dyDescent="0.25">
      <c r="A20" s="7" t="s">
        <v>85</v>
      </c>
      <c r="B20" s="5" t="s">
        <v>86</v>
      </c>
    </row>
    <row r="21" spans="1:2" x14ac:dyDescent="0.25">
      <c r="A21" s="7" t="s">
        <v>87</v>
      </c>
      <c r="B21" s="5" t="s">
        <v>88</v>
      </c>
    </row>
    <row r="22" spans="1:2" x14ac:dyDescent="0.25">
      <c r="A22" s="7" t="s">
        <v>89</v>
      </c>
      <c r="B22" s="5" t="s">
        <v>90</v>
      </c>
    </row>
    <row r="23" spans="1:2" x14ac:dyDescent="0.25">
      <c r="A23" s="7" t="s">
        <v>91</v>
      </c>
      <c r="B23" s="5" t="s">
        <v>92</v>
      </c>
    </row>
    <row r="24" spans="1:2" x14ac:dyDescent="0.25">
      <c r="A24" s="7" t="s">
        <v>93</v>
      </c>
      <c r="B24" s="5" t="s">
        <v>94</v>
      </c>
    </row>
    <row r="25" spans="1:2" x14ac:dyDescent="0.25">
      <c r="A25" s="7" t="s">
        <v>95</v>
      </c>
      <c r="B25" s="5" t="s">
        <v>96</v>
      </c>
    </row>
    <row r="26" spans="1:2" x14ac:dyDescent="0.25">
      <c r="A26" s="7" t="s">
        <v>97</v>
      </c>
      <c r="B26" s="5" t="s">
        <v>98</v>
      </c>
    </row>
    <row r="27" spans="1:2" x14ac:dyDescent="0.25">
      <c r="A27" s="7" t="s">
        <v>99</v>
      </c>
      <c r="B27" s="5" t="s">
        <v>100</v>
      </c>
    </row>
    <row r="28" spans="1:2" ht="30" x14ac:dyDescent="0.25">
      <c r="A28" s="7" t="s">
        <v>101</v>
      </c>
      <c r="B28" s="5" t="s">
        <v>102</v>
      </c>
    </row>
    <row r="29" spans="1:2" x14ac:dyDescent="0.25">
      <c r="A29" s="7" t="s">
        <v>103</v>
      </c>
      <c r="B29" s="5" t="s">
        <v>104</v>
      </c>
    </row>
    <row r="30" spans="1:2" x14ac:dyDescent="0.25">
      <c r="A30" s="7" t="s">
        <v>105</v>
      </c>
      <c r="B30" s="5" t="s">
        <v>106</v>
      </c>
    </row>
    <row r="31" spans="1:2" ht="30" x14ac:dyDescent="0.25">
      <c r="A31" s="7" t="s">
        <v>107</v>
      </c>
      <c r="B31" s="5" t="s">
        <v>108</v>
      </c>
    </row>
    <row r="32" spans="1:2" x14ac:dyDescent="0.25">
      <c r="A32" s="7" t="s">
        <v>109</v>
      </c>
      <c r="B32" s="5" t="s">
        <v>110</v>
      </c>
    </row>
    <row r="33" spans="1:2" x14ac:dyDescent="0.25">
      <c r="A33" s="7" t="s">
        <v>111</v>
      </c>
      <c r="B33" s="5" t="s">
        <v>112</v>
      </c>
    </row>
    <row r="34" spans="1:2" x14ac:dyDescent="0.25">
      <c r="A34" s="7" t="s">
        <v>113</v>
      </c>
      <c r="B34" s="5" t="s">
        <v>114</v>
      </c>
    </row>
    <row r="35" spans="1:2" x14ac:dyDescent="0.25">
      <c r="A35" s="7" t="s">
        <v>115</v>
      </c>
      <c r="B35" s="5" t="s">
        <v>116</v>
      </c>
    </row>
    <row r="36" spans="1:2" x14ac:dyDescent="0.25">
      <c r="A36" s="7" t="s">
        <v>117</v>
      </c>
      <c r="B36" s="5" t="s">
        <v>118</v>
      </c>
    </row>
    <row r="37" spans="1:2" x14ac:dyDescent="0.25">
      <c r="A37" s="7" t="s">
        <v>119</v>
      </c>
      <c r="B37" s="5" t="s">
        <v>120</v>
      </c>
    </row>
    <row r="38" spans="1:2" x14ac:dyDescent="0.25">
      <c r="A38" s="7" t="s">
        <v>121</v>
      </c>
      <c r="B38" s="5" t="s">
        <v>122</v>
      </c>
    </row>
    <row r="39" spans="1:2" x14ac:dyDescent="0.25">
      <c r="A39" s="7" t="s">
        <v>123</v>
      </c>
      <c r="B39" s="5" t="s">
        <v>124</v>
      </c>
    </row>
    <row r="40" spans="1:2" x14ac:dyDescent="0.25">
      <c r="A40" s="7" t="s">
        <v>125</v>
      </c>
      <c r="B40" s="5" t="s">
        <v>126</v>
      </c>
    </row>
    <row r="41" spans="1:2" x14ac:dyDescent="0.25">
      <c r="A41" s="7" t="s">
        <v>127</v>
      </c>
      <c r="B41" s="5" t="s">
        <v>128</v>
      </c>
    </row>
    <row r="42" spans="1:2" x14ac:dyDescent="0.25">
      <c r="A42" s="7" t="s">
        <v>129</v>
      </c>
      <c r="B42" s="5" t="s">
        <v>130</v>
      </c>
    </row>
    <row r="43" spans="1:2" x14ac:dyDescent="0.25">
      <c r="A43" s="7" t="s">
        <v>131</v>
      </c>
      <c r="B43" s="5" t="s">
        <v>132</v>
      </c>
    </row>
    <row r="44" spans="1:2" x14ac:dyDescent="0.25">
      <c r="A44" s="7" t="s">
        <v>133</v>
      </c>
      <c r="B44" s="5" t="s">
        <v>134</v>
      </c>
    </row>
    <row r="45" spans="1:2" x14ac:dyDescent="0.25">
      <c r="A45" s="7" t="s">
        <v>135</v>
      </c>
      <c r="B45" s="5" t="s">
        <v>136</v>
      </c>
    </row>
    <row r="46" spans="1:2" x14ac:dyDescent="0.25">
      <c r="A46" s="7" t="s">
        <v>137</v>
      </c>
      <c r="B46" s="5" t="s">
        <v>138</v>
      </c>
    </row>
    <row r="47" spans="1:2" x14ac:dyDescent="0.25">
      <c r="A47" s="7" t="s">
        <v>139</v>
      </c>
      <c r="B47" s="5" t="s">
        <v>140</v>
      </c>
    </row>
    <row r="48" spans="1:2" x14ac:dyDescent="0.25">
      <c r="A48" s="7" t="s">
        <v>141</v>
      </c>
      <c r="B48" s="5" t="s">
        <v>142</v>
      </c>
    </row>
    <row r="49" spans="1:2" x14ac:dyDescent="0.25">
      <c r="A49" s="7" t="s">
        <v>143</v>
      </c>
      <c r="B49" s="5" t="s">
        <v>144</v>
      </c>
    </row>
    <row r="50" spans="1:2" x14ac:dyDescent="0.25">
      <c r="A50" s="7" t="s">
        <v>145</v>
      </c>
      <c r="B50" s="5" t="s">
        <v>146</v>
      </c>
    </row>
    <row r="51" spans="1:2" ht="30" x14ac:dyDescent="0.25">
      <c r="A51" s="7" t="s">
        <v>147</v>
      </c>
      <c r="B51" s="5" t="s">
        <v>148</v>
      </c>
    </row>
    <row r="52" spans="1:2" x14ac:dyDescent="0.25">
      <c r="A52" s="7" t="s">
        <v>149</v>
      </c>
      <c r="B52" s="5" t="s">
        <v>150</v>
      </c>
    </row>
    <row r="53" spans="1:2" x14ac:dyDescent="0.25">
      <c r="A53" s="7" t="s">
        <v>151</v>
      </c>
      <c r="B53" s="5" t="s">
        <v>152</v>
      </c>
    </row>
    <row r="54" spans="1:2" x14ac:dyDescent="0.25">
      <c r="A54" s="7" t="s">
        <v>153</v>
      </c>
      <c r="B54" s="5" t="s">
        <v>154</v>
      </c>
    </row>
    <row r="55" spans="1:2" x14ac:dyDescent="0.25">
      <c r="A55" s="7" t="s">
        <v>155</v>
      </c>
      <c r="B55" s="5" t="s">
        <v>156</v>
      </c>
    </row>
    <row r="56" spans="1:2" x14ac:dyDescent="0.25">
      <c r="A56" s="7" t="s">
        <v>157</v>
      </c>
      <c r="B56" s="5"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FBF7E-D26F-401C-BF78-5C8B73F10507}">
  <sheetPr>
    <tabColor rgb="FFFFFF00"/>
  </sheetPr>
  <dimension ref="A1:E52"/>
  <sheetViews>
    <sheetView zoomScale="130" zoomScaleNormal="130" workbookViewId="0"/>
  </sheetViews>
  <sheetFormatPr defaultColWidth="8.85546875" defaultRowHeight="15" x14ac:dyDescent="0.25"/>
  <cols>
    <col min="1" max="1" width="13.28515625" bestFit="1" customWidth="1"/>
    <col min="2" max="2" width="102" customWidth="1"/>
  </cols>
  <sheetData>
    <row r="1" spans="1:5" x14ac:dyDescent="0.25">
      <c r="A1" s="6" t="s">
        <v>160</v>
      </c>
      <c r="B1" s="6" t="s">
        <v>161</v>
      </c>
      <c r="D1" t="s">
        <v>264</v>
      </c>
      <c r="E1">
        <f>COUNTA(A2:A52)</f>
        <v>51</v>
      </c>
    </row>
    <row r="2" spans="1:5" x14ac:dyDescent="0.25">
      <c r="A2" s="4" t="s">
        <v>162</v>
      </c>
      <c r="B2" s="5" t="s">
        <v>163</v>
      </c>
    </row>
    <row r="3" spans="1:5" x14ac:dyDescent="0.25">
      <c r="A3" s="4" t="s">
        <v>164</v>
      </c>
      <c r="B3" s="5" t="s">
        <v>165</v>
      </c>
    </row>
    <row r="4" spans="1:5" ht="60" x14ac:dyDescent="0.25">
      <c r="A4" s="4" t="s">
        <v>166</v>
      </c>
      <c r="B4" s="5" t="s">
        <v>167</v>
      </c>
    </row>
    <row r="5" spans="1:5" ht="45" x14ac:dyDescent="0.25">
      <c r="A5" s="4" t="s">
        <v>168</v>
      </c>
      <c r="B5" s="5" t="s">
        <v>169</v>
      </c>
    </row>
    <row r="6" spans="1:5" x14ac:dyDescent="0.25">
      <c r="A6" s="4" t="s">
        <v>170</v>
      </c>
      <c r="B6" s="5" t="s">
        <v>171</v>
      </c>
    </row>
    <row r="7" spans="1:5" x14ac:dyDescent="0.25">
      <c r="A7" s="4" t="s">
        <v>172</v>
      </c>
      <c r="B7" s="5" t="s">
        <v>173</v>
      </c>
    </row>
    <row r="8" spans="1:5" x14ac:dyDescent="0.25">
      <c r="A8" s="4" t="s">
        <v>174</v>
      </c>
      <c r="B8" s="5" t="s">
        <v>175</v>
      </c>
    </row>
    <row r="9" spans="1:5" x14ac:dyDescent="0.25">
      <c r="A9" s="4" t="s">
        <v>176</v>
      </c>
      <c r="B9" s="5" t="s">
        <v>177</v>
      </c>
    </row>
    <row r="10" spans="1:5" ht="30" x14ac:dyDescent="0.25">
      <c r="A10" s="4" t="s">
        <v>178</v>
      </c>
      <c r="B10" s="5" t="s">
        <v>179</v>
      </c>
    </row>
    <row r="11" spans="1:5" x14ac:dyDescent="0.25">
      <c r="A11" s="4" t="s">
        <v>180</v>
      </c>
      <c r="B11" s="5" t="s">
        <v>181</v>
      </c>
    </row>
    <row r="12" spans="1:5" x14ac:dyDescent="0.25">
      <c r="A12" s="4" t="s">
        <v>182</v>
      </c>
      <c r="B12" s="5" t="s">
        <v>183</v>
      </c>
    </row>
    <row r="13" spans="1:5" x14ac:dyDescent="0.25">
      <c r="A13" s="4" t="s">
        <v>184</v>
      </c>
      <c r="B13" s="5" t="s">
        <v>185</v>
      </c>
    </row>
    <row r="14" spans="1:5" x14ac:dyDescent="0.25">
      <c r="A14" s="4" t="s">
        <v>186</v>
      </c>
      <c r="B14" s="5" t="s">
        <v>187</v>
      </c>
    </row>
    <row r="15" spans="1:5" ht="30" x14ac:dyDescent="0.25">
      <c r="A15" s="4" t="s">
        <v>188</v>
      </c>
      <c r="B15" s="5" t="s">
        <v>189</v>
      </c>
    </row>
    <row r="16" spans="1:5" x14ac:dyDescent="0.25">
      <c r="A16" s="4" t="s">
        <v>190</v>
      </c>
      <c r="B16" s="5" t="s">
        <v>191</v>
      </c>
    </row>
    <row r="17" spans="1:2" ht="30" x14ac:dyDescent="0.25">
      <c r="A17" s="4" t="s">
        <v>192</v>
      </c>
      <c r="B17" s="5" t="s">
        <v>193</v>
      </c>
    </row>
    <row r="18" spans="1:2" ht="30" x14ac:dyDescent="0.25">
      <c r="A18" s="4" t="s">
        <v>194</v>
      </c>
      <c r="B18" s="5" t="s">
        <v>195</v>
      </c>
    </row>
    <row r="19" spans="1:2" ht="30" x14ac:dyDescent="0.25">
      <c r="A19" s="4" t="s">
        <v>196</v>
      </c>
      <c r="B19" s="5" t="s">
        <v>197</v>
      </c>
    </row>
    <row r="20" spans="1:2" ht="30" x14ac:dyDescent="0.25">
      <c r="A20" s="4" t="s">
        <v>198</v>
      </c>
      <c r="B20" s="5" t="s">
        <v>199</v>
      </c>
    </row>
    <row r="21" spans="1:2" ht="30" x14ac:dyDescent="0.25">
      <c r="A21" s="4" t="s">
        <v>200</v>
      </c>
      <c r="B21" s="5" t="s">
        <v>201</v>
      </c>
    </row>
    <row r="22" spans="1:2" x14ac:dyDescent="0.25">
      <c r="A22" s="4" t="s">
        <v>202</v>
      </c>
      <c r="B22" s="5" t="s">
        <v>203</v>
      </c>
    </row>
    <row r="23" spans="1:2" ht="30" x14ac:dyDescent="0.25">
      <c r="A23" s="4" t="s">
        <v>204</v>
      </c>
      <c r="B23" s="5" t="s">
        <v>205</v>
      </c>
    </row>
    <row r="24" spans="1:2" ht="30" x14ac:dyDescent="0.25">
      <c r="A24" s="4" t="s">
        <v>206</v>
      </c>
      <c r="B24" s="5" t="s">
        <v>207</v>
      </c>
    </row>
    <row r="25" spans="1:2" x14ac:dyDescent="0.25">
      <c r="A25" s="4" t="s">
        <v>208</v>
      </c>
      <c r="B25" s="5" t="s">
        <v>209</v>
      </c>
    </row>
    <row r="26" spans="1:2" ht="30" x14ac:dyDescent="0.25">
      <c r="A26" s="4" t="s">
        <v>210</v>
      </c>
      <c r="B26" s="5" t="s">
        <v>211</v>
      </c>
    </row>
    <row r="27" spans="1:2" ht="30" x14ac:dyDescent="0.25">
      <c r="A27" s="4" t="s">
        <v>212</v>
      </c>
      <c r="B27" s="5" t="s">
        <v>213</v>
      </c>
    </row>
    <row r="28" spans="1:2" x14ac:dyDescent="0.25">
      <c r="A28" s="4" t="s">
        <v>214</v>
      </c>
      <c r="B28" s="5" t="s">
        <v>215</v>
      </c>
    </row>
    <row r="29" spans="1:2" x14ac:dyDescent="0.25">
      <c r="A29" s="4" t="s">
        <v>216</v>
      </c>
      <c r="B29" s="5" t="s">
        <v>217</v>
      </c>
    </row>
    <row r="30" spans="1:2" x14ac:dyDescent="0.25">
      <c r="A30" s="4" t="s">
        <v>218</v>
      </c>
      <c r="B30" s="5" t="s">
        <v>219</v>
      </c>
    </row>
    <row r="31" spans="1:2" x14ac:dyDescent="0.25">
      <c r="A31" s="4" t="s">
        <v>220</v>
      </c>
      <c r="B31" s="5" t="s">
        <v>221</v>
      </c>
    </row>
    <row r="32" spans="1:2" x14ac:dyDescent="0.25">
      <c r="A32" s="4" t="s">
        <v>222</v>
      </c>
      <c r="B32" s="5" t="s">
        <v>223</v>
      </c>
    </row>
    <row r="33" spans="1:2" x14ac:dyDescent="0.25">
      <c r="A33" s="4" t="s">
        <v>224</v>
      </c>
      <c r="B33" s="5" t="s">
        <v>225</v>
      </c>
    </row>
    <row r="34" spans="1:2" ht="30" x14ac:dyDescent="0.25">
      <c r="A34" s="4" t="s">
        <v>226</v>
      </c>
      <c r="B34" s="5" t="s">
        <v>227</v>
      </c>
    </row>
    <row r="35" spans="1:2" x14ac:dyDescent="0.25">
      <c r="A35" s="4" t="s">
        <v>228</v>
      </c>
      <c r="B35" s="5" t="s">
        <v>229</v>
      </c>
    </row>
    <row r="36" spans="1:2" x14ac:dyDescent="0.25">
      <c r="A36" s="4" t="s">
        <v>230</v>
      </c>
      <c r="B36" s="5" t="s">
        <v>231</v>
      </c>
    </row>
    <row r="37" spans="1:2" x14ac:dyDescent="0.25">
      <c r="A37" s="4" t="s">
        <v>232</v>
      </c>
      <c r="B37" s="5" t="s">
        <v>233</v>
      </c>
    </row>
    <row r="38" spans="1:2" ht="45" x14ac:dyDescent="0.25">
      <c r="A38" s="4" t="s">
        <v>234</v>
      </c>
      <c r="B38" s="5" t="s">
        <v>235</v>
      </c>
    </row>
    <row r="39" spans="1:2" ht="45" x14ac:dyDescent="0.25">
      <c r="A39" s="4" t="s">
        <v>236</v>
      </c>
      <c r="B39" s="5" t="s">
        <v>237</v>
      </c>
    </row>
    <row r="40" spans="1:2" x14ac:dyDescent="0.25">
      <c r="A40" s="4" t="s">
        <v>238</v>
      </c>
      <c r="B40" s="5" t="s">
        <v>239</v>
      </c>
    </row>
    <row r="41" spans="1:2" x14ac:dyDescent="0.25">
      <c r="A41" s="4" t="s">
        <v>240</v>
      </c>
      <c r="B41" s="5" t="s">
        <v>241</v>
      </c>
    </row>
    <row r="42" spans="1:2" x14ac:dyDescent="0.25">
      <c r="A42" s="4" t="s">
        <v>242</v>
      </c>
      <c r="B42" s="5" t="s">
        <v>243</v>
      </c>
    </row>
    <row r="43" spans="1:2" x14ac:dyDescent="0.25">
      <c r="A43" s="4" t="s">
        <v>244</v>
      </c>
      <c r="B43" s="5" t="s">
        <v>245</v>
      </c>
    </row>
    <row r="44" spans="1:2" x14ac:dyDescent="0.25">
      <c r="A44" s="4" t="s">
        <v>246</v>
      </c>
      <c r="B44" s="5" t="s">
        <v>247</v>
      </c>
    </row>
    <row r="45" spans="1:2" x14ac:dyDescent="0.25">
      <c r="A45" s="4" t="s">
        <v>248</v>
      </c>
      <c r="B45" s="5" t="s">
        <v>249</v>
      </c>
    </row>
    <row r="46" spans="1:2" x14ac:dyDescent="0.25">
      <c r="A46" s="4" t="s">
        <v>250</v>
      </c>
      <c r="B46" s="5" t="s">
        <v>251</v>
      </c>
    </row>
    <row r="47" spans="1:2" ht="30" x14ac:dyDescent="0.25">
      <c r="A47" s="4" t="s">
        <v>252</v>
      </c>
      <c r="B47" s="5" t="s">
        <v>253</v>
      </c>
    </row>
    <row r="48" spans="1:2" x14ac:dyDescent="0.25">
      <c r="A48" s="4" t="s">
        <v>254</v>
      </c>
      <c r="B48" s="5" t="s">
        <v>255</v>
      </c>
    </row>
    <row r="49" spans="1:2" x14ac:dyDescent="0.25">
      <c r="A49" s="4" t="s">
        <v>256</v>
      </c>
      <c r="B49" s="5" t="s">
        <v>257</v>
      </c>
    </row>
    <row r="50" spans="1:2" x14ac:dyDescent="0.25">
      <c r="A50" s="4" t="s">
        <v>258</v>
      </c>
      <c r="B50" s="5" t="s">
        <v>259</v>
      </c>
    </row>
    <row r="51" spans="1:2" x14ac:dyDescent="0.25">
      <c r="A51" s="4" t="s">
        <v>260</v>
      </c>
      <c r="B51" s="5" t="s">
        <v>261</v>
      </c>
    </row>
    <row r="52" spans="1:2" x14ac:dyDescent="0.25">
      <c r="A52" s="4" t="s">
        <v>262</v>
      </c>
      <c r="B52" s="5" t="s">
        <v>263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0402E-0768-480C-8DC4-2A00EA616930}">
  <sheetPr>
    <tabColor rgb="FFFFFF00"/>
  </sheetPr>
  <dimension ref="A1"/>
  <sheetViews>
    <sheetView workbookViewId="0"/>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A59E3-C12B-4CB4-BFD4-2C7F7F2D83DE}">
  <sheetPr>
    <tabColor rgb="FFFFFF00"/>
  </sheetPr>
  <dimension ref="A1:C11"/>
  <sheetViews>
    <sheetView zoomScale="160" zoomScaleNormal="160" workbookViewId="0"/>
  </sheetViews>
  <sheetFormatPr defaultColWidth="8.85546875" defaultRowHeight="15" x14ac:dyDescent="0.25"/>
  <cols>
    <col min="1" max="1" width="39.42578125" customWidth="1"/>
    <col min="2" max="2" width="10.85546875" customWidth="1"/>
    <col min="3" max="3" width="35.42578125" bestFit="1" customWidth="1"/>
    <col min="4" max="4" width="10.42578125" bestFit="1" customWidth="1"/>
  </cols>
  <sheetData>
    <row r="1" spans="1:3" x14ac:dyDescent="0.25">
      <c r="A1" s="15" t="s">
        <v>265</v>
      </c>
      <c r="B1" s="15"/>
    </row>
    <row r="2" spans="1:3" x14ac:dyDescent="0.25">
      <c r="A2" s="4" t="s">
        <v>266</v>
      </c>
      <c r="B2" s="8">
        <v>34799</v>
      </c>
    </row>
    <row r="3" spans="1:3" x14ac:dyDescent="0.25">
      <c r="A3" s="4" t="s">
        <v>267</v>
      </c>
      <c r="B3" s="10">
        <v>10000</v>
      </c>
    </row>
    <row r="4" spans="1:3" x14ac:dyDescent="0.25">
      <c r="A4" s="4" t="s">
        <v>268</v>
      </c>
      <c r="B4" s="9">
        <v>6.5000000000000002E-2</v>
      </c>
    </row>
    <row r="5" spans="1:3" x14ac:dyDescent="0.25">
      <c r="A5" s="4" t="s">
        <v>269</v>
      </c>
      <c r="B5" s="13">
        <v>5</v>
      </c>
    </row>
    <row r="6" spans="1:3" x14ac:dyDescent="0.25">
      <c r="A6" s="4" t="s">
        <v>270</v>
      </c>
      <c r="B6" s="13">
        <v>12</v>
      </c>
    </row>
    <row r="7" spans="1:3" x14ac:dyDescent="0.25">
      <c r="A7" s="4" t="s">
        <v>271</v>
      </c>
      <c r="B7" s="11">
        <f>B4/B6</f>
        <v>5.4166666666666669E-3</v>
      </c>
      <c r="C7" t="str">
        <f ca="1">_xlfn.IFNA(_xlfn.FORMULATEXT(B7),"")</f>
        <v>=B4/B6</v>
      </c>
    </row>
    <row r="8" spans="1:3" x14ac:dyDescent="0.25">
      <c r="A8" s="4" t="s">
        <v>272</v>
      </c>
      <c r="B8" s="14">
        <f>B5*B6</f>
        <v>60</v>
      </c>
      <c r="C8" t="str">
        <f ca="1">_xlfn.IFNA(_xlfn.FORMULATEXT(B8),"")</f>
        <v>=B5*B6</v>
      </c>
    </row>
    <row r="9" spans="1:3" x14ac:dyDescent="0.25">
      <c r="A9" s="4" t="s">
        <v>273</v>
      </c>
      <c r="B9" s="12">
        <f>B2-B3</f>
        <v>24799</v>
      </c>
      <c r="C9" t="str">
        <f ca="1">_xlfn.IFNA(_xlfn.FORMULATEXT(B9),"")</f>
        <v>=B2-B3</v>
      </c>
    </row>
    <row r="10" spans="1:3" x14ac:dyDescent="0.25">
      <c r="A10" s="4" t="s">
        <v>274</v>
      </c>
      <c r="B10" s="12">
        <f>PMT(B7,B8,B9)</f>
        <v>-485.22090967624911</v>
      </c>
      <c r="C10" t="str">
        <f ca="1">_xlfn.IFNA(_xlfn.FORMULATEXT(B10),"")</f>
        <v>=PMT(B7,B8,B9)</v>
      </c>
    </row>
    <row r="11" spans="1:3" x14ac:dyDescent="0.25">
      <c r="A11" s="4" t="s">
        <v>274</v>
      </c>
      <c r="B11" s="12">
        <f>-B9/((1-(1+B4/B6)^(-B5*B6))/(B4/B6))</f>
        <v>-485.22090967625377</v>
      </c>
      <c r="C11" t="str">
        <f ca="1">_xlfn.IFNA(_xlfn.FORMULATEXT(B11),"")</f>
        <v>=-B9/((1-(1+B4/B6)^(-B5*B6))/(B4/B6))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EC033-F8D4-4280-9183-983DE3B4141D}">
  <sheetPr>
    <tabColor rgb="FFFFFF00"/>
  </sheetPr>
  <dimension ref="A1"/>
  <sheetViews>
    <sheetView zoomScale="160" zoomScaleNormal="160" workbookViewId="0"/>
  </sheetViews>
  <sheetFormatPr defaultColWidth="8.85546875" defaultRowHeight="15" x14ac:dyDescent="0.25"/>
  <cols>
    <col min="1" max="4" width="10.42578125" bestFit="1" customWidth="1"/>
  </cols>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687E3-D30B-4FA9-871F-8B5D81F07381}">
  <sheetPr>
    <tabColor rgb="FF0000FF"/>
  </sheetPr>
  <dimension ref="A1:Q13"/>
  <sheetViews>
    <sheetView showGridLines="0" zoomScale="160" zoomScaleNormal="160" workbookViewId="0"/>
  </sheetViews>
  <sheetFormatPr defaultColWidth="8.85546875" defaultRowHeight="15" x14ac:dyDescent="0.25"/>
  <cols>
    <col min="1" max="1" width="4.85546875" bestFit="1" customWidth="1"/>
    <col min="2" max="2" width="30.7109375" customWidth="1"/>
    <col min="3" max="3" width="19.42578125" customWidth="1"/>
    <col min="4" max="4" width="37.28515625" customWidth="1"/>
    <col min="5" max="5" width="10.42578125" bestFit="1" customWidth="1"/>
  </cols>
  <sheetData>
    <row r="1" spans="1:17" ht="6" customHeight="1" x14ac:dyDescent="0.25"/>
    <row r="2" spans="1:17" x14ac:dyDescent="0.25">
      <c r="A2" s="1" t="s">
        <v>275</v>
      </c>
      <c r="B2" s="16" t="str">
        <f>"How much will $"&amp;FIXED(C5,0)&amp;" invested today be worth in "&amp;C7&amp;" years at an APR of "&amp;TEXT(C6,"0.00%")&amp;", compounded "&amp;_xlfn.XLOOKUP(C8,Q4:Q7,P4:P7)&amp;"?"</f>
        <v>How much will $10,000 invested today be worth in 10 years at an APR of 5.00%, compounded monthly?</v>
      </c>
      <c r="C2" s="17"/>
      <c r="D2" s="18"/>
    </row>
    <row r="3" spans="1:17" ht="6" customHeight="1" x14ac:dyDescent="0.25"/>
    <row r="4" spans="1:17" x14ac:dyDescent="0.25">
      <c r="B4" s="15" t="s">
        <v>280</v>
      </c>
      <c r="C4" s="15" t="s">
        <v>283</v>
      </c>
      <c r="D4" s="15" t="s">
        <v>279</v>
      </c>
      <c r="P4" t="s">
        <v>284</v>
      </c>
      <c r="Q4">
        <v>365</v>
      </c>
    </row>
    <row r="5" spans="1:17" x14ac:dyDescent="0.25">
      <c r="B5" s="4" t="s">
        <v>276</v>
      </c>
      <c r="C5" s="22">
        <v>10000</v>
      </c>
      <c r="D5" s="4"/>
      <c r="P5" t="s">
        <v>285</v>
      </c>
      <c r="Q5">
        <v>12</v>
      </c>
    </row>
    <row r="6" spans="1:17" x14ac:dyDescent="0.25">
      <c r="B6" s="4" t="s">
        <v>277</v>
      </c>
      <c r="C6" s="21">
        <v>0.05</v>
      </c>
      <c r="D6" s="4"/>
      <c r="P6" t="s">
        <v>286</v>
      </c>
      <c r="Q6">
        <v>4</v>
      </c>
    </row>
    <row r="7" spans="1:17" x14ac:dyDescent="0.25">
      <c r="B7" s="4" t="s">
        <v>278</v>
      </c>
      <c r="C7" s="19">
        <v>10</v>
      </c>
      <c r="D7" s="4"/>
      <c r="P7" t="s">
        <v>287</v>
      </c>
      <c r="Q7">
        <v>1</v>
      </c>
    </row>
    <row r="8" spans="1:17" x14ac:dyDescent="0.25">
      <c r="B8" s="4" t="s">
        <v>270</v>
      </c>
      <c r="C8" s="19">
        <v>12</v>
      </c>
      <c r="D8" s="4"/>
    </row>
    <row r="9" spans="1:17" x14ac:dyDescent="0.25">
      <c r="B9" s="4" t="s">
        <v>281</v>
      </c>
      <c r="C9" s="20"/>
      <c r="D9" s="4" t="str">
        <f ca="1">_xlfn.IFNA(_xlfn.FORMULATEXT(C9),"")</f>
        <v/>
      </c>
    </row>
    <row r="10" spans="1:17" x14ac:dyDescent="0.25">
      <c r="B10" s="4" t="s">
        <v>282</v>
      </c>
      <c r="C10" s="20"/>
      <c r="D10" s="4" t="str">
        <f ca="1">_xlfn.IFNA(_xlfn.FORMULATEXT(C10),"")</f>
        <v/>
      </c>
    </row>
    <row r="11" spans="1:17" x14ac:dyDescent="0.25">
      <c r="B11" s="4" t="s">
        <v>288</v>
      </c>
      <c r="C11" s="23"/>
      <c r="D11" s="4" t="str">
        <f ca="1">_xlfn.IFNA(_xlfn.FORMULATEXT(C11),"")</f>
        <v/>
      </c>
    </row>
    <row r="13" spans="1:17" ht="18.75" x14ac:dyDescent="0.3">
      <c r="B13" s="77" t="s">
        <v>330</v>
      </c>
      <c r="C13" s="78"/>
      <c r="D13" s="79"/>
    </row>
  </sheetData>
  <mergeCells count="1">
    <mergeCell ref="B13:D13"/>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79B17-2889-466E-B07D-371F66AFC89A}">
  <sheetPr>
    <tabColor rgb="FFFF0000"/>
  </sheetPr>
  <dimension ref="A1:Q20"/>
  <sheetViews>
    <sheetView showGridLines="0" zoomScale="160" zoomScaleNormal="160" workbookViewId="0"/>
  </sheetViews>
  <sheetFormatPr defaultColWidth="8.85546875" defaultRowHeight="15" x14ac:dyDescent="0.25"/>
  <cols>
    <col min="1" max="1" width="4.85546875" bestFit="1" customWidth="1"/>
    <col min="2" max="2" width="30.7109375" customWidth="1"/>
    <col min="3" max="3" width="19.42578125" customWidth="1"/>
    <col min="4" max="4" width="37.28515625" customWidth="1"/>
    <col min="5" max="5" width="10.42578125" bestFit="1" customWidth="1"/>
  </cols>
  <sheetData>
    <row r="1" spans="1:17" ht="6" customHeight="1" x14ac:dyDescent="0.25"/>
    <row r="2" spans="1:17" x14ac:dyDescent="0.25">
      <c r="A2" s="1" t="s">
        <v>275</v>
      </c>
      <c r="B2" s="16" t="str">
        <f>"How much will $"&amp;FIXED(C5,0)&amp;" invested today be worth in "&amp;C7&amp;" years at an APR of "&amp;TEXT(C6,"0.00%")&amp;", compounded "&amp;_xlfn.XLOOKUP(C8,Q4:Q7,P4:P7)&amp;"?"</f>
        <v>How much will $10,000 invested today be worth in 10 years at an APR of 5.00%, compounded monthly?</v>
      </c>
      <c r="C2" s="17"/>
      <c r="D2" s="18"/>
    </row>
    <row r="3" spans="1:17" ht="6" customHeight="1" x14ac:dyDescent="0.25"/>
    <row r="4" spans="1:17" x14ac:dyDescent="0.25">
      <c r="B4" s="15" t="s">
        <v>280</v>
      </c>
      <c r="C4" s="15" t="s">
        <v>283</v>
      </c>
      <c r="D4" s="15" t="s">
        <v>279</v>
      </c>
      <c r="P4" t="s">
        <v>284</v>
      </c>
      <c r="Q4">
        <v>365</v>
      </c>
    </row>
    <row r="5" spans="1:17" x14ac:dyDescent="0.25">
      <c r="B5" s="4" t="s">
        <v>276</v>
      </c>
      <c r="C5" s="22">
        <v>10000</v>
      </c>
      <c r="D5" s="4"/>
      <c r="P5" t="s">
        <v>285</v>
      </c>
      <c r="Q5">
        <v>12</v>
      </c>
    </row>
    <row r="6" spans="1:17" x14ac:dyDescent="0.25">
      <c r="B6" s="4" t="s">
        <v>277</v>
      </c>
      <c r="C6" s="21">
        <v>0.05</v>
      </c>
      <c r="D6" s="4"/>
      <c r="P6" t="s">
        <v>286</v>
      </c>
      <c r="Q6">
        <v>4</v>
      </c>
    </row>
    <row r="7" spans="1:17" x14ac:dyDescent="0.25">
      <c r="B7" s="4" t="s">
        <v>278</v>
      </c>
      <c r="C7" s="19">
        <v>10</v>
      </c>
      <c r="D7" s="4"/>
      <c r="P7" t="s">
        <v>287</v>
      </c>
      <c r="Q7">
        <v>1</v>
      </c>
    </row>
    <row r="8" spans="1:17" x14ac:dyDescent="0.25">
      <c r="B8" s="4" t="s">
        <v>270</v>
      </c>
      <c r="C8" s="19">
        <v>12</v>
      </c>
      <c r="D8" s="4"/>
    </row>
    <row r="9" spans="1:17" x14ac:dyDescent="0.25">
      <c r="B9" s="4" t="s">
        <v>281</v>
      </c>
      <c r="C9" s="20">
        <f>C6/C8</f>
        <v>4.1666666666666666E-3</v>
      </c>
      <c r="D9" s="4" t="str">
        <f ca="1">_xlfn.IFNA(_xlfn.FORMULATEXT(C9),"")</f>
        <v>=C6/C8</v>
      </c>
    </row>
    <row r="10" spans="1:17" x14ac:dyDescent="0.25">
      <c r="B10" s="4" t="s">
        <v>282</v>
      </c>
      <c r="C10" s="20">
        <f>C7*C8</f>
        <v>120</v>
      </c>
      <c r="D10" s="4" t="str">
        <f ca="1">_xlfn.IFNA(_xlfn.FORMULATEXT(C10),"")</f>
        <v>=C7*C8</v>
      </c>
    </row>
    <row r="11" spans="1:17" x14ac:dyDescent="0.25">
      <c r="B11" s="4" t="s">
        <v>288</v>
      </c>
      <c r="C11" s="23">
        <f>FV(C9,C10,,-C5)</f>
        <v>16470.094976902859</v>
      </c>
      <c r="D11" s="4" t="str">
        <f ca="1">_xlfn.IFNA(_xlfn.FORMULATEXT(C11),"")</f>
        <v>=FV(C9,C10,,-C5)</v>
      </c>
    </row>
    <row r="13" spans="1:17" ht="18.75" x14ac:dyDescent="0.3">
      <c r="B13" s="77" t="s">
        <v>330</v>
      </c>
      <c r="C13" s="78"/>
      <c r="D13" s="79"/>
    </row>
    <row r="20" spans="2:4" x14ac:dyDescent="0.25">
      <c r="B20" s="4" t="s">
        <v>298</v>
      </c>
      <c r="C20" s="23">
        <f>C5*(1+C9)^C10</f>
        <v>16470.094976902859</v>
      </c>
      <c r="D20" s="4" t="str">
        <f ca="1">_xlfn.IFNA(_xlfn.FORMULATEXT(C20),"")</f>
        <v>=C5*(1+C9)^C10</v>
      </c>
    </row>
  </sheetData>
  <mergeCells count="1">
    <mergeCell ref="B13:D13"/>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F7D02-906A-4FF8-8AF0-E9F27AB0B17C}">
  <sheetPr>
    <tabColor rgb="FF0000FF"/>
  </sheetPr>
  <dimension ref="A1:Q17"/>
  <sheetViews>
    <sheetView showGridLines="0" zoomScale="145" zoomScaleNormal="145" workbookViewId="0"/>
  </sheetViews>
  <sheetFormatPr defaultColWidth="8.85546875" defaultRowHeight="15" x14ac:dyDescent="0.25"/>
  <cols>
    <col min="1" max="1" width="4.85546875" bestFit="1" customWidth="1"/>
    <col min="2" max="2" width="37.42578125" customWidth="1"/>
    <col min="3" max="3" width="19.42578125" customWidth="1"/>
    <col min="4" max="4" width="39.42578125" customWidth="1"/>
    <col min="5" max="5" width="10.42578125" bestFit="1" customWidth="1"/>
  </cols>
  <sheetData>
    <row r="1" spans="1:17" ht="6" customHeight="1" x14ac:dyDescent="0.25"/>
    <row r="2" spans="1:17" x14ac:dyDescent="0.25">
      <c r="A2" s="1" t="s">
        <v>290</v>
      </c>
      <c r="B2" s="16" t="str">
        <f>"If you invest $"&amp;FIXED(C6,0)&amp;" at the end of each month with an estimated APR of "&amp;TEXT(C7,"0.00%")&amp;", how much will you have in "&amp;C8&amp;" years?"</f>
        <v>If you invest $50 at the end of each month with an estimated APR of 13.00%, how much will you have in 40 years?</v>
      </c>
      <c r="C2" s="17"/>
      <c r="D2" s="18"/>
    </row>
    <row r="3" spans="1:17" ht="6" customHeight="1" x14ac:dyDescent="0.25"/>
    <row r="4" spans="1:17" x14ac:dyDescent="0.25">
      <c r="B4" s="15" t="s">
        <v>280</v>
      </c>
      <c r="C4" s="15" t="s">
        <v>283</v>
      </c>
      <c r="D4" s="15" t="s">
        <v>279</v>
      </c>
      <c r="P4" t="s">
        <v>284</v>
      </c>
      <c r="Q4">
        <v>365</v>
      </c>
    </row>
    <row r="5" spans="1:17" x14ac:dyDescent="0.25">
      <c r="B5" s="4" t="s">
        <v>295</v>
      </c>
      <c r="C5" s="24">
        <v>250</v>
      </c>
      <c r="D5" s="25" t="s">
        <v>297</v>
      </c>
    </row>
    <row r="6" spans="1:17" x14ac:dyDescent="0.25">
      <c r="B6" s="4" t="s">
        <v>296</v>
      </c>
      <c r="C6" s="24">
        <v>50</v>
      </c>
      <c r="D6" s="4"/>
      <c r="P6" t="s">
        <v>285</v>
      </c>
      <c r="Q6">
        <v>12</v>
      </c>
    </row>
    <row r="7" spans="1:17" x14ac:dyDescent="0.25">
      <c r="B7" s="4" t="s">
        <v>277</v>
      </c>
      <c r="C7" s="21">
        <v>0.13</v>
      </c>
      <c r="D7" s="4"/>
      <c r="P7" t="s">
        <v>286</v>
      </c>
      <c r="Q7">
        <v>4</v>
      </c>
    </row>
    <row r="8" spans="1:17" x14ac:dyDescent="0.25">
      <c r="B8" s="4" t="s">
        <v>278</v>
      </c>
      <c r="C8" s="19">
        <v>40</v>
      </c>
      <c r="D8" s="4"/>
      <c r="P8" t="s">
        <v>287</v>
      </c>
      <c r="Q8">
        <v>1</v>
      </c>
    </row>
    <row r="9" spans="1:17" x14ac:dyDescent="0.25">
      <c r="B9" s="4" t="s">
        <v>270</v>
      </c>
      <c r="C9" s="19">
        <v>12</v>
      </c>
      <c r="D9" s="4"/>
    </row>
    <row r="10" spans="1:17" x14ac:dyDescent="0.25">
      <c r="B10" s="4" t="s">
        <v>294</v>
      </c>
      <c r="C10" s="19"/>
      <c r="D10" s="4"/>
    </row>
    <row r="11" spans="1:17" x14ac:dyDescent="0.25">
      <c r="B11" s="4" t="s">
        <v>281</v>
      </c>
      <c r="C11" s="20"/>
      <c r="D11" s="4" t="str">
        <f ca="1">_xlfn.IFNA(_xlfn.FORMULATEXT(C11),"")</f>
        <v/>
      </c>
    </row>
    <row r="12" spans="1:17" x14ac:dyDescent="0.25">
      <c r="B12" s="4" t="s">
        <v>282</v>
      </c>
      <c r="C12" s="20"/>
      <c r="D12" s="4" t="str">
        <f ca="1">_xlfn.IFNA(_xlfn.FORMULATEXT(C12),"")</f>
        <v/>
      </c>
    </row>
    <row r="13" spans="1:17" x14ac:dyDescent="0.25">
      <c r="B13" s="4" t="s">
        <v>288</v>
      </c>
      <c r="C13" s="23"/>
      <c r="D13" s="4" t="str">
        <f ca="1">_xlfn.IFNA(_xlfn.FORMULATEXT(C13),"")</f>
        <v/>
      </c>
    </row>
    <row r="14" spans="1:17" x14ac:dyDescent="0.25">
      <c r="B14" s="4" t="s">
        <v>304</v>
      </c>
      <c r="C14" s="23"/>
      <c r="D14" s="4" t="str">
        <f t="shared" ref="D14:D15" ca="1" si="0">_xlfn.IFNA(_xlfn.FORMULATEXT(C14),"")</f>
        <v/>
      </c>
    </row>
    <row r="15" spans="1:17" x14ac:dyDescent="0.25">
      <c r="B15" s="4" t="s">
        <v>305</v>
      </c>
      <c r="C15" s="23"/>
      <c r="D15" s="4" t="str">
        <f t="shared" ca="1" si="0"/>
        <v/>
      </c>
    </row>
    <row r="17" spans="2:4" ht="18.75" x14ac:dyDescent="0.3">
      <c r="B17" s="77" t="s">
        <v>330</v>
      </c>
      <c r="C17" s="78"/>
      <c r="D17" s="79"/>
    </row>
  </sheetData>
  <mergeCells count="1">
    <mergeCell ref="B17:D17"/>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EA953-35B0-4AF9-9DFF-EB2E6DD89D92}">
  <sheetPr>
    <tabColor rgb="FFFF0000"/>
  </sheetPr>
  <dimension ref="A1:Q25"/>
  <sheetViews>
    <sheetView showGridLines="0" zoomScale="145" zoomScaleNormal="145" workbookViewId="0"/>
  </sheetViews>
  <sheetFormatPr defaultColWidth="8.85546875" defaultRowHeight="15" x14ac:dyDescent="0.25"/>
  <cols>
    <col min="1" max="1" width="4.85546875" bestFit="1" customWidth="1"/>
    <col min="2" max="2" width="37.42578125" customWidth="1"/>
    <col min="3" max="3" width="19.42578125" customWidth="1"/>
    <col min="4" max="4" width="39.42578125" customWidth="1"/>
    <col min="5" max="5" width="10.42578125" bestFit="1" customWidth="1"/>
  </cols>
  <sheetData>
    <row r="1" spans="1:17" ht="6" customHeight="1" x14ac:dyDescent="0.25"/>
    <row r="2" spans="1:17" x14ac:dyDescent="0.25">
      <c r="A2" s="1" t="s">
        <v>290</v>
      </c>
      <c r="B2" s="16" t="str">
        <f>"If you invest $"&amp;FIXED(C6,0)&amp;" at the end of each month with an estimated APR of "&amp;TEXT(C7,"0.00%")&amp;", how much will you have in "&amp;C8&amp;" years?"</f>
        <v>If you invest $50 at the end of each month with an estimated APR of 13.00%, how much will you have in 40 years?</v>
      </c>
      <c r="C2" s="17"/>
      <c r="D2" s="18"/>
    </row>
    <row r="3" spans="1:17" ht="6" customHeight="1" x14ac:dyDescent="0.25"/>
    <row r="4" spans="1:17" x14ac:dyDescent="0.25">
      <c r="B4" s="15" t="s">
        <v>280</v>
      </c>
      <c r="C4" s="15" t="s">
        <v>283</v>
      </c>
      <c r="D4" s="15" t="s">
        <v>279</v>
      </c>
      <c r="P4" t="s">
        <v>284</v>
      </c>
      <c r="Q4">
        <v>365</v>
      </c>
    </row>
    <row r="5" spans="1:17" x14ac:dyDescent="0.25">
      <c r="B5" s="4" t="s">
        <v>295</v>
      </c>
      <c r="C5" s="24">
        <v>250</v>
      </c>
      <c r="D5" s="25" t="s">
        <v>297</v>
      </c>
    </row>
    <row r="6" spans="1:17" x14ac:dyDescent="0.25">
      <c r="B6" s="4" t="s">
        <v>296</v>
      </c>
      <c r="C6" s="24">
        <v>50</v>
      </c>
      <c r="D6" s="4"/>
      <c r="P6" t="s">
        <v>285</v>
      </c>
      <c r="Q6">
        <v>12</v>
      </c>
    </row>
    <row r="7" spans="1:17" x14ac:dyDescent="0.25">
      <c r="B7" s="4" t="s">
        <v>277</v>
      </c>
      <c r="C7" s="21">
        <v>0.13</v>
      </c>
      <c r="D7" s="4"/>
      <c r="P7" t="s">
        <v>286</v>
      </c>
      <c r="Q7">
        <v>4</v>
      </c>
    </row>
    <row r="8" spans="1:17" x14ac:dyDescent="0.25">
      <c r="B8" s="4" t="s">
        <v>278</v>
      </c>
      <c r="C8" s="19">
        <v>40</v>
      </c>
      <c r="D8" s="4"/>
      <c r="P8" t="s">
        <v>287</v>
      </c>
      <c r="Q8">
        <v>1</v>
      </c>
    </row>
    <row r="9" spans="1:17" x14ac:dyDescent="0.25">
      <c r="B9" s="4" t="s">
        <v>270</v>
      </c>
      <c r="C9" s="19">
        <v>12</v>
      </c>
      <c r="D9" s="4"/>
    </row>
    <row r="10" spans="1:17" x14ac:dyDescent="0.25">
      <c r="B10" s="4" t="s">
        <v>294</v>
      </c>
      <c r="C10" s="19"/>
      <c r="D10" s="4"/>
    </row>
    <row r="11" spans="1:17" x14ac:dyDescent="0.25">
      <c r="B11" s="4" t="s">
        <v>281</v>
      </c>
      <c r="C11" s="20">
        <f>C7/C9</f>
        <v>1.0833333333333334E-2</v>
      </c>
      <c r="D11" s="4" t="str">
        <f ca="1">_xlfn.IFNA(_xlfn.FORMULATEXT(C11),"")</f>
        <v>=C7/C9</v>
      </c>
    </row>
    <row r="12" spans="1:17" x14ac:dyDescent="0.25">
      <c r="B12" s="4" t="s">
        <v>282</v>
      </c>
      <c r="C12" s="20">
        <f>C8*C9</f>
        <v>480</v>
      </c>
      <c r="D12" s="4" t="str">
        <f ca="1">_xlfn.IFNA(_xlfn.FORMULATEXT(C12),"")</f>
        <v>=C8*C9</v>
      </c>
    </row>
    <row r="13" spans="1:17" x14ac:dyDescent="0.25">
      <c r="B13" s="4" t="s">
        <v>288</v>
      </c>
      <c r="C13" s="23">
        <f>FV(C11,C12,-C6,-C5)</f>
        <v>853021.57912675268</v>
      </c>
      <c r="D13" s="4" t="str">
        <f ca="1">_xlfn.IFNA(_xlfn.FORMULATEXT(C13),"")</f>
        <v>=FV(C11,C12,-C6,-C5)</v>
      </c>
    </row>
    <row r="14" spans="1:17" x14ac:dyDescent="0.25">
      <c r="B14" s="4" t="s">
        <v>324</v>
      </c>
      <c r="C14" s="23">
        <f>C6*C12+C5</f>
        <v>24250</v>
      </c>
      <c r="D14" s="4" t="str">
        <f t="shared" ref="D14:D15" ca="1" si="0">_xlfn.IFNA(_xlfn.FORMULATEXT(C14),"")</f>
        <v>=C6*C12+C5</v>
      </c>
    </row>
    <row r="15" spans="1:17" x14ac:dyDescent="0.25">
      <c r="B15" s="4" t="s">
        <v>305</v>
      </c>
      <c r="C15" s="23">
        <f>C13-C14</f>
        <v>828771.57912675268</v>
      </c>
      <c r="D15" s="4" t="str">
        <f t="shared" ca="1" si="0"/>
        <v>=C13-C14</v>
      </c>
    </row>
    <row r="17" spans="2:4" ht="18.75" x14ac:dyDescent="0.3">
      <c r="B17" s="77" t="s">
        <v>330</v>
      </c>
      <c r="C17" s="78"/>
      <c r="D17" s="79"/>
    </row>
    <row r="25" spans="2:4" x14ac:dyDescent="0.25">
      <c r="B25" s="4" t="s">
        <v>298</v>
      </c>
      <c r="C25" s="23">
        <f>C6*(((1+C11)^C12-1)/C11)+C5*(1+C11)^C12</f>
        <v>853021.57912675268</v>
      </c>
      <c r="D25" s="4" t="str">
        <f ca="1">_xlfn.IFNA(_xlfn.FORMULATEXT(C25),"")</f>
        <v>=C6*(((1+C11)^C12-1)/C11)+C5*(1+C11)^C12</v>
      </c>
    </row>
  </sheetData>
  <mergeCells count="1">
    <mergeCell ref="B17:D17"/>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DA129-13E6-47AA-9005-912B8722A480}">
  <sheetPr>
    <tabColor rgb="FF0000FF"/>
  </sheetPr>
  <dimension ref="A1:Q23"/>
  <sheetViews>
    <sheetView showGridLines="0" zoomScale="160" zoomScaleNormal="160" workbookViewId="0"/>
  </sheetViews>
  <sheetFormatPr defaultColWidth="8.85546875" defaultRowHeight="15" x14ac:dyDescent="0.25"/>
  <cols>
    <col min="1" max="1" width="4.85546875" bestFit="1" customWidth="1"/>
    <col min="2" max="2" width="32.140625" customWidth="1"/>
    <col min="3" max="3" width="20.7109375" customWidth="1"/>
    <col min="4" max="4" width="37.28515625" customWidth="1"/>
    <col min="5" max="5" width="10.42578125" bestFit="1" customWidth="1"/>
    <col min="7" max="7" width="3" customWidth="1"/>
  </cols>
  <sheetData>
    <row r="1" spans="1:17" ht="6" customHeight="1" x14ac:dyDescent="0.25"/>
    <row r="2" spans="1:17" x14ac:dyDescent="0.25">
      <c r="A2" s="1" t="s">
        <v>291</v>
      </c>
      <c r="B2" s="16" t="str">
        <f>"How much should be deposited today, to have $"&amp;FIXED(C5,0)&amp;" in "&amp;C7&amp;" years at an APR of "&amp;TEXT(C6,"0.00%")&amp;", compounded "&amp;_xlfn.XLOOKUP(C8,Q4:Q7,P4:P7)&amp;"?"</f>
        <v>How much should be deposited today, to have $50,000 in 18 years at an APR of 6.75%, compounded daily?</v>
      </c>
      <c r="C2" s="17"/>
      <c r="D2" s="18"/>
    </row>
    <row r="3" spans="1:17" ht="6" customHeight="1" x14ac:dyDescent="0.25"/>
    <row r="4" spans="1:17" x14ac:dyDescent="0.25">
      <c r="B4" s="15" t="s">
        <v>280</v>
      </c>
      <c r="C4" s="15" t="s">
        <v>283</v>
      </c>
      <c r="D4" s="15" t="s">
        <v>279</v>
      </c>
      <c r="P4" t="s">
        <v>284</v>
      </c>
      <c r="Q4">
        <v>365</v>
      </c>
    </row>
    <row r="5" spans="1:17" x14ac:dyDescent="0.25">
      <c r="B5" s="4" t="str">
        <f>"Amount needed in "&amp;C7&amp;" years = fv"</f>
        <v>Amount needed in 18 years = fv</v>
      </c>
      <c r="C5" s="22">
        <v>50000</v>
      </c>
      <c r="D5" s="4"/>
      <c r="P5" t="s">
        <v>285</v>
      </c>
      <c r="Q5">
        <v>12</v>
      </c>
    </row>
    <row r="6" spans="1:17" x14ac:dyDescent="0.25">
      <c r="B6" s="4" t="s">
        <v>277</v>
      </c>
      <c r="C6" s="21">
        <v>6.7500000000000004E-2</v>
      </c>
      <c r="D6" s="4"/>
      <c r="P6" t="s">
        <v>286</v>
      </c>
      <c r="Q6">
        <v>4</v>
      </c>
    </row>
    <row r="7" spans="1:17" x14ac:dyDescent="0.25">
      <c r="B7" s="4" t="s">
        <v>278</v>
      </c>
      <c r="C7" s="19">
        <v>18</v>
      </c>
      <c r="D7" s="4"/>
      <c r="P7" t="s">
        <v>287</v>
      </c>
      <c r="Q7">
        <v>1</v>
      </c>
    </row>
    <row r="8" spans="1:17" x14ac:dyDescent="0.25">
      <c r="B8" s="4" t="s">
        <v>270</v>
      </c>
      <c r="C8" s="19">
        <v>365</v>
      </c>
      <c r="D8" s="4"/>
    </row>
    <row r="9" spans="1:17" x14ac:dyDescent="0.25">
      <c r="B9" s="4" t="s">
        <v>281</v>
      </c>
      <c r="C9" s="20"/>
      <c r="D9" s="4" t="str">
        <f ca="1">_xlfn.IFNA(_xlfn.FORMULATEXT(C9),"")</f>
        <v/>
      </c>
    </row>
    <row r="10" spans="1:17" x14ac:dyDescent="0.25">
      <c r="B10" s="4" t="s">
        <v>282</v>
      </c>
      <c r="C10" s="20"/>
      <c r="D10" s="4" t="str">
        <f ca="1">_xlfn.IFNA(_xlfn.FORMULATEXT(C10),"")</f>
        <v/>
      </c>
    </row>
    <row r="11" spans="1:17" x14ac:dyDescent="0.25">
      <c r="B11" s="4" t="s">
        <v>289</v>
      </c>
      <c r="C11" s="23"/>
      <c r="D11" s="4" t="str">
        <f ca="1">_xlfn.IFNA(_xlfn.FORMULATEXT(C11),"")</f>
        <v/>
      </c>
    </row>
    <row r="13" spans="1:17" ht="18.75" x14ac:dyDescent="0.3">
      <c r="B13" s="77" t="s">
        <v>331</v>
      </c>
      <c r="C13" s="78"/>
      <c r="D13" s="79"/>
    </row>
    <row r="23" spans="7:7" x14ac:dyDescent="0.25">
      <c r="G23" s="1"/>
    </row>
  </sheetData>
  <mergeCells count="1">
    <mergeCell ref="B13:D13"/>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E02CF-7348-44FA-A7E0-D20CFA06C3C1}">
  <sheetPr>
    <tabColor rgb="FFFF0000"/>
  </sheetPr>
  <dimension ref="A1:Q23"/>
  <sheetViews>
    <sheetView showGridLines="0" zoomScale="160" zoomScaleNormal="160" workbookViewId="0"/>
  </sheetViews>
  <sheetFormatPr defaultColWidth="8.85546875" defaultRowHeight="15" x14ac:dyDescent="0.25"/>
  <cols>
    <col min="1" max="1" width="4.85546875" bestFit="1" customWidth="1"/>
    <col min="2" max="2" width="32.140625" customWidth="1"/>
    <col min="3" max="3" width="20.7109375" customWidth="1"/>
    <col min="4" max="4" width="37.28515625" customWidth="1"/>
    <col min="5" max="5" width="10.42578125" bestFit="1" customWidth="1"/>
    <col min="7" max="7" width="3" customWidth="1"/>
  </cols>
  <sheetData>
    <row r="1" spans="1:17" ht="6" customHeight="1" x14ac:dyDescent="0.25"/>
    <row r="2" spans="1:17" x14ac:dyDescent="0.25">
      <c r="A2" s="1" t="s">
        <v>291</v>
      </c>
      <c r="B2" s="16" t="str">
        <f>"How much should be deposited today, to have $"&amp;FIXED(C5,0)&amp;" in "&amp;C7&amp;" years at an APR of "&amp;TEXT(C6,"0.00%")&amp;", compounded "&amp;_xlfn.XLOOKUP(C8,Q4:Q7,P4:P7)&amp;"?"</f>
        <v>How much should be deposited today, to have $50,000 in 18 years at an APR of 6.75%, compounded daily?</v>
      </c>
      <c r="C2" s="17"/>
      <c r="D2" s="18"/>
    </row>
    <row r="3" spans="1:17" ht="6" customHeight="1" x14ac:dyDescent="0.25"/>
    <row r="4" spans="1:17" x14ac:dyDescent="0.25">
      <c r="B4" s="15" t="s">
        <v>280</v>
      </c>
      <c r="C4" s="15" t="s">
        <v>283</v>
      </c>
      <c r="D4" s="15" t="s">
        <v>279</v>
      </c>
      <c r="P4" t="s">
        <v>284</v>
      </c>
      <c r="Q4">
        <v>365</v>
      </c>
    </row>
    <row r="5" spans="1:17" x14ac:dyDescent="0.25">
      <c r="B5" s="4" t="str">
        <f>"Amount needed in "&amp;C7&amp;" years = fv"</f>
        <v>Amount needed in 18 years = fv</v>
      </c>
      <c r="C5" s="22">
        <v>50000</v>
      </c>
      <c r="D5" s="4"/>
      <c r="P5" t="s">
        <v>285</v>
      </c>
      <c r="Q5">
        <v>12</v>
      </c>
    </row>
    <row r="6" spans="1:17" x14ac:dyDescent="0.25">
      <c r="B6" s="4" t="s">
        <v>277</v>
      </c>
      <c r="C6" s="21">
        <v>6.7500000000000004E-2</v>
      </c>
      <c r="D6" s="4"/>
      <c r="P6" t="s">
        <v>286</v>
      </c>
      <c r="Q6">
        <v>4</v>
      </c>
    </row>
    <row r="7" spans="1:17" x14ac:dyDescent="0.25">
      <c r="B7" s="4" t="s">
        <v>278</v>
      </c>
      <c r="C7" s="19">
        <v>18</v>
      </c>
      <c r="D7" s="4"/>
      <c r="P7" t="s">
        <v>287</v>
      </c>
      <c r="Q7">
        <v>1</v>
      </c>
    </row>
    <row r="8" spans="1:17" x14ac:dyDescent="0.25">
      <c r="B8" s="4" t="s">
        <v>270</v>
      </c>
      <c r="C8" s="19">
        <v>365</v>
      </c>
      <c r="D8" s="4"/>
    </row>
    <row r="9" spans="1:17" x14ac:dyDescent="0.25">
      <c r="B9" s="4" t="s">
        <v>281</v>
      </c>
      <c r="C9" s="20">
        <f>C6/C8</f>
        <v>1.8493150684931509E-4</v>
      </c>
      <c r="D9" s="4" t="str">
        <f ca="1">_xlfn.IFNA(_xlfn.FORMULATEXT(C9),"")</f>
        <v>=C6/C8</v>
      </c>
    </row>
    <row r="10" spans="1:17" x14ac:dyDescent="0.25">
      <c r="B10" s="4" t="s">
        <v>282</v>
      </c>
      <c r="C10" s="20">
        <f>C7*C8</f>
        <v>6570</v>
      </c>
      <c r="D10" s="4" t="str">
        <f ca="1">_xlfn.IFNA(_xlfn.FORMULATEXT(C10),"")</f>
        <v>=C7*C8</v>
      </c>
    </row>
    <row r="11" spans="1:17" x14ac:dyDescent="0.25">
      <c r="B11" s="4" t="s">
        <v>289</v>
      </c>
      <c r="C11" s="23">
        <f>PV(C9,C10,,C5)</f>
        <v>-14837.167310383489</v>
      </c>
      <c r="D11" s="4" t="str">
        <f ca="1">_xlfn.IFNA(_xlfn.FORMULATEXT(C11),"")</f>
        <v>=PV(C9,C10,,C5)</v>
      </c>
    </row>
    <row r="13" spans="1:17" ht="18.75" x14ac:dyDescent="0.3">
      <c r="B13" s="77" t="s">
        <v>331</v>
      </c>
      <c r="C13" s="78"/>
      <c r="D13" s="79"/>
    </row>
    <row r="20" spans="2:7" x14ac:dyDescent="0.25">
      <c r="B20" s="4" t="s">
        <v>299</v>
      </c>
      <c r="C20" s="23">
        <f>-C5/(1+C9)^C10</f>
        <v>-14837.167310383489</v>
      </c>
      <c r="D20" s="4" t="str">
        <f ca="1">_xlfn.IFNA(_xlfn.FORMULATEXT(C20),"")</f>
        <v>=-C5/(1+C9)^C10</v>
      </c>
    </row>
    <row r="23" spans="2:7" x14ac:dyDescent="0.25">
      <c r="G23" s="1"/>
    </row>
  </sheetData>
  <mergeCells count="1">
    <mergeCell ref="B13:D13"/>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85332-0209-4479-92FA-1D314268D9E7}">
  <sheetPr>
    <tabColor rgb="FF0000FF"/>
  </sheetPr>
  <dimension ref="A1:Q26"/>
  <sheetViews>
    <sheetView showGridLines="0" zoomScale="160" zoomScaleNormal="160" workbookViewId="0"/>
  </sheetViews>
  <sheetFormatPr defaultColWidth="8.85546875" defaultRowHeight="15" x14ac:dyDescent="0.25"/>
  <cols>
    <col min="1" max="1" width="4.85546875" bestFit="1" customWidth="1"/>
    <col min="2" max="2" width="51.85546875" customWidth="1"/>
    <col min="3" max="3" width="20.7109375" customWidth="1"/>
    <col min="4" max="4" width="37.28515625" customWidth="1"/>
    <col min="5" max="5" width="10.42578125" bestFit="1" customWidth="1"/>
    <col min="7" max="7" width="3" customWidth="1"/>
  </cols>
  <sheetData>
    <row r="1" spans="1:17" ht="6" customHeight="1" x14ac:dyDescent="0.25"/>
    <row r="2" spans="1:17" x14ac:dyDescent="0.25">
      <c r="A2" s="1" t="s">
        <v>293</v>
      </c>
      <c r="B2" s="16" t="str">
        <f>"How much to deposited today, to withdraw $"&amp;FIXED(C5,0)&amp;" at the beginning of each month for the next "&amp;C7&amp;" years and has an APR of "&amp;TEXT(C6,"0.00%")&amp;"?"</f>
        <v>How much to deposited today, to withdraw $3,500 at the beginning of each month for the next 25 years and has an APR of 2.50%?</v>
      </c>
      <c r="C2" s="17"/>
      <c r="D2" s="18"/>
    </row>
    <row r="3" spans="1:17" ht="6" customHeight="1" x14ac:dyDescent="0.25"/>
    <row r="4" spans="1:17" x14ac:dyDescent="0.25">
      <c r="B4" s="15" t="s">
        <v>280</v>
      </c>
      <c r="C4" s="15" t="s">
        <v>283</v>
      </c>
      <c r="D4" s="15" t="s">
        <v>279</v>
      </c>
      <c r="P4" t="s">
        <v>284</v>
      </c>
      <c r="Q4">
        <v>365</v>
      </c>
    </row>
    <row r="5" spans="1:17" x14ac:dyDescent="0.25">
      <c r="B5" s="4" t="s">
        <v>292</v>
      </c>
      <c r="C5" s="22">
        <v>3500</v>
      </c>
      <c r="D5" s="4"/>
      <c r="P5" t="s">
        <v>285</v>
      </c>
      <c r="Q5">
        <v>12</v>
      </c>
    </row>
    <row r="6" spans="1:17" x14ac:dyDescent="0.25">
      <c r="B6" s="4" t="s">
        <v>277</v>
      </c>
      <c r="C6" s="21">
        <v>2.5000000000000001E-2</v>
      </c>
      <c r="D6" s="4"/>
      <c r="P6" t="s">
        <v>286</v>
      </c>
      <c r="Q6">
        <v>4</v>
      </c>
    </row>
    <row r="7" spans="1:17" x14ac:dyDescent="0.25">
      <c r="B7" s="4" t="s">
        <v>278</v>
      </c>
      <c r="C7" s="19">
        <v>25</v>
      </c>
      <c r="D7" s="4"/>
      <c r="P7" t="s">
        <v>287</v>
      </c>
      <c r="Q7">
        <v>1</v>
      </c>
    </row>
    <row r="8" spans="1:17" x14ac:dyDescent="0.25">
      <c r="B8" s="4" t="s">
        <v>270</v>
      </c>
      <c r="C8" s="19">
        <v>12</v>
      </c>
      <c r="D8" s="4"/>
    </row>
    <row r="9" spans="1:17" x14ac:dyDescent="0.25">
      <c r="B9" s="4" t="s">
        <v>294</v>
      </c>
      <c r="C9" s="19">
        <v>1</v>
      </c>
      <c r="D9" s="4"/>
    </row>
    <row r="10" spans="1:17" x14ac:dyDescent="0.25">
      <c r="B10" s="4" t="s">
        <v>281</v>
      </c>
      <c r="C10" s="20"/>
      <c r="D10" s="4" t="str">
        <f ca="1">_xlfn.IFNA(_xlfn.FORMULATEXT(C10),"")</f>
        <v/>
      </c>
    </row>
    <row r="11" spans="1:17" x14ac:dyDescent="0.25">
      <c r="B11" s="4" t="s">
        <v>282</v>
      </c>
      <c r="C11" s="20"/>
      <c r="D11" s="4" t="str">
        <f ca="1">_xlfn.IFNA(_xlfn.FORMULATEXT(C11),"")</f>
        <v/>
      </c>
    </row>
    <row r="12" spans="1:17" x14ac:dyDescent="0.25">
      <c r="B12" s="4" t="s">
        <v>289</v>
      </c>
      <c r="C12" s="23"/>
      <c r="D12" s="4" t="str">
        <f ca="1">_xlfn.IFNA(_xlfn.FORMULATEXT(C12),"")</f>
        <v/>
      </c>
    </row>
    <row r="13" spans="1:17" x14ac:dyDescent="0.25">
      <c r="B13" s="4" t="str">
        <f>"Total withdrawn over "&amp;C7&amp;" years"</f>
        <v>Total withdrawn over 25 years</v>
      </c>
      <c r="C13" s="23"/>
      <c r="D13" s="4" t="str">
        <f t="shared" ref="D13:D14" ca="1" si="0">_xlfn.IFNA(_xlfn.FORMULATEXT(C13),"")</f>
        <v/>
      </c>
    </row>
    <row r="14" spans="1:17" x14ac:dyDescent="0.25">
      <c r="B14" s="4" t="s">
        <v>306</v>
      </c>
      <c r="C14" s="23"/>
      <c r="D14" s="4" t="str">
        <f t="shared" ca="1" si="0"/>
        <v/>
      </c>
    </row>
    <row r="16" spans="1:17" ht="18.75" x14ac:dyDescent="0.3">
      <c r="B16" s="77" t="s">
        <v>331</v>
      </c>
      <c r="C16" s="78"/>
      <c r="D16" s="79"/>
    </row>
    <row r="26" spans="7:7" x14ac:dyDescent="0.25">
      <c r="G26" s="1"/>
    </row>
  </sheetData>
  <mergeCells count="1">
    <mergeCell ref="B16:D16"/>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51E1E-1D15-4FF6-A8B4-0A29A29C28E7}">
  <sheetPr>
    <tabColor rgb="FFFF0000"/>
  </sheetPr>
  <dimension ref="A1:Q26"/>
  <sheetViews>
    <sheetView showGridLines="0" zoomScale="160" zoomScaleNormal="160" workbookViewId="0"/>
  </sheetViews>
  <sheetFormatPr defaultColWidth="8.85546875" defaultRowHeight="15" x14ac:dyDescent="0.25"/>
  <cols>
    <col min="1" max="1" width="4.85546875" bestFit="1" customWidth="1"/>
    <col min="2" max="2" width="51.85546875" customWidth="1"/>
    <col min="3" max="3" width="20.7109375" customWidth="1"/>
    <col min="4" max="4" width="37.28515625" customWidth="1"/>
    <col min="5" max="5" width="10.42578125" bestFit="1" customWidth="1"/>
    <col min="7" max="7" width="3" customWidth="1"/>
  </cols>
  <sheetData>
    <row r="1" spans="1:17" ht="6" customHeight="1" x14ac:dyDescent="0.25"/>
    <row r="2" spans="1:17" x14ac:dyDescent="0.25">
      <c r="A2" s="1" t="s">
        <v>293</v>
      </c>
      <c r="B2" s="16" t="str">
        <f>"How much to deposited today, to withdraw $"&amp;FIXED(C5,0)&amp;" at the beginning of each month for the next "&amp;C7&amp;" years and has an APR of "&amp;TEXT(C6,"0.00%")&amp;"?"</f>
        <v>How much to deposited today, to withdraw $3,500 at the beginning of each month for the next 25 years and has an APR of 2.50%?</v>
      </c>
      <c r="C2" s="17"/>
      <c r="D2" s="18"/>
    </row>
    <row r="3" spans="1:17" ht="6" customHeight="1" x14ac:dyDescent="0.25"/>
    <row r="4" spans="1:17" x14ac:dyDescent="0.25">
      <c r="B4" s="15" t="s">
        <v>280</v>
      </c>
      <c r="C4" s="15" t="s">
        <v>283</v>
      </c>
      <c r="D4" s="15" t="s">
        <v>279</v>
      </c>
      <c r="P4" t="s">
        <v>284</v>
      </c>
      <c r="Q4">
        <v>365</v>
      </c>
    </row>
    <row r="5" spans="1:17" x14ac:dyDescent="0.25">
      <c r="B5" s="4" t="s">
        <v>292</v>
      </c>
      <c r="C5" s="22">
        <v>3500</v>
      </c>
      <c r="D5" s="4"/>
      <c r="P5" t="s">
        <v>285</v>
      </c>
      <c r="Q5">
        <v>12</v>
      </c>
    </row>
    <row r="6" spans="1:17" x14ac:dyDescent="0.25">
      <c r="B6" s="4" t="s">
        <v>277</v>
      </c>
      <c r="C6" s="21">
        <v>2.5000000000000001E-2</v>
      </c>
      <c r="D6" s="4"/>
      <c r="P6" t="s">
        <v>286</v>
      </c>
      <c r="Q6">
        <v>4</v>
      </c>
    </row>
    <row r="7" spans="1:17" x14ac:dyDescent="0.25">
      <c r="B7" s="4" t="s">
        <v>278</v>
      </c>
      <c r="C7" s="19">
        <v>25</v>
      </c>
      <c r="D7" s="4"/>
      <c r="P7" t="s">
        <v>287</v>
      </c>
      <c r="Q7">
        <v>1</v>
      </c>
    </row>
    <row r="8" spans="1:17" x14ac:dyDescent="0.25">
      <c r="B8" s="4" t="s">
        <v>270</v>
      </c>
      <c r="C8" s="19">
        <v>12</v>
      </c>
      <c r="D8" s="4"/>
    </row>
    <row r="9" spans="1:17" x14ac:dyDescent="0.25">
      <c r="B9" s="4" t="s">
        <v>294</v>
      </c>
      <c r="C9" s="19">
        <v>1</v>
      </c>
      <c r="D9" s="4"/>
    </row>
    <row r="10" spans="1:17" x14ac:dyDescent="0.25">
      <c r="B10" s="4" t="s">
        <v>281</v>
      </c>
      <c r="C10" s="20">
        <f>C6/C8</f>
        <v>2.0833333333333333E-3</v>
      </c>
      <c r="D10" s="4" t="str">
        <f ca="1">_xlfn.IFNA(_xlfn.FORMULATEXT(C10),"")</f>
        <v>=C6/C8</v>
      </c>
    </row>
    <row r="11" spans="1:17" x14ac:dyDescent="0.25">
      <c r="B11" s="4" t="s">
        <v>282</v>
      </c>
      <c r="C11" s="20">
        <f>C7*C8</f>
        <v>300</v>
      </c>
      <c r="D11" s="4" t="str">
        <f ca="1">_xlfn.IFNA(_xlfn.FORMULATEXT(C11),"")</f>
        <v>=C7*C8</v>
      </c>
    </row>
    <row r="12" spans="1:17" x14ac:dyDescent="0.25">
      <c r="B12" s="4" t="s">
        <v>289</v>
      </c>
      <c r="C12" s="23">
        <f>PV(C10,C11,C5,,C9)</f>
        <v>-781801.34628410952</v>
      </c>
      <c r="D12" s="4" t="str">
        <f ca="1">_xlfn.IFNA(_xlfn.FORMULATEXT(C12),"")</f>
        <v>=PV(C10,C11,C5,,C9)</v>
      </c>
    </row>
    <row r="13" spans="1:17" x14ac:dyDescent="0.25">
      <c r="B13" s="4" t="str">
        <f>"Total withdrawn over "&amp;C7&amp;" years"</f>
        <v>Total withdrawn over 25 years</v>
      </c>
      <c r="C13" s="23">
        <f>C11*C5</f>
        <v>1050000</v>
      </c>
      <c r="D13" s="4" t="str">
        <f t="shared" ref="D13:D14" ca="1" si="0">_xlfn.IFNA(_xlfn.FORMULATEXT(C13),"")</f>
        <v>=C11*C5</v>
      </c>
    </row>
    <row r="14" spans="1:17" x14ac:dyDescent="0.25">
      <c r="B14" s="4" t="s">
        <v>306</v>
      </c>
      <c r="C14" s="23">
        <f>C13+C12</f>
        <v>268198.65371589048</v>
      </c>
      <c r="D14" s="4" t="str">
        <f t="shared" ca="1" si="0"/>
        <v>=C13+C12</v>
      </c>
    </row>
    <row r="16" spans="1:17" ht="18.75" x14ac:dyDescent="0.3">
      <c r="B16" s="77" t="s">
        <v>331</v>
      </c>
      <c r="C16" s="78"/>
      <c r="D16" s="79"/>
    </row>
    <row r="24" spans="2:7" x14ac:dyDescent="0.25">
      <c r="B24" s="4" t="s">
        <v>300</v>
      </c>
      <c r="C24" s="23">
        <f>-C5*((1-(1+C10)^-(C11-1))/C10)-C5</f>
        <v>-781801.34628410952</v>
      </c>
      <c r="D24" s="4" t="str">
        <f ca="1">_xlfn.IFNA(_xlfn.FORMULATEXT(C24),"")</f>
        <v>=-C5*((1-(1+C10)^-(C11-1))/C10)-C5</v>
      </c>
    </row>
    <row r="26" spans="2:7" x14ac:dyDescent="0.25">
      <c r="G26" s="1"/>
    </row>
  </sheetData>
  <mergeCells count="1">
    <mergeCell ref="B16:D16"/>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D12DE-0A67-4351-AA1D-E8646AB8E82C}">
  <sheetPr>
    <tabColor rgb="FF0000FF"/>
  </sheetPr>
  <dimension ref="A1:Q24"/>
  <sheetViews>
    <sheetView showGridLines="0" zoomScale="160" zoomScaleNormal="160" workbookViewId="0"/>
  </sheetViews>
  <sheetFormatPr defaultColWidth="8.85546875" defaultRowHeight="15" x14ac:dyDescent="0.25"/>
  <cols>
    <col min="1" max="1" width="4.85546875" bestFit="1" customWidth="1"/>
    <col min="2" max="2" width="51.85546875" customWidth="1"/>
    <col min="3" max="3" width="21.42578125" customWidth="1"/>
    <col min="4" max="4" width="37.42578125" customWidth="1"/>
    <col min="5" max="5" width="10.42578125" bestFit="1" customWidth="1"/>
    <col min="7" max="7" width="3" customWidth="1"/>
  </cols>
  <sheetData>
    <row r="1" spans="1:17" ht="6" customHeight="1" x14ac:dyDescent="0.25"/>
    <row r="2" spans="1:17" x14ac:dyDescent="0.25">
      <c r="A2" s="1" t="s">
        <v>301</v>
      </c>
      <c r="B2" s="16" t="str">
        <f>"How much do you need to invest at the end of each month if you want $"&amp;FIXED(C5)&amp;" on the day you retire and assume a "&amp;TEXT(C6,"0.00%")&amp;" APR?"</f>
        <v>How much do you need to invest at the end of each month if you want $781,801.35 on the day you retire and assume a 10.00% APR?</v>
      </c>
      <c r="C2" s="17"/>
      <c r="D2" s="18"/>
    </row>
    <row r="3" spans="1:17" ht="6" customHeight="1" x14ac:dyDescent="0.25"/>
    <row r="4" spans="1:17" x14ac:dyDescent="0.25">
      <c r="B4" s="15" t="s">
        <v>280</v>
      </c>
      <c r="C4" s="15" t="s">
        <v>283</v>
      </c>
      <c r="D4" s="15" t="s">
        <v>279</v>
      </c>
      <c r="P4" t="s">
        <v>284</v>
      </c>
      <c r="Q4">
        <v>365</v>
      </c>
    </row>
    <row r="5" spans="1:17" x14ac:dyDescent="0.25">
      <c r="B5" s="4" t="s">
        <v>303</v>
      </c>
      <c r="C5" s="22">
        <f>-'Ch21(7an)'!C12</f>
        <v>781801.34628410952</v>
      </c>
      <c r="D5" s="4"/>
      <c r="P5" t="s">
        <v>285</v>
      </c>
      <c r="Q5">
        <v>12</v>
      </c>
    </row>
    <row r="6" spans="1:17" x14ac:dyDescent="0.25">
      <c r="B6" s="4" t="s">
        <v>277</v>
      </c>
      <c r="C6" s="21">
        <v>0.1</v>
      </c>
      <c r="D6" s="4"/>
      <c r="P6" t="s">
        <v>286</v>
      </c>
      <c r="Q6">
        <v>4</v>
      </c>
    </row>
    <row r="7" spans="1:17" x14ac:dyDescent="0.25">
      <c r="B7" s="4" t="s">
        <v>278</v>
      </c>
      <c r="C7" s="19">
        <v>35</v>
      </c>
      <c r="D7" s="4"/>
      <c r="P7" t="s">
        <v>287</v>
      </c>
      <c r="Q7">
        <v>1</v>
      </c>
    </row>
    <row r="8" spans="1:17" x14ac:dyDescent="0.25">
      <c r="B8" s="4" t="s">
        <v>270</v>
      </c>
      <c r="C8" s="19">
        <v>12</v>
      </c>
      <c r="D8" s="4"/>
    </row>
    <row r="9" spans="1:17" x14ac:dyDescent="0.25">
      <c r="B9" s="4" t="s">
        <v>294</v>
      </c>
      <c r="C9" s="19"/>
      <c r="D9" s="4"/>
    </row>
    <row r="10" spans="1:17" x14ac:dyDescent="0.25">
      <c r="B10" s="4" t="s">
        <v>281</v>
      </c>
      <c r="C10" s="20"/>
      <c r="D10" s="4" t="str">
        <f ca="1">_xlfn.IFNA(_xlfn.FORMULATEXT(C10),"")</f>
        <v/>
      </c>
    </row>
    <row r="11" spans="1:17" x14ac:dyDescent="0.25">
      <c r="B11" s="4" t="s">
        <v>282</v>
      </c>
      <c r="C11" s="20"/>
      <c r="D11" s="4" t="str">
        <f ca="1">_xlfn.IFNA(_xlfn.FORMULATEXT(C11),"")</f>
        <v/>
      </c>
    </row>
    <row r="12" spans="1:17" x14ac:dyDescent="0.25">
      <c r="B12" s="4" t="s">
        <v>307</v>
      </c>
      <c r="C12" s="23"/>
      <c r="D12" s="4" t="str">
        <f ca="1">_xlfn.IFNA(_xlfn.FORMULATEXT(C12),"")</f>
        <v/>
      </c>
    </row>
    <row r="13" spans="1:17" x14ac:dyDescent="0.25">
      <c r="B13" s="4" t="str">
        <f>"Total deposited over "&amp;C7&amp;" years"</f>
        <v>Total deposited over 35 years</v>
      </c>
      <c r="C13" s="23"/>
      <c r="D13" s="4" t="str">
        <f t="shared" ref="D13:D14" ca="1" si="0">_xlfn.IFNA(_xlfn.FORMULATEXT(C13),"")</f>
        <v/>
      </c>
    </row>
    <row r="14" spans="1:17" x14ac:dyDescent="0.25">
      <c r="B14" s="4" t="s">
        <v>306</v>
      </c>
      <c r="C14" s="23"/>
      <c r="D14" s="4" t="str">
        <f t="shared" ca="1" si="0"/>
        <v/>
      </c>
    </row>
    <row r="16" spans="1:17" ht="18.75" x14ac:dyDescent="0.3">
      <c r="B16" s="77" t="s">
        <v>332</v>
      </c>
      <c r="C16" s="78"/>
      <c r="D16" s="79"/>
    </row>
    <row r="24" spans="7:7" x14ac:dyDescent="0.25">
      <c r="G24" s="1"/>
    </row>
  </sheetData>
  <mergeCells count="1">
    <mergeCell ref="B16:D16"/>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1D681-C31C-4722-9826-1937FA6493EA}">
  <sheetPr>
    <tabColor rgb="FFFF0000"/>
  </sheetPr>
  <dimension ref="A1:Q25"/>
  <sheetViews>
    <sheetView showGridLines="0" zoomScale="160" zoomScaleNormal="160" workbookViewId="0"/>
  </sheetViews>
  <sheetFormatPr defaultColWidth="8.85546875" defaultRowHeight="15" x14ac:dyDescent="0.25"/>
  <cols>
    <col min="1" max="1" width="4.85546875" bestFit="1" customWidth="1"/>
    <col min="2" max="2" width="51.85546875" customWidth="1"/>
    <col min="3" max="3" width="21.42578125" customWidth="1"/>
    <col min="4" max="4" width="37.42578125" customWidth="1"/>
    <col min="5" max="5" width="10.42578125" bestFit="1" customWidth="1"/>
    <col min="7" max="7" width="3" customWidth="1"/>
  </cols>
  <sheetData>
    <row r="1" spans="1:17" ht="6" customHeight="1" x14ac:dyDescent="0.25"/>
    <row r="2" spans="1:17" x14ac:dyDescent="0.25">
      <c r="A2" s="1" t="s">
        <v>301</v>
      </c>
      <c r="B2" s="16" t="str">
        <f>"How much do you need to invest at the end of each month if you want $"&amp;FIXED(C5)&amp;" on the day you retire and assume a "&amp;TEXT(C6,"0.00%")&amp;" APR?"</f>
        <v>How much do you need to invest at the end of each month if you want $781,801.35 on the day you retire and assume a 10.00% APR?</v>
      </c>
      <c r="C2" s="17"/>
      <c r="D2" s="18"/>
    </row>
    <row r="3" spans="1:17" ht="6" customHeight="1" x14ac:dyDescent="0.25"/>
    <row r="4" spans="1:17" x14ac:dyDescent="0.25">
      <c r="B4" s="15" t="s">
        <v>280</v>
      </c>
      <c r="C4" s="15" t="s">
        <v>283</v>
      </c>
      <c r="D4" s="15" t="s">
        <v>279</v>
      </c>
      <c r="P4" t="s">
        <v>284</v>
      </c>
      <c r="Q4">
        <v>365</v>
      </c>
    </row>
    <row r="5" spans="1:17" x14ac:dyDescent="0.25">
      <c r="B5" s="4" t="s">
        <v>303</v>
      </c>
      <c r="C5" s="22">
        <f>-'Ch21(7an)'!C12</f>
        <v>781801.34628410952</v>
      </c>
      <c r="D5" s="4"/>
      <c r="P5" t="s">
        <v>285</v>
      </c>
      <c r="Q5">
        <v>12</v>
      </c>
    </row>
    <row r="6" spans="1:17" x14ac:dyDescent="0.25">
      <c r="B6" s="4" t="s">
        <v>277</v>
      </c>
      <c r="C6" s="21">
        <v>0.1</v>
      </c>
      <c r="D6" s="4"/>
      <c r="P6" t="s">
        <v>286</v>
      </c>
      <c r="Q6">
        <v>4</v>
      </c>
    </row>
    <row r="7" spans="1:17" x14ac:dyDescent="0.25">
      <c r="B7" s="4" t="s">
        <v>278</v>
      </c>
      <c r="C7" s="19">
        <v>35</v>
      </c>
      <c r="D7" s="4"/>
      <c r="P7" t="s">
        <v>287</v>
      </c>
      <c r="Q7">
        <v>1</v>
      </c>
    </row>
    <row r="8" spans="1:17" x14ac:dyDescent="0.25">
      <c r="B8" s="4" t="s">
        <v>270</v>
      </c>
      <c r="C8" s="19">
        <v>12</v>
      </c>
      <c r="D8" s="4"/>
    </row>
    <row r="9" spans="1:17" x14ac:dyDescent="0.25">
      <c r="B9" s="4" t="s">
        <v>294</v>
      </c>
      <c r="C9" s="19"/>
      <c r="D9" s="4"/>
    </row>
    <row r="10" spans="1:17" x14ac:dyDescent="0.25">
      <c r="B10" s="4" t="s">
        <v>281</v>
      </c>
      <c r="C10" s="20">
        <f>C6/C8</f>
        <v>8.3333333333333332E-3</v>
      </c>
      <c r="D10" s="4" t="str">
        <f ca="1">_xlfn.IFNA(_xlfn.FORMULATEXT(C10),"")</f>
        <v>=C6/C8</v>
      </c>
    </row>
    <row r="11" spans="1:17" x14ac:dyDescent="0.25">
      <c r="B11" s="4" t="s">
        <v>282</v>
      </c>
      <c r="C11" s="20">
        <f>C7*C8</f>
        <v>420</v>
      </c>
      <c r="D11" s="4" t="str">
        <f ca="1">_xlfn.IFNA(_xlfn.FORMULATEXT(C11),"")</f>
        <v>=C7*C8</v>
      </c>
    </row>
    <row r="12" spans="1:17" x14ac:dyDescent="0.25">
      <c r="B12" s="4" t="s">
        <v>307</v>
      </c>
      <c r="C12" s="23">
        <f>PMT(C10,C11,,C5)</f>
        <v>-205.91937804383244</v>
      </c>
      <c r="D12" s="4" t="str">
        <f ca="1">_xlfn.IFNA(_xlfn.FORMULATEXT(C12),"")</f>
        <v>=PMT(C10,C11,,C5)</v>
      </c>
    </row>
    <row r="13" spans="1:17" x14ac:dyDescent="0.25">
      <c r="B13" s="4" t="str">
        <f>"Total invested over "&amp;C7&amp;" years"</f>
        <v>Total invested over 35 years</v>
      </c>
      <c r="C13" s="23">
        <f>C11*-C12</f>
        <v>86486.13877840963</v>
      </c>
      <c r="D13" s="4" t="str">
        <f t="shared" ref="D13:D14" ca="1" si="0">_xlfn.IFNA(_xlfn.FORMULATEXT(C13),"")</f>
        <v>=C11*-C12</v>
      </c>
    </row>
    <row r="14" spans="1:17" x14ac:dyDescent="0.25">
      <c r="B14" s="4" t="s">
        <v>306</v>
      </c>
      <c r="C14" s="23">
        <f>C5-C13</f>
        <v>695315.20750569995</v>
      </c>
      <c r="D14" s="4" t="str">
        <f t="shared" ca="1" si="0"/>
        <v>=C5-C13</v>
      </c>
    </row>
    <row r="16" spans="1:17" ht="18.75" x14ac:dyDescent="0.3">
      <c r="B16" s="77" t="s">
        <v>332</v>
      </c>
      <c r="C16" s="78"/>
      <c r="D16" s="79"/>
    </row>
    <row r="23" spans="2:7" x14ac:dyDescent="0.25">
      <c r="B23" s="4" t="s">
        <v>302</v>
      </c>
      <c r="C23" s="23">
        <f>-C5/(((1+C10)^C11-1)/C10)</f>
        <v>-205.91937804383602</v>
      </c>
      <c r="D23" s="4" t="str">
        <f ca="1">_xlfn.IFNA(_xlfn.FORMULATEXT(C23),"")</f>
        <v>=-C5/(((1+C10)^C11-1)/C10)</v>
      </c>
    </row>
    <row r="25" spans="2:7" x14ac:dyDescent="0.25">
      <c r="G25" s="1"/>
    </row>
  </sheetData>
  <mergeCells count="1">
    <mergeCell ref="B16:D16"/>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A35BF-3850-43C2-B3CB-86BBDD76FA09}">
  <sheetPr>
    <tabColor rgb="FF0000FF"/>
  </sheetPr>
  <dimension ref="A1:Q268"/>
  <sheetViews>
    <sheetView showGridLines="0" zoomScale="122" zoomScaleNormal="122" workbookViewId="0"/>
  </sheetViews>
  <sheetFormatPr defaultColWidth="8.85546875" defaultRowHeight="15" x14ac:dyDescent="0.25"/>
  <cols>
    <col min="1" max="1" width="4.85546875" bestFit="1" customWidth="1"/>
    <col min="2" max="2" width="34.28515625" customWidth="1"/>
    <col min="3" max="3" width="16.42578125" customWidth="1"/>
    <col min="4" max="4" width="18" customWidth="1"/>
    <col min="5" max="5" width="17.28515625" bestFit="1" customWidth="1"/>
    <col min="6" max="6" width="13.140625" customWidth="1"/>
    <col min="7" max="7" width="3" customWidth="1"/>
  </cols>
  <sheetData>
    <row r="1" spans="1:17" ht="4.5" customHeight="1" x14ac:dyDescent="0.25"/>
    <row r="2" spans="1:17" x14ac:dyDescent="0.25">
      <c r="A2" s="1" t="s">
        <v>308</v>
      </c>
      <c r="B2" s="16" t="str">
        <f>"What is the monthly payment for a "&amp;C8&amp;"-year $"&amp;FIXED(C6)&amp;" home mortgage loan at "&amp;TEXT(C7,"0.00%")&amp;" APR?"</f>
        <v>What is the monthly payment for a 20-year $206,910.92 home mortgage loan at 3.50% APR?</v>
      </c>
      <c r="C2" s="17"/>
      <c r="D2" s="17"/>
      <c r="E2" s="17"/>
      <c r="F2" s="18"/>
    </row>
    <row r="3" spans="1:17" x14ac:dyDescent="0.25">
      <c r="A3" s="1" t="s">
        <v>309</v>
      </c>
      <c r="B3" s="16" t="s">
        <v>310</v>
      </c>
      <c r="C3" s="17"/>
      <c r="D3" s="17"/>
      <c r="E3" s="17"/>
      <c r="F3" s="18"/>
    </row>
    <row r="4" spans="1:17" ht="4.5" customHeight="1" x14ac:dyDescent="0.25"/>
    <row r="5" spans="1:17" x14ac:dyDescent="0.25">
      <c r="B5" s="15" t="s">
        <v>280</v>
      </c>
      <c r="C5" s="15" t="s">
        <v>283</v>
      </c>
      <c r="D5" s="15" t="s">
        <v>279</v>
      </c>
      <c r="P5" t="s">
        <v>284</v>
      </c>
      <c r="Q5">
        <v>365</v>
      </c>
    </row>
    <row r="6" spans="1:17" x14ac:dyDescent="0.25">
      <c r="B6" s="5" t="s">
        <v>327</v>
      </c>
      <c r="C6" s="22">
        <v>206910.92</v>
      </c>
      <c r="D6" s="4"/>
      <c r="P6" t="s">
        <v>285</v>
      </c>
      <c r="Q6">
        <v>12</v>
      </c>
    </row>
    <row r="7" spans="1:17" x14ac:dyDescent="0.25">
      <c r="B7" s="5" t="s">
        <v>277</v>
      </c>
      <c r="C7" s="21">
        <v>3.5000000000000003E-2</v>
      </c>
      <c r="D7" s="4"/>
      <c r="P7" t="s">
        <v>286</v>
      </c>
      <c r="Q7">
        <v>4</v>
      </c>
    </row>
    <row r="8" spans="1:17" x14ac:dyDescent="0.25">
      <c r="B8" s="5" t="s">
        <v>278</v>
      </c>
      <c r="C8" s="19">
        <v>20</v>
      </c>
      <c r="D8" s="4"/>
      <c r="P8" t="s">
        <v>287</v>
      </c>
      <c r="Q8">
        <v>1</v>
      </c>
    </row>
    <row r="9" spans="1:17" x14ac:dyDescent="0.25">
      <c r="B9" s="5" t="s">
        <v>270</v>
      </c>
      <c r="C9" s="19">
        <v>12</v>
      </c>
      <c r="D9" s="4"/>
    </row>
    <row r="10" spans="1:17" x14ac:dyDescent="0.25">
      <c r="B10" s="5" t="s">
        <v>314</v>
      </c>
      <c r="C10" s="19"/>
      <c r="D10" s="4"/>
    </row>
    <row r="11" spans="1:17" x14ac:dyDescent="0.25">
      <c r="B11" s="5" t="s">
        <v>281</v>
      </c>
      <c r="C11" s="20"/>
      <c r="D11" s="4" t="str">
        <f ca="1">_xlfn.IFNA(_xlfn.FORMULATEXT(C11),"")</f>
        <v/>
      </c>
    </row>
    <row r="12" spans="1:17" x14ac:dyDescent="0.25">
      <c r="B12" s="5" t="s">
        <v>282</v>
      </c>
      <c r="C12" s="20"/>
      <c r="D12" s="4" t="str">
        <f ca="1">_xlfn.IFNA(_xlfn.FORMULATEXT(C12),"")</f>
        <v/>
      </c>
    </row>
    <row r="13" spans="1:17" ht="15" customHeight="1" x14ac:dyDescent="0.25">
      <c r="B13" s="5" t="s">
        <v>307</v>
      </c>
      <c r="C13" s="23"/>
      <c r="D13" s="4" t="str">
        <f ca="1">_xlfn.IFNA(_xlfn.FORMULATEXT(C13),"")</f>
        <v/>
      </c>
    </row>
    <row r="14" spans="1:17" ht="5.25" customHeight="1" x14ac:dyDescent="0.25"/>
    <row r="15" spans="1:17" x14ac:dyDescent="0.25">
      <c r="B15" s="28"/>
    </row>
    <row r="18" spans="2:13" x14ac:dyDescent="0.25">
      <c r="E18" s="29"/>
    </row>
    <row r="19" spans="2:13" x14ac:dyDescent="0.25">
      <c r="E19" s="30"/>
    </row>
    <row r="20" spans="2:13" ht="5.25" customHeight="1" x14ac:dyDescent="0.25"/>
    <row r="21" spans="2:13" x14ac:dyDescent="0.25">
      <c r="B21" s="32" t="s">
        <v>317</v>
      </c>
      <c r="C21" s="32"/>
      <c r="D21" s="32"/>
      <c r="E21" s="32"/>
      <c r="F21" s="32"/>
    </row>
    <row r="22" spans="2:13" x14ac:dyDescent="0.25">
      <c r="B22" s="26" t="s">
        <v>319</v>
      </c>
      <c r="C22" s="27" t="s">
        <v>224</v>
      </c>
      <c r="D22" s="27" t="s">
        <v>311</v>
      </c>
      <c r="E22" s="27" t="s">
        <v>312</v>
      </c>
      <c r="F22" s="27" t="s">
        <v>313</v>
      </c>
      <c r="M22" t="str">
        <f>"Interest for month "&amp;B24&amp;" is the balance from previous month*period rate = $"&amp;FIXED(F23)&amp;"*"&amp;TEXT($C$11,"0.0000%")&amp;" = $"&amp;FIXED(F23*$C$11)</f>
        <v>Interest for month 1 is the balance from previous month*period rate = $0.00*0.0000% = $0.00</v>
      </c>
    </row>
    <row r="23" spans="2:13" x14ac:dyDescent="0.25">
      <c r="B23" s="4">
        <v>0</v>
      </c>
      <c r="C23" s="4"/>
      <c r="D23" s="4"/>
      <c r="E23" s="4"/>
      <c r="F23" s="31"/>
      <c r="M23" t="str">
        <f>"Interest for month "&amp;B263&amp;" is the balance from previous month*period rate = $"&amp;FIXED(F262)&amp;"*"&amp;TEXT($C$11,"0.0000%")&amp;" = $"&amp;FIXED(F262*$C$11)</f>
        <v>Interest for month 240 is the balance from previous month*period rate = $0.00*0.0000% = $0.00</v>
      </c>
    </row>
    <row r="24" spans="2:13" x14ac:dyDescent="0.25">
      <c r="B24" s="4">
        <v>1</v>
      </c>
      <c r="C24" s="31"/>
      <c r="D24" s="31"/>
      <c r="E24" s="31"/>
      <c r="F24" s="31"/>
    </row>
    <row r="25" spans="2:13" x14ac:dyDescent="0.25">
      <c r="B25" s="4">
        <v>2</v>
      </c>
      <c r="C25" s="31"/>
      <c r="D25" s="31"/>
      <c r="E25" s="31"/>
      <c r="F25" s="31"/>
    </row>
    <row r="26" spans="2:13" x14ac:dyDescent="0.25">
      <c r="B26" s="4">
        <v>3</v>
      </c>
      <c r="C26" s="31"/>
      <c r="D26" s="31"/>
      <c r="E26" s="31"/>
      <c r="F26" s="31"/>
    </row>
    <row r="27" spans="2:13" x14ac:dyDescent="0.25">
      <c r="B27" s="4">
        <v>4</v>
      </c>
      <c r="C27" s="31"/>
      <c r="D27" s="31"/>
      <c r="E27" s="31"/>
      <c r="F27" s="31"/>
    </row>
    <row r="28" spans="2:13" x14ac:dyDescent="0.25">
      <c r="B28" s="4">
        <v>5</v>
      </c>
      <c r="C28" s="31"/>
      <c r="D28" s="31"/>
      <c r="E28" s="31"/>
      <c r="F28" s="31"/>
    </row>
    <row r="29" spans="2:13" x14ac:dyDescent="0.25">
      <c r="B29" s="4">
        <v>6</v>
      </c>
      <c r="C29" s="31"/>
      <c r="D29" s="31"/>
      <c r="E29" s="31"/>
      <c r="F29" s="31"/>
    </row>
    <row r="30" spans="2:13" x14ac:dyDescent="0.25">
      <c r="B30" s="4">
        <v>7</v>
      </c>
      <c r="C30" s="31"/>
      <c r="D30" s="31"/>
      <c r="E30" s="31"/>
      <c r="F30" s="31"/>
      <c r="G30" s="1"/>
    </row>
    <row r="31" spans="2:13" x14ac:dyDescent="0.25">
      <c r="B31" s="4">
        <v>8</v>
      </c>
      <c r="C31" s="31"/>
      <c r="D31" s="31"/>
      <c r="E31" s="31"/>
      <c r="F31" s="31"/>
    </row>
    <row r="32" spans="2:13" x14ac:dyDescent="0.25">
      <c r="B32" s="4">
        <v>9</v>
      </c>
      <c r="C32" s="31"/>
      <c r="D32" s="31"/>
      <c r="E32" s="31"/>
      <c r="F32" s="31"/>
    </row>
    <row r="33" spans="2:6" x14ac:dyDescent="0.25">
      <c r="B33" s="4">
        <v>10</v>
      </c>
      <c r="C33" s="31"/>
      <c r="D33" s="31"/>
      <c r="E33" s="31"/>
      <c r="F33" s="31"/>
    </row>
    <row r="34" spans="2:6" x14ac:dyDescent="0.25">
      <c r="B34" s="4">
        <v>11</v>
      </c>
      <c r="C34" s="31"/>
      <c r="D34" s="31"/>
      <c r="E34" s="31"/>
      <c r="F34" s="31"/>
    </row>
    <row r="35" spans="2:6" x14ac:dyDescent="0.25">
      <c r="B35" s="4">
        <v>12</v>
      </c>
      <c r="C35" s="31"/>
      <c r="D35" s="31"/>
      <c r="E35" s="31"/>
      <c r="F35" s="31"/>
    </row>
    <row r="36" spans="2:6" x14ac:dyDescent="0.25">
      <c r="B36" s="4">
        <v>13</v>
      </c>
      <c r="C36" s="31"/>
      <c r="D36" s="31"/>
      <c r="E36" s="31"/>
      <c r="F36" s="31"/>
    </row>
    <row r="37" spans="2:6" x14ac:dyDescent="0.25">
      <c r="B37" s="4">
        <v>14</v>
      </c>
      <c r="C37" s="31"/>
      <c r="D37" s="31"/>
      <c r="E37" s="31"/>
      <c r="F37" s="31"/>
    </row>
    <row r="38" spans="2:6" x14ac:dyDescent="0.25">
      <c r="B38" s="4">
        <v>15</v>
      </c>
      <c r="C38" s="31"/>
      <c r="D38" s="31"/>
      <c r="E38" s="31"/>
      <c r="F38" s="31"/>
    </row>
    <row r="39" spans="2:6" x14ac:dyDescent="0.25">
      <c r="B39" s="4">
        <v>16</v>
      </c>
      <c r="C39" s="31"/>
      <c r="D39" s="31"/>
      <c r="E39" s="31"/>
      <c r="F39" s="31"/>
    </row>
    <row r="40" spans="2:6" x14ac:dyDescent="0.25">
      <c r="B40" s="4">
        <v>17</v>
      </c>
      <c r="C40" s="31"/>
      <c r="D40" s="31"/>
      <c r="E40" s="31"/>
      <c r="F40" s="31"/>
    </row>
    <row r="41" spans="2:6" x14ac:dyDescent="0.25">
      <c r="B41" s="4">
        <v>18</v>
      </c>
      <c r="C41" s="31"/>
      <c r="D41" s="31"/>
      <c r="E41" s="31"/>
      <c r="F41" s="31"/>
    </row>
    <row r="42" spans="2:6" x14ac:dyDescent="0.25">
      <c r="B42" s="4">
        <v>19</v>
      </c>
      <c r="C42" s="31"/>
      <c r="D42" s="31"/>
      <c r="E42" s="31"/>
      <c r="F42" s="31"/>
    </row>
    <row r="43" spans="2:6" x14ac:dyDescent="0.25">
      <c r="B43" s="4">
        <v>20</v>
      </c>
      <c r="C43" s="31"/>
      <c r="D43" s="31"/>
      <c r="E43" s="31"/>
      <c r="F43" s="31"/>
    </row>
    <row r="44" spans="2:6" x14ac:dyDescent="0.25">
      <c r="B44" s="4">
        <v>21</v>
      </c>
      <c r="C44" s="31"/>
      <c r="D44" s="31"/>
      <c r="E44" s="31"/>
      <c r="F44" s="31"/>
    </row>
    <row r="45" spans="2:6" x14ac:dyDescent="0.25">
      <c r="B45" s="4">
        <v>22</v>
      </c>
      <c r="C45" s="31"/>
      <c r="D45" s="31"/>
      <c r="E45" s="31"/>
      <c r="F45" s="31"/>
    </row>
    <row r="46" spans="2:6" x14ac:dyDescent="0.25">
      <c r="B46" s="4">
        <v>23</v>
      </c>
      <c r="C46" s="31"/>
      <c r="D46" s="31"/>
      <c r="E46" s="31"/>
      <c r="F46" s="31"/>
    </row>
    <row r="47" spans="2:6" x14ac:dyDescent="0.25">
      <c r="B47" s="4">
        <v>24</v>
      </c>
      <c r="C47" s="31"/>
      <c r="D47" s="31"/>
      <c r="E47" s="31"/>
      <c r="F47" s="31"/>
    </row>
    <row r="48" spans="2:6" x14ac:dyDescent="0.25">
      <c r="B48" s="4">
        <v>25</v>
      </c>
      <c r="C48" s="31"/>
      <c r="D48" s="31"/>
      <c r="E48" s="31"/>
      <c r="F48" s="31"/>
    </row>
    <row r="49" spans="2:6" x14ac:dyDescent="0.25">
      <c r="B49" s="4">
        <v>26</v>
      </c>
      <c r="C49" s="31"/>
      <c r="D49" s="31"/>
      <c r="E49" s="31"/>
      <c r="F49" s="31"/>
    </row>
    <row r="50" spans="2:6" x14ac:dyDescent="0.25">
      <c r="B50" s="4">
        <v>27</v>
      </c>
      <c r="C50" s="31"/>
      <c r="D50" s="31"/>
      <c r="E50" s="31"/>
      <c r="F50" s="31"/>
    </row>
    <row r="51" spans="2:6" x14ac:dyDescent="0.25">
      <c r="B51" s="4">
        <v>28</v>
      </c>
      <c r="C51" s="31"/>
      <c r="D51" s="31"/>
      <c r="E51" s="31"/>
      <c r="F51" s="31"/>
    </row>
    <row r="52" spans="2:6" x14ac:dyDescent="0.25">
      <c r="B52" s="4">
        <v>29</v>
      </c>
      <c r="C52" s="31"/>
      <c r="D52" s="31"/>
      <c r="E52" s="31"/>
      <c r="F52" s="31"/>
    </row>
    <row r="53" spans="2:6" x14ac:dyDescent="0.25">
      <c r="B53" s="4">
        <v>30</v>
      </c>
      <c r="C53" s="31"/>
      <c r="D53" s="31"/>
      <c r="E53" s="31"/>
      <c r="F53" s="31"/>
    </row>
    <row r="54" spans="2:6" x14ac:dyDescent="0.25">
      <c r="B54" s="4">
        <v>31</v>
      </c>
      <c r="C54" s="31"/>
      <c r="D54" s="31"/>
      <c r="E54" s="31"/>
      <c r="F54" s="31"/>
    </row>
    <row r="55" spans="2:6" x14ac:dyDescent="0.25">
      <c r="B55" s="4">
        <v>32</v>
      </c>
      <c r="C55" s="31"/>
      <c r="D55" s="31"/>
      <c r="E55" s="31"/>
      <c r="F55" s="31"/>
    </row>
    <row r="56" spans="2:6" x14ac:dyDescent="0.25">
      <c r="B56" s="4">
        <v>33</v>
      </c>
      <c r="C56" s="31"/>
      <c r="D56" s="31"/>
      <c r="E56" s="31"/>
      <c r="F56" s="31"/>
    </row>
    <row r="57" spans="2:6" x14ac:dyDescent="0.25">
      <c r="B57" s="4">
        <v>34</v>
      </c>
      <c r="C57" s="31"/>
      <c r="D57" s="31"/>
      <c r="E57" s="31"/>
      <c r="F57" s="31"/>
    </row>
    <row r="58" spans="2:6" x14ac:dyDescent="0.25">
      <c r="B58" s="4">
        <v>35</v>
      </c>
      <c r="C58" s="31"/>
      <c r="D58" s="31"/>
      <c r="E58" s="31"/>
      <c r="F58" s="31"/>
    </row>
    <row r="59" spans="2:6" x14ac:dyDescent="0.25">
      <c r="B59" s="4">
        <v>36</v>
      </c>
      <c r="C59" s="31"/>
      <c r="D59" s="31"/>
      <c r="E59" s="31"/>
      <c r="F59" s="31"/>
    </row>
    <row r="60" spans="2:6" x14ac:dyDescent="0.25">
      <c r="B60" s="4">
        <v>37</v>
      </c>
      <c r="C60" s="31"/>
      <c r="D60" s="31"/>
      <c r="E60" s="31"/>
      <c r="F60" s="31"/>
    </row>
    <row r="61" spans="2:6" x14ac:dyDescent="0.25">
      <c r="B61" s="4">
        <v>38</v>
      </c>
      <c r="C61" s="31"/>
      <c r="D61" s="31"/>
      <c r="E61" s="31"/>
      <c r="F61" s="31"/>
    </row>
    <row r="62" spans="2:6" x14ac:dyDescent="0.25">
      <c r="B62" s="4">
        <v>39</v>
      </c>
      <c r="C62" s="31"/>
      <c r="D62" s="31"/>
      <c r="E62" s="31"/>
      <c r="F62" s="31"/>
    </row>
    <row r="63" spans="2:6" x14ac:dyDescent="0.25">
      <c r="B63" s="4">
        <v>40</v>
      </c>
      <c r="C63" s="31"/>
      <c r="D63" s="31"/>
      <c r="E63" s="31"/>
      <c r="F63" s="31"/>
    </row>
    <row r="64" spans="2:6" x14ac:dyDescent="0.25">
      <c r="B64" s="4">
        <v>41</v>
      </c>
      <c r="C64" s="31"/>
      <c r="D64" s="31"/>
      <c r="E64" s="31"/>
      <c r="F64" s="31"/>
    </row>
    <row r="65" spans="2:6" x14ac:dyDescent="0.25">
      <c r="B65" s="4">
        <v>42</v>
      </c>
      <c r="C65" s="31"/>
      <c r="D65" s="31"/>
      <c r="E65" s="31"/>
      <c r="F65" s="31"/>
    </row>
    <row r="66" spans="2:6" x14ac:dyDescent="0.25">
      <c r="B66" s="4">
        <v>43</v>
      </c>
      <c r="C66" s="31"/>
      <c r="D66" s="31"/>
      <c r="E66" s="31"/>
      <c r="F66" s="31"/>
    </row>
    <row r="67" spans="2:6" x14ac:dyDescent="0.25">
      <c r="B67" s="4">
        <v>44</v>
      </c>
      <c r="C67" s="31"/>
      <c r="D67" s="31"/>
      <c r="E67" s="31"/>
      <c r="F67" s="31"/>
    </row>
    <row r="68" spans="2:6" x14ac:dyDescent="0.25">
      <c r="B68" s="4">
        <v>45</v>
      </c>
      <c r="C68" s="31"/>
      <c r="D68" s="31"/>
      <c r="E68" s="31"/>
      <c r="F68" s="31"/>
    </row>
    <row r="69" spans="2:6" x14ac:dyDescent="0.25">
      <c r="B69" s="4">
        <v>46</v>
      </c>
      <c r="C69" s="31"/>
      <c r="D69" s="31"/>
      <c r="E69" s="31"/>
      <c r="F69" s="31"/>
    </row>
    <row r="70" spans="2:6" x14ac:dyDescent="0.25">
      <c r="B70" s="4">
        <v>47</v>
      </c>
      <c r="C70" s="31"/>
      <c r="D70" s="31"/>
      <c r="E70" s="31"/>
      <c r="F70" s="31"/>
    </row>
    <row r="71" spans="2:6" x14ac:dyDescent="0.25">
      <c r="B71" s="4">
        <v>48</v>
      </c>
      <c r="C71" s="31"/>
      <c r="D71" s="31"/>
      <c r="E71" s="31"/>
      <c r="F71" s="31"/>
    </row>
    <row r="72" spans="2:6" x14ac:dyDescent="0.25">
      <c r="B72" s="4">
        <v>49</v>
      </c>
      <c r="C72" s="31"/>
      <c r="D72" s="31"/>
      <c r="E72" s="31"/>
      <c r="F72" s="31"/>
    </row>
    <row r="73" spans="2:6" x14ac:dyDescent="0.25">
      <c r="B73" s="4">
        <v>50</v>
      </c>
      <c r="C73" s="31"/>
      <c r="D73" s="31"/>
      <c r="E73" s="31"/>
      <c r="F73" s="31"/>
    </row>
    <row r="74" spans="2:6" x14ac:dyDescent="0.25">
      <c r="B74" s="4">
        <v>51</v>
      </c>
      <c r="C74" s="31"/>
      <c r="D74" s="31"/>
      <c r="E74" s="31"/>
      <c r="F74" s="31"/>
    </row>
    <row r="75" spans="2:6" x14ac:dyDescent="0.25">
      <c r="B75" s="4">
        <v>52</v>
      </c>
      <c r="C75" s="31"/>
      <c r="D75" s="31"/>
      <c r="E75" s="31"/>
      <c r="F75" s="31"/>
    </row>
    <row r="76" spans="2:6" x14ac:dyDescent="0.25">
      <c r="B76" s="4">
        <v>53</v>
      </c>
      <c r="C76" s="31"/>
      <c r="D76" s="31"/>
      <c r="E76" s="31"/>
      <c r="F76" s="31"/>
    </row>
    <row r="77" spans="2:6" x14ac:dyDescent="0.25">
      <c r="B77" s="4">
        <v>54</v>
      </c>
      <c r="C77" s="31"/>
      <c r="D77" s="31"/>
      <c r="E77" s="31"/>
      <c r="F77" s="31"/>
    </row>
    <row r="78" spans="2:6" x14ac:dyDescent="0.25">
      <c r="B78" s="4">
        <v>55</v>
      </c>
      <c r="C78" s="31"/>
      <c r="D78" s="31"/>
      <c r="E78" s="31"/>
      <c r="F78" s="31"/>
    </row>
    <row r="79" spans="2:6" x14ac:dyDescent="0.25">
      <c r="B79" s="4">
        <v>56</v>
      </c>
      <c r="C79" s="31"/>
      <c r="D79" s="31"/>
      <c r="E79" s="31"/>
      <c r="F79" s="31"/>
    </row>
    <row r="80" spans="2:6" x14ac:dyDescent="0.25">
      <c r="B80" s="4">
        <v>57</v>
      </c>
      <c r="C80" s="31"/>
      <c r="D80" s="31"/>
      <c r="E80" s="31"/>
      <c r="F80" s="31"/>
    </row>
    <row r="81" spans="2:6" x14ac:dyDescent="0.25">
      <c r="B81" s="4">
        <v>58</v>
      </c>
      <c r="C81" s="31"/>
      <c r="D81" s="31"/>
      <c r="E81" s="31"/>
      <c r="F81" s="31"/>
    </row>
    <row r="82" spans="2:6" x14ac:dyDescent="0.25">
      <c r="B82" s="4">
        <v>59</v>
      </c>
      <c r="C82" s="31"/>
      <c r="D82" s="31"/>
      <c r="E82" s="31"/>
      <c r="F82" s="31"/>
    </row>
    <row r="83" spans="2:6" x14ac:dyDescent="0.25">
      <c r="B83" s="4">
        <v>60</v>
      </c>
      <c r="C83" s="31"/>
      <c r="D83" s="31"/>
      <c r="E83" s="31"/>
      <c r="F83" s="31"/>
    </row>
    <row r="84" spans="2:6" x14ac:dyDescent="0.25">
      <c r="B84" s="4">
        <v>61</v>
      </c>
      <c r="C84" s="31"/>
      <c r="D84" s="31"/>
      <c r="E84" s="31"/>
      <c r="F84" s="31"/>
    </row>
    <row r="85" spans="2:6" x14ac:dyDescent="0.25">
      <c r="B85" s="4">
        <v>62</v>
      </c>
      <c r="C85" s="31"/>
      <c r="D85" s="31"/>
      <c r="E85" s="31"/>
      <c r="F85" s="31"/>
    </row>
    <row r="86" spans="2:6" x14ac:dyDescent="0.25">
      <c r="B86" s="4">
        <v>63</v>
      </c>
      <c r="C86" s="31"/>
      <c r="D86" s="31"/>
      <c r="E86" s="31"/>
      <c r="F86" s="31"/>
    </row>
    <row r="87" spans="2:6" x14ac:dyDescent="0.25">
      <c r="B87" s="4">
        <v>64</v>
      </c>
      <c r="C87" s="31"/>
      <c r="D87" s="31"/>
      <c r="E87" s="31"/>
      <c r="F87" s="31"/>
    </row>
    <row r="88" spans="2:6" x14ac:dyDescent="0.25">
      <c r="B88" s="4">
        <v>65</v>
      </c>
      <c r="C88" s="31"/>
      <c r="D88" s="31"/>
      <c r="E88" s="31"/>
      <c r="F88" s="31"/>
    </row>
    <row r="89" spans="2:6" x14ac:dyDescent="0.25">
      <c r="B89" s="4">
        <v>66</v>
      </c>
      <c r="C89" s="31"/>
      <c r="D89" s="31"/>
      <c r="E89" s="31"/>
      <c r="F89" s="31"/>
    </row>
    <row r="90" spans="2:6" x14ac:dyDescent="0.25">
      <c r="B90" s="4">
        <v>67</v>
      </c>
      <c r="C90" s="31"/>
      <c r="D90" s="31"/>
      <c r="E90" s="31"/>
      <c r="F90" s="31"/>
    </row>
    <row r="91" spans="2:6" x14ac:dyDescent="0.25">
      <c r="B91" s="4">
        <v>68</v>
      </c>
      <c r="C91" s="31"/>
      <c r="D91" s="31"/>
      <c r="E91" s="31"/>
      <c r="F91" s="31"/>
    </row>
    <row r="92" spans="2:6" x14ac:dyDescent="0.25">
      <c r="B92" s="4">
        <v>69</v>
      </c>
      <c r="C92" s="31"/>
      <c r="D92" s="31"/>
      <c r="E92" s="31"/>
      <c r="F92" s="31"/>
    </row>
    <row r="93" spans="2:6" x14ac:dyDescent="0.25">
      <c r="B93" s="4">
        <v>70</v>
      </c>
      <c r="C93" s="31"/>
      <c r="D93" s="31"/>
      <c r="E93" s="31"/>
      <c r="F93" s="31"/>
    </row>
    <row r="94" spans="2:6" x14ac:dyDescent="0.25">
      <c r="B94" s="4">
        <v>71</v>
      </c>
      <c r="C94" s="31"/>
      <c r="D94" s="31"/>
      <c r="E94" s="31"/>
      <c r="F94" s="31"/>
    </row>
    <row r="95" spans="2:6" x14ac:dyDescent="0.25">
      <c r="B95" s="4">
        <v>72</v>
      </c>
      <c r="C95" s="31"/>
      <c r="D95" s="31"/>
      <c r="E95" s="31"/>
      <c r="F95" s="31"/>
    </row>
    <row r="96" spans="2:6" x14ac:dyDescent="0.25">
      <c r="B96" s="4">
        <v>73</v>
      </c>
      <c r="C96" s="31"/>
      <c r="D96" s="31"/>
      <c r="E96" s="31"/>
      <c r="F96" s="31"/>
    </row>
    <row r="97" spans="2:6" x14ac:dyDescent="0.25">
      <c r="B97" s="4">
        <v>74</v>
      </c>
      <c r="C97" s="31"/>
      <c r="D97" s="31"/>
      <c r="E97" s="31"/>
      <c r="F97" s="31"/>
    </row>
    <row r="98" spans="2:6" x14ac:dyDescent="0.25">
      <c r="B98" s="4">
        <v>75</v>
      </c>
      <c r="C98" s="31"/>
      <c r="D98" s="31"/>
      <c r="E98" s="31"/>
      <c r="F98" s="31"/>
    </row>
    <row r="99" spans="2:6" x14ac:dyDescent="0.25">
      <c r="B99" s="4">
        <v>76</v>
      </c>
      <c r="C99" s="31"/>
      <c r="D99" s="31"/>
      <c r="E99" s="31"/>
      <c r="F99" s="31"/>
    </row>
    <row r="100" spans="2:6" x14ac:dyDescent="0.25">
      <c r="B100" s="4">
        <v>77</v>
      </c>
      <c r="C100" s="31"/>
      <c r="D100" s="31"/>
      <c r="E100" s="31"/>
      <c r="F100" s="31"/>
    </row>
    <row r="101" spans="2:6" x14ac:dyDescent="0.25">
      <c r="B101" s="4">
        <v>78</v>
      </c>
      <c r="C101" s="31"/>
      <c r="D101" s="31"/>
      <c r="E101" s="31"/>
      <c r="F101" s="31"/>
    </row>
    <row r="102" spans="2:6" x14ac:dyDescent="0.25">
      <c r="B102" s="4">
        <v>79</v>
      </c>
      <c r="C102" s="31"/>
      <c r="D102" s="31"/>
      <c r="E102" s="31"/>
      <c r="F102" s="31"/>
    </row>
    <row r="103" spans="2:6" x14ac:dyDescent="0.25">
      <c r="B103" s="4">
        <v>80</v>
      </c>
      <c r="C103" s="31"/>
      <c r="D103" s="31"/>
      <c r="E103" s="31"/>
      <c r="F103" s="31"/>
    </row>
    <row r="104" spans="2:6" x14ac:dyDescent="0.25">
      <c r="B104" s="4">
        <v>81</v>
      </c>
      <c r="C104" s="31"/>
      <c r="D104" s="31"/>
      <c r="E104" s="31"/>
      <c r="F104" s="31"/>
    </row>
    <row r="105" spans="2:6" x14ac:dyDescent="0.25">
      <c r="B105" s="4">
        <v>82</v>
      </c>
      <c r="C105" s="31"/>
      <c r="D105" s="31"/>
      <c r="E105" s="31"/>
      <c r="F105" s="31"/>
    </row>
    <row r="106" spans="2:6" x14ac:dyDescent="0.25">
      <c r="B106" s="4">
        <v>83</v>
      </c>
      <c r="C106" s="31"/>
      <c r="D106" s="31"/>
      <c r="E106" s="31"/>
      <c r="F106" s="31"/>
    </row>
    <row r="107" spans="2:6" x14ac:dyDescent="0.25">
      <c r="B107" s="4">
        <v>84</v>
      </c>
      <c r="C107" s="31"/>
      <c r="D107" s="31"/>
      <c r="E107" s="31"/>
      <c r="F107" s="31"/>
    </row>
    <row r="108" spans="2:6" x14ac:dyDescent="0.25">
      <c r="B108" s="4">
        <v>85</v>
      </c>
      <c r="C108" s="31"/>
      <c r="D108" s="31"/>
      <c r="E108" s="31"/>
      <c r="F108" s="31"/>
    </row>
    <row r="109" spans="2:6" x14ac:dyDescent="0.25">
      <c r="B109" s="4">
        <v>86</v>
      </c>
      <c r="C109" s="31"/>
      <c r="D109" s="31"/>
      <c r="E109" s="31"/>
      <c r="F109" s="31"/>
    </row>
    <row r="110" spans="2:6" x14ac:dyDescent="0.25">
      <c r="B110" s="4">
        <v>87</v>
      </c>
      <c r="C110" s="31"/>
      <c r="D110" s="31"/>
      <c r="E110" s="31"/>
      <c r="F110" s="31"/>
    </row>
    <row r="111" spans="2:6" x14ac:dyDescent="0.25">
      <c r="B111" s="4">
        <v>88</v>
      </c>
      <c r="C111" s="31"/>
      <c r="D111" s="31"/>
      <c r="E111" s="31"/>
      <c r="F111" s="31"/>
    </row>
    <row r="112" spans="2:6" x14ac:dyDescent="0.25">
      <c r="B112" s="4">
        <v>89</v>
      </c>
      <c r="C112" s="31"/>
      <c r="D112" s="31"/>
      <c r="E112" s="31"/>
      <c r="F112" s="31"/>
    </row>
    <row r="113" spans="2:6" x14ac:dyDescent="0.25">
      <c r="B113" s="4">
        <v>90</v>
      </c>
      <c r="C113" s="31"/>
      <c r="D113" s="31"/>
      <c r="E113" s="31"/>
      <c r="F113" s="31"/>
    </row>
    <row r="114" spans="2:6" x14ac:dyDescent="0.25">
      <c r="B114" s="4">
        <v>91</v>
      </c>
      <c r="C114" s="31"/>
      <c r="D114" s="31"/>
      <c r="E114" s="31"/>
      <c r="F114" s="31"/>
    </row>
    <row r="115" spans="2:6" x14ac:dyDescent="0.25">
      <c r="B115" s="4">
        <v>92</v>
      </c>
      <c r="C115" s="31"/>
      <c r="D115" s="31"/>
      <c r="E115" s="31"/>
      <c r="F115" s="31"/>
    </row>
    <row r="116" spans="2:6" x14ac:dyDescent="0.25">
      <c r="B116" s="4">
        <v>93</v>
      </c>
      <c r="C116" s="31"/>
      <c r="D116" s="31"/>
      <c r="E116" s="31"/>
      <c r="F116" s="31"/>
    </row>
    <row r="117" spans="2:6" x14ac:dyDescent="0.25">
      <c r="B117" s="4">
        <v>94</v>
      </c>
      <c r="C117" s="31"/>
      <c r="D117" s="31"/>
      <c r="E117" s="31"/>
      <c r="F117" s="31"/>
    </row>
    <row r="118" spans="2:6" x14ac:dyDescent="0.25">
      <c r="B118" s="4">
        <v>95</v>
      </c>
      <c r="C118" s="31"/>
      <c r="D118" s="31"/>
      <c r="E118" s="31"/>
      <c r="F118" s="31"/>
    </row>
    <row r="119" spans="2:6" x14ac:dyDescent="0.25">
      <c r="B119" s="4">
        <v>96</v>
      </c>
      <c r="C119" s="31"/>
      <c r="D119" s="31"/>
      <c r="E119" s="31"/>
      <c r="F119" s="31"/>
    </row>
    <row r="120" spans="2:6" x14ac:dyDescent="0.25">
      <c r="B120" s="4">
        <v>97</v>
      </c>
      <c r="C120" s="31"/>
      <c r="D120" s="31"/>
      <c r="E120" s="31"/>
      <c r="F120" s="31"/>
    </row>
    <row r="121" spans="2:6" x14ac:dyDescent="0.25">
      <c r="B121" s="4">
        <v>98</v>
      </c>
      <c r="C121" s="31"/>
      <c r="D121" s="31"/>
      <c r="E121" s="31"/>
      <c r="F121" s="31"/>
    </row>
    <row r="122" spans="2:6" x14ac:dyDescent="0.25">
      <c r="B122" s="4">
        <v>99</v>
      </c>
      <c r="C122" s="31"/>
      <c r="D122" s="31"/>
      <c r="E122" s="31"/>
      <c r="F122" s="31"/>
    </row>
    <row r="123" spans="2:6" x14ac:dyDescent="0.25">
      <c r="B123" s="4">
        <v>100</v>
      </c>
      <c r="C123" s="31"/>
      <c r="D123" s="31"/>
      <c r="E123" s="31"/>
      <c r="F123" s="31"/>
    </row>
    <row r="124" spans="2:6" x14ac:dyDescent="0.25">
      <c r="B124" s="4">
        <v>101</v>
      </c>
      <c r="C124" s="31"/>
      <c r="D124" s="31"/>
      <c r="E124" s="31"/>
      <c r="F124" s="31"/>
    </row>
    <row r="125" spans="2:6" x14ac:dyDescent="0.25">
      <c r="B125" s="4">
        <v>102</v>
      </c>
      <c r="C125" s="31"/>
      <c r="D125" s="31"/>
      <c r="E125" s="31"/>
      <c r="F125" s="31"/>
    </row>
    <row r="126" spans="2:6" x14ac:dyDescent="0.25">
      <c r="B126" s="4">
        <v>103</v>
      </c>
      <c r="C126" s="31"/>
      <c r="D126" s="31"/>
      <c r="E126" s="31"/>
      <c r="F126" s="31"/>
    </row>
    <row r="127" spans="2:6" x14ac:dyDescent="0.25">
      <c r="B127" s="4">
        <v>104</v>
      </c>
      <c r="C127" s="31"/>
      <c r="D127" s="31"/>
      <c r="E127" s="31"/>
      <c r="F127" s="31"/>
    </row>
    <row r="128" spans="2:6" x14ac:dyDescent="0.25">
      <c r="B128" s="4">
        <v>105</v>
      </c>
      <c r="C128" s="31"/>
      <c r="D128" s="31"/>
      <c r="E128" s="31"/>
      <c r="F128" s="31"/>
    </row>
    <row r="129" spans="2:6" x14ac:dyDescent="0.25">
      <c r="B129" s="4">
        <v>106</v>
      </c>
      <c r="C129" s="31"/>
      <c r="D129" s="31"/>
      <c r="E129" s="31"/>
      <c r="F129" s="31"/>
    </row>
    <row r="130" spans="2:6" x14ac:dyDescent="0.25">
      <c r="B130" s="4">
        <v>107</v>
      </c>
      <c r="C130" s="31"/>
      <c r="D130" s="31"/>
      <c r="E130" s="31"/>
      <c r="F130" s="31"/>
    </row>
    <row r="131" spans="2:6" x14ac:dyDescent="0.25">
      <c r="B131" s="4">
        <v>108</v>
      </c>
      <c r="C131" s="31"/>
      <c r="D131" s="31"/>
      <c r="E131" s="31"/>
      <c r="F131" s="31"/>
    </row>
    <row r="132" spans="2:6" x14ac:dyDescent="0.25">
      <c r="B132" s="4">
        <v>109</v>
      </c>
      <c r="C132" s="31"/>
      <c r="D132" s="31"/>
      <c r="E132" s="31"/>
      <c r="F132" s="31"/>
    </row>
    <row r="133" spans="2:6" x14ac:dyDescent="0.25">
      <c r="B133" s="4">
        <v>110</v>
      </c>
      <c r="C133" s="31"/>
      <c r="D133" s="31"/>
      <c r="E133" s="31"/>
      <c r="F133" s="31"/>
    </row>
    <row r="134" spans="2:6" x14ac:dyDescent="0.25">
      <c r="B134" s="4">
        <v>111</v>
      </c>
      <c r="C134" s="31"/>
      <c r="D134" s="31"/>
      <c r="E134" s="31"/>
      <c r="F134" s="31"/>
    </row>
    <row r="135" spans="2:6" x14ac:dyDescent="0.25">
      <c r="B135" s="4">
        <v>112</v>
      </c>
      <c r="C135" s="31"/>
      <c r="D135" s="31"/>
      <c r="E135" s="31"/>
      <c r="F135" s="31"/>
    </row>
    <row r="136" spans="2:6" x14ac:dyDescent="0.25">
      <c r="B136" s="4">
        <v>113</v>
      </c>
      <c r="C136" s="31"/>
      <c r="D136" s="31"/>
      <c r="E136" s="31"/>
      <c r="F136" s="31"/>
    </row>
    <row r="137" spans="2:6" x14ac:dyDescent="0.25">
      <c r="B137" s="4">
        <v>114</v>
      </c>
      <c r="C137" s="31"/>
      <c r="D137" s="31"/>
      <c r="E137" s="31"/>
      <c r="F137" s="31"/>
    </row>
    <row r="138" spans="2:6" x14ac:dyDescent="0.25">
      <c r="B138" s="4">
        <v>115</v>
      </c>
      <c r="C138" s="31"/>
      <c r="D138" s="31"/>
      <c r="E138" s="31"/>
      <c r="F138" s="31"/>
    </row>
    <row r="139" spans="2:6" x14ac:dyDescent="0.25">
      <c r="B139" s="4">
        <v>116</v>
      </c>
      <c r="C139" s="31"/>
      <c r="D139" s="31"/>
      <c r="E139" s="31"/>
      <c r="F139" s="31"/>
    </row>
    <row r="140" spans="2:6" x14ac:dyDescent="0.25">
      <c r="B140" s="4">
        <v>117</v>
      </c>
      <c r="C140" s="31"/>
      <c r="D140" s="31"/>
      <c r="E140" s="31"/>
      <c r="F140" s="31"/>
    </row>
    <row r="141" spans="2:6" x14ac:dyDescent="0.25">
      <c r="B141" s="4">
        <v>118</v>
      </c>
      <c r="C141" s="31"/>
      <c r="D141" s="31"/>
      <c r="E141" s="31"/>
      <c r="F141" s="31"/>
    </row>
    <row r="142" spans="2:6" x14ac:dyDescent="0.25">
      <c r="B142" s="4">
        <v>119</v>
      </c>
      <c r="C142" s="31"/>
      <c r="D142" s="31"/>
      <c r="E142" s="31"/>
      <c r="F142" s="31"/>
    </row>
    <row r="143" spans="2:6" x14ac:dyDescent="0.25">
      <c r="B143" s="4">
        <v>120</v>
      </c>
      <c r="C143" s="31"/>
      <c r="D143" s="31"/>
      <c r="E143" s="31"/>
      <c r="F143" s="31"/>
    </row>
    <row r="144" spans="2:6" x14ac:dyDescent="0.25">
      <c r="B144" s="4">
        <v>121</v>
      </c>
      <c r="C144" s="31"/>
      <c r="D144" s="31"/>
      <c r="E144" s="31"/>
      <c r="F144" s="31"/>
    </row>
    <row r="145" spans="2:6" x14ac:dyDescent="0.25">
      <c r="B145" s="4">
        <v>122</v>
      </c>
      <c r="C145" s="31"/>
      <c r="D145" s="31"/>
      <c r="E145" s="31"/>
      <c r="F145" s="31"/>
    </row>
    <row r="146" spans="2:6" x14ac:dyDescent="0.25">
      <c r="B146" s="4">
        <v>123</v>
      </c>
      <c r="C146" s="31"/>
      <c r="D146" s="31"/>
      <c r="E146" s="31"/>
      <c r="F146" s="31"/>
    </row>
    <row r="147" spans="2:6" x14ac:dyDescent="0.25">
      <c r="B147" s="4">
        <v>124</v>
      </c>
      <c r="C147" s="31"/>
      <c r="D147" s="31"/>
      <c r="E147" s="31"/>
      <c r="F147" s="31"/>
    </row>
    <row r="148" spans="2:6" x14ac:dyDescent="0.25">
      <c r="B148" s="4">
        <v>125</v>
      </c>
      <c r="C148" s="31"/>
      <c r="D148" s="31"/>
      <c r="E148" s="31"/>
      <c r="F148" s="31"/>
    </row>
    <row r="149" spans="2:6" x14ac:dyDescent="0.25">
      <c r="B149" s="4">
        <v>126</v>
      </c>
      <c r="C149" s="31"/>
      <c r="D149" s="31"/>
      <c r="E149" s="31"/>
      <c r="F149" s="31"/>
    </row>
    <row r="150" spans="2:6" x14ac:dyDescent="0.25">
      <c r="B150" s="4">
        <v>127</v>
      </c>
      <c r="C150" s="31"/>
      <c r="D150" s="31"/>
      <c r="E150" s="31"/>
      <c r="F150" s="31"/>
    </row>
    <row r="151" spans="2:6" x14ac:dyDescent="0.25">
      <c r="B151" s="4">
        <v>128</v>
      </c>
      <c r="C151" s="31"/>
      <c r="D151" s="31"/>
      <c r="E151" s="31"/>
      <c r="F151" s="31"/>
    </row>
    <row r="152" spans="2:6" x14ac:dyDescent="0.25">
      <c r="B152" s="4">
        <v>129</v>
      </c>
      <c r="C152" s="31"/>
      <c r="D152" s="31"/>
      <c r="E152" s="31"/>
      <c r="F152" s="31"/>
    </row>
    <row r="153" spans="2:6" x14ac:dyDescent="0.25">
      <c r="B153" s="4">
        <v>130</v>
      </c>
      <c r="C153" s="31"/>
      <c r="D153" s="31"/>
      <c r="E153" s="31"/>
      <c r="F153" s="31"/>
    </row>
    <row r="154" spans="2:6" x14ac:dyDescent="0.25">
      <c r="B154" s="4">
        <v>131</v>
      </c>
      <c r="C154" s="31"/>
      <c r="D154" s="31"/>
      <c r="E154" s="31"/>
      <c r="F154" s="31"/>
    </row>
    <row r="155" spans="2:6" x14ac:dyDescent="0.25">
      <c r="B155" s="4">
        <v>132</v>
      </c>
      <c r="C155" s="31"/>
      <c r="D155" s="31"/>
      <c r="E155" s="31"/>
      <c r="F155" s="31"/>
    </row>
    <row r="156" spans="2:6" x14ac:dyDescent="0.25">
      <c r="B156" s="4">
        <v>133</v>
      </c>
      <c r="C156" s="31"/>
      <c r="D156" s="31"/>
      <c r="E156" s="31"/>
      <c r="F156" s="31"/>
    </row>
    <row r="157" spans="2:6" x14ac:dyDescent="0.25">
      <c r="B157" s="4">
        <v>134</v>
      </c>
      <c r="C157" s="31"/>
      <c r="D157" s="31"/>
      <c r="E157" s="31"/>
      <c r="F157" s="31"/>
    </row>
    <row r="158" spans="2:6" x14ac:dyDescent="0.25">
      <c r="B158" s="4">
        <v>135</v>
      </c>
      <c r="C158" s="31"/>
      <c r="D158" s="31"/>
      <c r="E158" s="31"/>
      <c r="F158" s="31"/>
    </row>
    <row r="159" spans="2:6" x14ac:dyDescent="0.25">
      <c r="B159" s="4">
        <v>136</v>
      </c>
      <c r="C159" s="31"/>
      <c r="D159" s="31"/>
      <c r="E159" s="31"/>
      <c r="F159" s="31"/>
    </row>
    <row r="160" spans="2:6" x14ac:dyDescent="0.25">
      <c r="B160" s="4">
        <v>137</v>
      </c>
      <c r="C160" s="31"/>
      <c r="D160" s="31"/>
      <c r="E160" s="31"/>
      <c r="F160" s="31"/>
    </row>
    <row r="161" spans="2:6" x14ac:dyDescent="0.25">
      <c r="B161" s="4">
        <v>138</v>
      </c>
      <c r="C161" s="31"/>
      <c r="D161" s="31"/>
      <c r="E161" s="31"/>
      <c r="F161" s="31"/>
    </row>
    <row r="162" spans="2:6" x14ac:dyDescent="0.25">
      <c r="B162" s="4">
        <v>139</v>
      </c>
      <c r="C162" s="31"/>
      <c r="D162" s="31"/>
      <c r="E162" s="31"/>
      <c r="F162" s="31"/>
    </row>
    <row r="163" spans="2:6" x14ac:dyDescent="0.25">
      <c r="B163" s="4">
        <v>140</v>
      </c>
      <c r="C163" s="31"/>
      <c r="D163" s="31"/>
      <c r="E163" s="31"/>
      <c r="F163" s="31"/>
    </row>
    <row r="164" spans="2:6" x14ac:dyDescent="0.25">
      <c r="B164" s="4">
        <v>141</v>
      </c>
      <c r="C164" s="31"/>
      <c r="D164" s="31"/>
      <c r="E164" s="31"/>
      <c r="F164" s="31"/>
    </row>
    <row r="165" spans="2:6" x14ac:dyDescent="0.25">
      <c r="B165" s="4">
        <v>142</v>
      </c>
      <c r="C165" s="31"/>
      <c r="D165" s="31"/>
      <c r="E165" s="31"/>
      <c r="F165" s="31"/>
    </row>
    <row r="166" spans="2:6" x14ac:dyDescent="0.25">
      <c r="B166" s="4">
        <v>143</v>
      </c>
      <c r="C166" s="31"/>
      <c r="D166" s="31"/>
      <c r="E166" s="31"/>
      <c r="F166" s="31"/>
    </row>
    <row r="167" spans="2:6" x14ac:dyDescent="0.25">
      <c r="B167" s="4">
        <v>144</v>
      </c>
      <c r="C167" s="31"/>
      <c r="D167" s="31"/>
      <c r="E167" s="31"/>
      <c r="F167" s="31"/>
    </row>
    <row r="168" spans="2:6" x14ac:dyDescent="0.25">
      <c r="B168" s="4">
        <v>145</v>
      </c>
      <c r="C168" s="31"/>
      <c r="D168" s="31"/>
      <c r="E168" s="31"/>
      <c r="F168" s="31"/>
    </row>
    <row r="169" spans="2:6" x14ac:dyDescent="0.25">
      <c r="B169" s="4">
        <v>146</v>
      </c>
      <c r="C169" s="31"/>
      <c r="D169" s="31"/>
      <c r="E169" s="31"/>
      <c r="F169" s="31"/>
    </row>
    <row r="170" spans="2:6" x14ac:dyDescent="0.25">
      <c r="B170" s="4">
        <v>147</v>
      </c>
      <c r="C170" s="31"/>
      <c r="D170" s="31"/>
      <c r="E170" s="31"/>
      <c r="F170" s="31"/>
    </row>
    <row r="171" spans="2:6" x14ac:dyDescent="0.25">
      <c r="B171" s="4">
        <v>148</v>
      </c>
      <c r="C171" s="31"/>
      <c r="D171" s="31"/>
      <c r="E171" s="31"/>
      <c r="F171" s="31"/>
    </row>
    <row r="172" spans="2:6" x14ac:dyDescent="0.25">
      <c r="B172" s="4">
        <v>149</v>
      </c>
      <c r="C172" s="31"/>
      <c r="D172" s="31"/>
      <c r="E172" s="31"/>
      <c r="F172" s="31"/>
    </row>
    <row r="173" spans="2:6" x14ac:dyDescent="0.25">
      <c r="B173" s="4">
        <v>150</v>
      </c>
      <c r="C173" s="31"/>
      <c r="D173" s="31"/>
      <c r="E173" s="31"/>
      <c r="F173" s="31"/>
    </row>
    <row r="174" spans="2:6" x14ac:dyDescent="0.25">
      <c r="B174" s="4">
        <v>151</v>
      </c>
      <c r="C174" s="31"/>
      <c r="D174" s="31"/>
      <c r="E174" s="31"/>
      <c r="F174" s="31"/>
    </row>
    <row r="175" spans="2:6" x14ac:dyDescent="0.25">
      <c r="B175" s="4">
        <v>152</v>
      </c>
      <c r="C175" s="31"/>
      <c r="D175" s="31"/>
      <c r="E175" s="31"/>
      <c r="F175" s="31"/>
    </row>
    <row r="176" spans="2:6" x14ac:dyDescent="0.25">
      <c r="B176" s="4">
        <v>153</v>
      </c>
      <c r="C176" s="31"/>
      <c r="D176" s="31"/>
      <c r="E176" s="31"/>
      <c r="F176" s="31"/>
    </row>
    <row r="177" spans="2:6" x14ac:dyDescent="0.25">
      <c r="B177" s="4">
        <v>154</v>
      </c>
      <c r="C177" s="31"/>
      <c r="D177" s="31"/>
      <c r="E177" s="31"/>
      <c r="F177" s="31"/>
    </row>
    <row r="178" spans="2:6" x14ac:dyDescent="0.25">
      <c r="B178" s="4">
        <v>155</v>
      </c>
      <c r="C178" s="31"/>
      <c r="D178" s="31"/>
      <c r="E178" s="31"/>
      <c r="F178" s="31"/>
    </row>
    <row r="179" spans="2:6" x14ac:dyDescent="0.25">
      <c r="B179" s="4">
        <v>156</v>
      </c>
      <c r="C179" s="31"/>
      <c r="D179" s="31"/>
      <c r="E179" s="31"/>
      <c r="F179" s="31"/>
    </row>
    <row r="180" spans="2:6" x14ac:dyDescent="0.25">
      <c r="B180" s="4">
        <v>157</v>
      </c>
      <c r="C180" s="31"/>
      <c r="D180" s="31"/>
      <c r="E180" s="31"/>
      <c r="F180" s="31"/>
    </row>
    <row r="181" spans="2:6" x14ac:dyDescent="0.25">
      <c r="B181" s="4">
        <v>158</v>
      </c>
      <c r="C181" s="31"/>
      <c r="D181" s="31"/>
      <c r="E181" s="31"/>
      <c r="F181" s="31"/>
    </row>
    <row r="182" spans="2:6" x14ac:dyDescent="0.25">
      <c r="B182" s="4">
        <v>159</v>
      </c>
      <c r="C182" s="31"/>
      <c r="D182" s="31"/>
      <c r="E182" s="31"/>
      <c r="F182" s="31"/>
    </row>
    <row r="183" spans="2:6" x14ac:dyDescent="0.25">
      <c r="B183" s="4">
        <v>160</v>
      </c>
      <c r="C183" s="31"/>
      <c r="D183" s="31"/>
      <c r="E183" s="31"/>
      <c r="F183" s="31"/>
    </row>
    <row r="184" spans="2:6" x14ac:dyDescent="0.25">
      <c r="B184" s="4">
        <v>161</v>
      </c>
      <c r="C184" s="31"/>
      <c r="D184" s="31"/>
      <c r="E184" s="31"/>
      <c r="F184" s="31"/>
    </row>
    <row r="185" spans="2:6" x14ac:dyDescent="0.25">
      <c r="B185" s="4">
        <v>162</v>
      </c>
      <c r="C185" s="31"/>
      <c r="D185" s="31"/>
      <c r="E185" s="31"/>
      <c r="F185" s="31"/>
    </row>
    <row r="186" spans="2:6" x14ac:dyDescent="0.25">
      <c r="B186" s="4">
        <v>163</v>
      </c>
      <c r="C186" s="31"/>
      <c r="D186" s="31"/>
      <c r="E186" s="31"/>
      <c r="F186" s="31"/>
    </row>
    <row r="187" spans="2:6" x14ac:dyDescent="0.25">
      <c r="B187" s="4">
        <v>164</v>
      </c>
      <c r="C187" s="31"/>
      <c r="D187" s="31"/>
      <c r="E187" s="31"/>
      <c r="F187" s="31"/>
    </row>
    <row r="188" spans="2:6" x14ac:dyDescent="0.25">
      <c r="B188" s="4">
        <v>165</v>
      </c>
      <c r="C188" s="31"/>
      <c r="D188" s="31"/>
      <c r="E188" s="31"/>
      <c r="F188" s="31"/>
    </row>
    <row r="189" spans="2:6" x14ac:dyDescent="0.25">
      <c r="B189" s="4">
        <v>166</v>
      </c>
      <c r="C189" s="31"/>
      <c r="D189" s="31"/>
      <c r="E189" s="31"/>
      <c r="F189" s="31"/>
    </row>
    <row r="190" spans="2:6" x14ac:dyDescent="0.25">
      <c r="B190" s="4">
        <v>167</v>
      </c>
      <c r="C190" s="31"/>
      <c r="D190" s="31"/>
      <c r="E190" s="31"/>
      <c r="F190" s="31"/>
    </row>
    <row r="191" spans="2:6" x14ac:dyDescent="0.25">
      <c r="B191" s="4">
        <v>168</v>
      </c>
      <c r="C191" s="31"/>
      <c r="D191" s="31"/>
      <c r="E191" s="31"/>
      <c r="F191" s="31"/>
    </row>
    <row r="192" spans="2:6" x14ac:dyDescent="0.25">
      <c r="B192" s="4">
        <v>169</v>
      </c>
      <c r="C192" s="31"/>
      <c r="D192" s="31"/>
      <c r="E192" s="31"/>
      <c r="F192" s="31"/>
    </row>
    <row r="193" spans="2:6" x14ac:dyDescent="0.25">
      <c r="B193" s="4">
        <v>170</v>
      </c>
      <c r="C193" s="31"/>
      <c r="D193" s="31"/>
      <c r="E193" s="31"/>
      <c r="F193" s="31"/>
    </row>
    <row r="194" spans="2:6" x14ac:dyDescent="0.25">
      <c r="B194" s="4">
        <v>171</v>
      </c>
      <c r="C194" s="31"/>
      <c r="D194" s="31"/>
      <c r="E194" s="31"/>
      <c r="F194" s="31"/>
    </row>
    <row r="195" spans="2:6" x14ac:dyDescent="0.25">
      <c r="B195" s="4">
        <v>172</v>
      </c>
      <c r="C195" s="31"/>
      <c r="D195" s="31"/>
      <c r="E195" s="31"/>
      <c r="F195" s="31"/>
    </row>
    <row r="196" spans="2:6" x14ac:dyDescent="0.25">
      <c r="B196" s="4">
        <v>173</v>
      </c>
      <c r="C196" s="31"/>
      <c r="D196" s="31"/>
      <c r="E196" s="31"/>
      <c r="F196" s="31"/>
    </row>
    <row r="197" spans="2:6" x14ac:dyDescent="0.25">
      <c r="B197" s="4">
        <v>174</v>
      </c>
      <c r="C197" s="31"/>
      <c r="D197" s="31"/>
      <c r="E197" s="31"/>
      <c r="F197" s="31"/>
    </row>
    <row r="198" spans="2:6" x14ac:dyDescent="0.25">
      <c r="B198" s="4">
        <v>175</v>
      </c>
      <c r="C198" s="31"/>
      <c r="D198" s="31"/>
      <c r="E198" s="31"/>
      <c r="F198" s="31"/>
    </row>
    <row r="199" spans="2:6" x14ac:dyDescent="0.25">
      <c r="B199" s="4">
        <v>176</v>
      </c>
      <c r="C199" s="31"/>
      <c r="D199" s="31"/>
      <c r="E199" s="31"/>
      <c r="F199" s="31"/>
    </row>
    <row r="200" spans="2:6" x14ac:dyDescent="0.25">
      <c r="B200" s="4">
        <v>177</v>
      </c>
      <c r="C200" s="31"/>
      <c r="D200" s="31"/>
      <c r="E200" s="31"/>
      <c r="F200" s="31"/>
    </row>
    <row r="201" spans="2:6" x14ac:dyDescent="0.25">
      <c r="B201" s="4">
        <v>178</v>
      </c>
      <c r="C201" s="31"/>
      <c r="D201" s="31"/>
      <c r="E201" s="31"/>
      <c r="F201" s="31"/>
    </row>
    <row r="202" spans="2:6" x14ac:dyDescent="0.25">
      <c r="B202" s="4">
        <v>179</v>
      </c>
      <c r="C202" s="31"/>
      <c r="D202" s="31"/>
      <c r="E202" s="31"/>
      <c r="F202" s="31"/>
    </row>
    <row r="203" spans="2:6" x14ac:dyDescent="0.25">
      <c r="B203" s="4">
        <v>180</v>
      </c>
      <c r="C203" s="31"/>
      <c r="D203" s="31"/>
      <c r="E203" s="31"/>
      <c r="F203" s="31"/>
    </row>
    <row r="204" spans="2:6" x14ac:dyDescent="0.25">
      <c r="B204" s="4">
        <v>181</v>
      </c>
      <c r="C204" s="31"/>
      <c r="D204" s="31"/>
      <c r="E204" s="31"/>
      <c r="F204" s="31"/>
    </row>
    <row r="205" spans="2:6" x14ac:dyDescent="0.25">
      <c r="B205" s="4">
        <v>182</v>
      </c>
      <c r="C205" s="31"/>
      <c r="D205" s="31"/>
      <c r="E205" s="31"/>
      <c r="F205" s="31"/>
    </row>
    <row r="206" spans="2:6" x14ac:dyDescent="0.25">
      <c r="B206" s="4">
        <v>183</v>
      </c>
      <c r="C206" s="31"/>
      <c r="D206" s="31"/>
      <c r="E206" s="31"/>
      <c r="F206" s="31"/>
    </row>
    <row r="207" spans="2:6" x14ac:dyDescent="0.25">
      <c r="B207" s="4">
        <v>184</v>
      </c>
      <c r="C207" s="31"/>
      <c r="D207" s="31"/>
      <c r="E207" s="31"/>
      <c r="F207" s="31"/>
    </row>
    <row r="208" spans="2:6" x14ac:dyDescent="0.25">
      <c r="B208" s="4">
        <v>185</v>
      </c>
      <c r="C208" s="31"/>
      <c r="D208" s="31"/>
      <c r="E208" s="31"/>
      <c r="F208" s="31"/>
    </row>
    <row r="209" spans="2:6" x14ac:dyDescent="0.25">
      <c r="B209" s="4">
        <v>186</v>
      </c>
      <c r="C209" s="31"/>
      <c r="D209" s="31"/>
      <c r="E209" s="31"/>
      <c r="F209" s="31"/>
    </row>
    <row r="210" spans="2:6" x14ac:dyDescent="0.25">
      <c r="B210" s="4">
        <v>187</v>
      </c>
      <c r="C210" s="31"/>
      <c r="D210" s="31"/>
      <c r="E210" s="31"/>
      <c r="F210" s="31"/>
    </row>
    <row r="211" spans="2:6" x14ac:dyDescent="0.25">
      <c r="B211" s="4">
        <v>188</v>
      </c>
      <c r="C211" s="31"/>
      <c r="D211" s="31"/>
      <c r="E211" s="31"/>
      <c r="F211" s="31"/>
    </row>
    <row r="212" spans="2:6" x14ac:dyDescent="0.25">
      <c r="B212" s="4">
        <v>189</v>
      </c>
      <c r="C212" s="31"/>
      <c r="D212" s="31"/>
      <c r="E212" s="31"/>
      <c r="F212" s="31"/>
    </row>
    <row r="213" spans="2:6" x14ac:dyDescent="0.25">
      <c r="B213" s="4">
        <v>190</v>
      </c>
      <c r="C213" s="31"/>
      <c r="D213" s="31"/>
      <c r="E213" s="31"/>
      <c r="F213" s="31"/>
    </row>
    <row r="214" spans="2:6" x14ac:dyDescent="0.25">
      <c r="B214" s="4">
        <v>191</v>
      </c>
      <c r="C214" s="31"/>
      <c r="D214" s="31"/>
      <c r="E214" s="31"/>
      <c r="F214" s="31"/>
    </row>
    <row r="215" spans="2:6" x14ac:dyDescent="0.25">
      <c r="B215" s="4">
        <v>192</v>
      </c>
      <c r="C215" s="31"/>
      <c r="D215" s="31"/>
      <c r="E215" s="31"/>
      <c r="F215" s="31"/>
    </row>
    <row r="216" spans="2:6" x14ac:dyDescent="0.25">
      <c r="B216" s="4">
        <v>193</v>
      </c>
      <c r="C216" s="31"/>
      <c r="D216" s="31"/>
      <c r="E216" s="31"/>
      <c r="F216" s="31"/>
    </row>
    <row r="217" spans="2:6" x14ac:dyDescent="0.25">
      <c r="B217" s="4">
        <v>194</v>
      </c>
      <c r="C217" s="31"/>
      <c r="D217" s="31"/>
      <c r="E217" s="31"/>
      <c r="F217" s="31"/>
    </row>
    <row r="218" spans="2:6" x14ac:dyDescent="0.25">
      <c r="B218" s="4">
        <v>195</v>
      </c>
      <c r="C218" s="31"/>
      <c r="D218" s="31"/>
      <c r="E218" s="31"/>
      <c r="F218" s="31"/>
    </row>
    <row r="219" spans="2:6" x14ac:dyDescent="0.25">
      <c r="B219" s="4">
        <v>196</v>
      </c>
      <c r="C219" s="31"/>
      <c r="D219" s="31"/>
      <c r="E219" s="31"/>
      <c r="F219" s="31"/>
    </row>
    <row r="220" spans="2:6" x14ac:dyDescent="0.25">
      <c r="B220" s="4">
        <v>197</v>
      </c>
      <c r="C220" s="31"/>
      <c r="D220" s="31"/>
      <c r="E220" s="31"/>
      <c r="F220" s="31"/>
    </row>
    <row r="221" spans="2:6" x14ac:dyDescent="0.25">
      <c r="B221" s="4">
        <v>198</v>
      </c>
      <c r="C221" s="31"/>
      <c r="D221" s="31"/>
      <c r="E221" s="31"/>
      <c r="F221" s="31"/>
    </row>
    <row r="222" spans="2:6" x14ac:dyDescent="0.25">
      <c r="B222" s="4">
        <v>199</v>
      </c>
      <c r="C222" s="31"/>
      <c r="D222" s="31"/>
      <c r="E222" s="31"/>
      <c r="F222" s="31"/>
    </row>
    <row r="223" spans="2:6" x14ac:dyDescent="0.25">
      <c r="B223" s="4">
        <v>200</v>
      </c>
      <c r="C223" s="31"/>
      <c r="D223" s="31"/>
      <c r="E223" s="31"/>
      <c r="F223" s="31"/>
    </row>
    <row r="224" spans="2:6" x14ac:dyDescent="0.25">
      <c r="B224" s="4">
        <v>201</v>
      </c>
      <c r="C224" s="31"/>
      <c r="D224" s="31"/>
      <c r="E224" s="31"/>
      <c r="F224" s="31"/>
    </row>
    <row r="225" spans="2:6" x14ac:dyDescent="0.25">
      <c r="B225" s="4">
        <v>202</v>
      </c>
      <c r="C225" s="31"/>
      <c r="D225" s="31"/>
      <c r="E225" s="31"/>
      <c r="F225" s="31"/>
    </row>
    <row r="226" spans="2:6" x14ac:dyDescent="0.25">
      <c r="B226" s="4">
        <v>203</v>
      </c>
      <c r="C226" s="31"/>
      <c r="D226" s="31"/>
      <c r="E226" s="31"/>
      <c r="F226" s="31"/>
    </row>
    <row r="227" spans="2:6" x14ac:dyDescent="0.25">
      <c r="B227" s="4">
        <v>204</v>
      </c>
      <c r="C227" s="31"/>
      <c r="D227" s="31"/>
      <c r="E227" s="31"/>
      <c r="F227" s="31"/>
    </row>
    <row r="228" spans="2:6" x14ac:dyDescent="0.25">
      <c r="B228" s="4">
        <v>205</v>
      </c>
      <c r="C228" s="31"/>
      <c r="D228" s="31"/>
      <c r="E228" s="31"/>
      <c r="F228" s="31"/>
    </row>
    <row r="229" spans="2:6" x14ac:dyDescent="0.25">
      <c r="B229" s="4">
        <v>206</v>
      </c>
      <c r="C229" s="31"/>
      <c r="D229" s="31"/>
      <c r="E229" s="31"/>
      <c r="F229" s="31"/>
    </row>
    <row r="230" spans="2:6" x14ac:dyDescent="0.25">
      <c r="B230" s="4">
        <v>207</v>
      </c>
      <c r="C230" s="31"/>
      <c r="D230" s="31"/>
      <c r="E230" s="31"/>
      <c r="F230" s="31"/>
    </row>
    <row r="231" spans="2:6" x14ac:dyDescent="0.25">
      <c r="B231" s="4">
        <v>208</v>
      </c>
      <c r="C231" s="31"/>
      <c r="D231" s="31"/>
      <c r="E231" s="31"/>
      <c r="F231" s="31"/>
    </row>
    <row r="232" spans="2:6" x14ac:dyDescent="0.25">
      <c r="B232" s="4">
        <v>209</v>
      </c>
      <c r="C232" s="31"/>
      <c r="D232" s="31"/>
      <c r="E232" s="31"/>
      <c r="F232" s="31"/>
    </row>
    <row r="233" spans="2:6" x14ac:dyDescent="0.25">
      <c r="B233" s="4">
        <v>210</v>
      </c>
      <c r="C233" s="31"/>
      <c r="D233" s="31"/>
      <c r="E233" s="31"/>
      <c r="F233" s="31"/>
    </row>
    <row r="234" spans="2:6" x14ac:dyDescent="0.25">
      <c r="B234" s="4">
        <v>211</v>
      </c>
      <c r="C234" s="31"/>
      <c r="D234" s="31"/>
      <c r="E234" s="31"/>
      <c r="F234" s="31"/>
    </row>
    <row r="235" spans="2:6" x14ac:dyDescent="0.25">
      <c r="B235" s="4">
        <v>212</v>
      </c>
      <c r="C235" s="31"/>
      <c r="D235" s="31"/>
      <c r="E235" s="31"/>
      <c r="F235" s="31"/>
    </row>
    <row r="236" spans="2:6" x14ac:dyDescent="0.25">
      <c r="B236" s="4">
        <v>213</v>
      </c>
      <c r="C236" s="31"/>
      <c r="D236" s="31"/>
      <c r="E236" s="31"/>
      <c r="F236" s="31"/>
    </row>
    <row r="237" spans="2:6" x14ac:dyDescent="0.25">
      <c r="B237" s="4">
        <v>214</v>
      </c>
      <c r="C237" s="31"/>
      <c r="D237" s="31"/>
      <c r="E237" s="31"/>
      <c r="F237" s="31"/>
    </row>
    <row r="238" spans="2:6" x14ac:dyDescent="0.25">
      <c r="B238" s="4">
        <v>215</v>
      </c>
      <c r="C238" s="31"/>
      <c r="D238" s="31"/>
      <c r="E238" s="31"/>
      <c r="F238" s="31"/>
    </row>
    <row r="239" spans="2:6" x14ac:dyDescent="0.25">
      <c r="B239" s="4">
        <v>216</v>
      </c>
      <c r="C239" s="31"/>
      <c r="D239" s="31"/>
      <c r="E239" s="31"/>
      <c r="F239" s="31"/>
    </row>
    <row r="240" spans="2:6" x14ac:dyDescent="0.25">
      <c r="B240" s="4">
        <v>217</v>
      </c>
      <c r="C240" s="31"/>
      <c r="D240" s="31"/>
      <c r="E240" s="31"/>
      <c r="F240" s="31"/>
    </row>
    <row r="241" spans="2:6" x14ac:dyDescent="0.25">
      <c r="B241" s="4">
        <v>218</v>
      </c>
      <c r="C241" s="31"/>
      <c r="D241" s="31"/>
      <c r="E241" s="31"/>
      <c r="F241" s="31"/>
    </row>
    <row r="242" spans="2:6" x14ac:dyDescent="0.25">
      <c r="B242" s="4">
        <v>219</v>
      </c>
      <c r="C242" s="31"/>
      <c r="D242" s="31"/>
      <c r="E242" s="31"/>
      <c r="F242" s="31"/>
    </row>
    <row r="243" spans="2:6" x14ac:dyDescent="0.25">
      <c r="B243" s="4">
        <v>220</v>
      </c>
      <c r="C243" s="31"/>
      <c r="D243" s="31"/>
      <c r="E243" s="31"/>
      <c r="F243" s="31"/>
    </row>
    <row r="244" spans="2:6" x14ac:dyDescent="0.25">
      <c r="B244" s="4">
        <v>221</v>
      </c>
      <c r="C244" s="31"/>
      <c r="D244" s="31"/>
      <c r="E244" s="31"/>
      <c r="F244" s="31"/>
    </row>
    <row r="245" spans="2:6" x14ac:dyDescent="0.25">
      <c r="B245" s="4">
        <v>222</v>
      </c>
      <c r="C245" s="31"/>
      <c r="D245" s="31"/>
      <c r="E245" s="31"/>
      <c r="F245" s="31"/>
    </row>
    <row r="246" spans="2:6" x14ac:dyDescent="0.25">
      <c r="B246" s="4">
        <v>223</v>
      </c>
      <c r="C246" s="31"/>
      <c r="D246" s="31"/>
      <c r="E246" s="31"/>
      <c r="F246" s="31"/>
    </row>
    <row r="247" spans="2:6" x14ac:dyDescent="0.25">
      <c r="B247" s="4">
        <v>224</v>
      </c>
      <c r="C247" s="31"/>
      <c r="D247" s="31"/>
      <c r="E247" s="31"/>
      <c r="F247" s="31"/>
    </row>
    <row r="248" spans="2:6" x14ac:dyDescent="0.25">
      <c r="B248" s="4">
        <v>225</v>
      </c>
      <c r="C248" s="31"/>
      <c r="D248" s="31"/>
      <c r="E248" s="31"/>
      <c r="F248" s="31"/>
    </row>
    <row r="249" spans="2:6" x14ac:dyDescent="0.25">
      <c r="B249" s="4">
        <v>226</v>
      </c>
      <c r="C249" s="31"/>
      <c r="D249" s="31"/>
      <c r="E249" s="31"/>
      <c r="F249" s="31"/>
    </row>
    <row r="250" spans="2:6" x14ac:dyDescent="0.25">
      <c r="B250" s="4">
        <v>227</v>
      </c>
      <c r="C250" s="31"/>
      <c r="D250" s="31"/>
      <c r="E250" s="31"/>
      <c r="F250" s="31"/>
    </row>
    <row r="251" spans="2:6" x14ac:dyDescent="0.25">
      <c r="B251" s="4">
        <v>228</v>
      </c>
      <c r="C251" s="31"/>
      <c r="D251" s="31"/>
      <c r="E251" s="31"/>
      <c r="F251" s="31"/>
    </row>
    <row r="252" spans="2:6" x14ac:dyDescent="0.25">
      <c r="B252" s="4">
        <v>229</v>
      </c>
      <c r="C252" s="31"/>
      <c r="D252" s="31"/>
      <c r="E252" s="31"/>
      <c r="F252" s="31"/>
    </row>
    <row r="253" spans="2:6" x14ac:dyDescent="0.25">
      <c r="B253" s="4">
        <v>230</v>
      </c>
      <c r="C253" s="31"/>
      <c r="D253" s="31"/>
      <c r="E253" s="31"/>
      <c r="F253" s="31"/>
    </row>
    <row r="254" spans="2:6" x14ac:dyDescent="0.25">
      <c r="B254" s="4">
        <v>231</v>
      </c>
      <c r="C254" s="31"/>
      <c r="D254" s="31"/>
      <c r="E254" s="31"/>
      <c r="F254" s="31"/>
    </row>
    <row r="255" spans="2:6" x14ac:dyDescent="0.25">
      <c r="B255" s="4">
        <v>232</v>
      </c>
      <c r="C255" s="31"/>
      <c r="D255" s="31"/>
      <c r="E255" s="31"/>
      <c r="F255" s="31"/>
    </row>
    <row r="256" spans="2:6" x14ac:dyDescent="0.25">
      <c r="B256" s="4">
        <v>233</v>
      </c>
      <c r="C256" s="31"/>
      <c r="D256" s="31"/>
      <c r="E256" s="31"/>
      <c r="F256" s="31"/>
    </row>
    <row r="257" spans="2:6" x14ac:dyDescent="0.25">
      <c r="B257" s="4">
        <v>234</v>
      </c>
      <c r="C257" s="31"/>
      <c r="D257" s="31"/>
      <c r="E257" s="31"/>
      <c r="F257" s="31"/>
    </row>
    <row r="258" spans="2:6" x14ac:dyDescent="0.25">
      <c r="B258" s="4">
        <v>235</v>
      </c>
      <c r="C258" s="31"/>
      <c r="D258" s="31"/>
      <c r="E258" s="31"/>
      <c r="F258" s="31"/>
    </row>
    <row r="259" spans="2:6" x14ac:dyDescent="0.25">
      <c r="B259" s="4">
        <v>236</v>
      </c>
      <c r="C259" s="31"/>
      <c r="D259" s="31"/>
      <c r="E259" s="31"/>
      <c r="F259" s="31"/>
    </row>
    <row r="260" spans="2:6" x14ac:dyDescent="0.25">
      <c r="B260" s="4">
        <v>237</v>
      </c>
      <c r="C260" s="31"/>
      <c r="D260" s="31"/>
      <c r="E260" s="31"/>
      <c r="F260" s="31"/>
    </row>
    <row r="261" spans="2:6" x14ac:dyDescent="0.25">
      <c r="B261" s="4">
        <v>238</v>
      </c>
      <c r="C261" s="31"/>
      <c r="D261" s="31"/>
      <c r="E261" s="31"/>
      <c r="F261" s="31"/>
    </row>
    <row r="262" spans="2:6" x14ac:dyDescent="0.25">
      <c r="B262" s="4">
        <v>239</v>
      </c>
      <c r="C262" s="31"/>
      <c r="D262" s="31"/>
      <c r="E262" s="31"/>
      <c r="F262" s="31"/>
    </row>
    <row r="263" spans="2:6" x14ac:dyDescent="0.25">
      <c r="B263" s="4">
        <v>240</v>
      </c>
      <c r="C263" s="31"/>
      <c r="D263" s="31"/>
      <c r="E263" s="31"/>
      <c r="F263" s="31"/>
    </row>
    <row r="264" spans="2:6" x14ac:dyDescent="0.25">
      <c r="B264" s="33" t="s">
        <v>320</v>
      </c>
      <c r="C264" s="34"/>
      <c r="D264" s="34"/>
      <c r="E264" s="34"/>
    </row>
    <row r="268" spans="2:6" ht="8.25" customHeight="1"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30139-F8AA-4116-BB7F-02E84E8212DF}">
  <sheetPr>
    <tabColor rgb="FFFF0000"/>
  </sheetPr>
  <dimension ref="A1:Q268"/>
  <sheetViews>
    <sheetView showGridLines="0" zoomScale="92" zoomScaleNormal="92" workbookViewId="0">
      <selection activeCell="B2" sqref="B2"/>
    </sheetView>
  </sheetViews>
  <sheetFormatPr defaultColWidth="8.85546875" defaultRowHeight="15" x14ac:dyDescent="0.25"/>
  <cols>
    <col min="1" max="1" width="4.85546875" bestFit="1" customWidth="1"/>
    <col min="2" max="2" width="33.140625" customWidth="1"/>
    <col min="3" max="3" width="12.140625" customWidth="1"/>
    <col min="4" max="4" width="18" customWidth="1"/>
    <col min="5" max="5" width="17.28515625" bestFit="1" customWidth="1"/>
    <col min="6" max="6" width="13.140625" customWidth="1"/>
    <col min="7" max="7" width="3" customWidth="1"/>
  </cols>
  <sheetData>
    <row r="1" spans="1:17" ht="4.5" customHeight="1" x14ac:dyDescent="0.25"/>
    <row r="2" spans="1:17" x14ac:dyDescent="0.25">
      <c r="A2" s="1" t="s">
        <v>308</v>
      </c>
      <c r="B2" s="16" t="str">
        <f>"What is the monthly payment for a "&amp;C8&amp;"-year $"&amp;FIXED(C6)&amp;" home mortgage loan at "&amp;TEXT(C7,"0.00%")&amp;" APR?"</f>
        <v>What is the monthly payment for a 20-year $206,910.92 home mortgage loan at 3.50% APR?</v>
      </c>
      <c r="C2" s="17"/>
      <c r="D2" s="17"/>
      <c r="E2" s="17"/>
      <c r="F2" s="18"/>
    </row>
    <row r="3" spans="1:17" x14ac:dyDescent="0.25">
      <c r="A3" s="1" t="s">
        <v>309</v>
      </c>
      <c r="B3" s="16" t="s">
        <v>310</v>
      </c>
      <c r="C3" s="17"/>
      <c r="D3" s="17"/>
      <c r="E3" s="17"/>
      <c r="F3" s="18"/>
    </row>
    <row r="4" spans="1:17" ht="4.5" customHeight="1" x14ac:dyDescent="0.25"/>
    <row r="5" spans="1:17" ht="30" x14ac:dyDescent="0.25">
      <c r="B5" s="15" t="s">
        <v>280</v>
      </c>
      <c r="C5" s="36" t="s">
        <v>283</v>
      </c>
      <c r="D5" s="15" t="s">
        <v>279</v>
      </c>
      <c r="P5" t="s">
        <v>284</v>
      </c>
      <c r="Q5">
        <v>365</v>
      </c>
    </row>
    <row r="6" spans="1:17" ht="15" customHeight="1" x14ac:dyDescent="0.25">
      <c r="B6" s="5" t="s">
        <v>327</v>
      </c>
      <c r="C6" s="22">
        <v>206910.92</v>
      </c>
      <c r="D6" s="4"/>
      <c r="P6" t="s">
        <v>285</v>
      </c>
      <c r="Q6">
        <v>12</v>
      </c>
    </row>
    <row r="7" spans="1:17" x14ac:dyDescent="0.25">
      <c r="B7" s="5" t="s">
        <v>277</v>
      </c>
      <c r="C7" s="21">
        <v>3.5000000000000003E-2</v>
      </c>
      <c r="D7" s="4"/>
      <c r="P7" t="s">
        <v>286</v>
      </c>
      <c r="Q7">
        <v>4</v>
      </c>
    </row>
    <row r="8" spans="1:17" x14ac:dyDescent="0.25">
      <c r="B8" s="5" t="s">
        <v>278</v>
      </c>
      <c r="C8" s="19">
        <v>20</v>
      </c>
      <c r="D8" s="4"/>
      <c r="P8" t="s">
        <v>287</v>
      </c>
      <c r="Q8">
        <v>1</v>
      </c>
    </row>
    <row r="9" spans="1:17" x14ac:dyDescent="0.25">
      <c r="B9" s="5" t="s">
        <v>270</v>
      </c>
      <c r="C9" s="19">
        <v>12</v>
      </c>
      <c r="D9" s="4"/>
    </row>
    <row r="10" spans="1:17" x14ac:dyDescent="0.25">
      <c r="B10" s="5" t="s">
        <v>314</v>
      </c>
      <c r="C10" s="19"/>
      <c r="D10" s="4"/>
    </row>
    <row r="11" spans="1:17" x14ac:dyDescent="0.25">
      <c r="B11" s="5" t="s">
        <v>281</v>
      </c>
      <c r="C11" s="20">
        <f>C7/C9</f>
        <v>2.9166666666666668E-3</v>
      </c>
      <c r="D11" s="4" t="str">
        <f ca="1">_xlfn.IFNA(_xlfn.FORMULATEXT(C11),"")</f>
        <v>=C7/C9</v>
      </c>
    </row>
    <row r="12" spans="1:17" x14ac:dyDescent="0.25">
      <c r="B12" s="5" t="s">
        <v>282</v>
      </c>
      <c r="C12" s="20">
        <f>C8*C9</f>
        <v>240</v>
      </c>
      <c r="D12" s="4" t="str">
        <f ca="1">_xlfn.IFNA(_xlfn.FORMULATEXT(C12),"")</f>
        <v>=C8*C9</v>
      </c>
    </row>
    <row r="13" spans="1:17" ht="15" customHeight="1" x14ac:dyDescent="0.25">
      <c r="B13" s="5" t="s">
        <v>325</v>
      </c>
      <c r="C13" s="23">
        <f>PMT(C11,C12,C6)</f>
        <v>-1199.9999881082238</v>
      </c>
      <c r="D13" s="4" t="str">
        <f ca="1">_xlfn.IFNA(_xlfn.FORMULATEXT(C13),"")</f>
        <v>=PMT(C11,C12,C6)</v>
      </c>
    </row>
    <row r="14" spans="1:17" ht="5.25" customHeight="1" x14ac:dyDescent="0.25"/>
    <row r="15" spans="1:17" x14ac:dyDescent="0.25">
      <c r="B15" s="28" t="s">
        <v>315</v>
      </c>
    </row>
    <row r="16" spans="1:17" x14ac:dyDescent="0.25">
      <c r="B16" t="str">
        <f ca="1">"Formula in cell "&amp;ADDRESS(ROW(C24),COLUMN(C24),4)&amp;": "&amp;_xlfn.FORMULATEXT(C24)</f>
        <v>Formula in cell C24: =-$C$13</v>
      </c>
      <c r="D16" t="s">
        <v>318</v>
      </c>
    </row>
    <row r="17" spans="2:13" x14ac:dyDescent="0.25">
      <c r="B17" t="str">
        <f ca="1">"Formula in cell "&amp;ADDRESS(ROW(D24),COLUMN(D24),4)&amp;": "&amp;_xlfn.FORMULATEXT(D24)</f>
        <v>Formula in cell D24: =F23*C$11</v>
      </c>
    </row>
    <row r="18" spans="2:13" x14ac:dyDescent="0.25">
      <c r="B18" t="str">
        <f ca="1">"Formula in cell "&amp;ADDRESS(ROW(E24),COLUMN(E24),4)&amp;": "&amp;_xlfn.FORMULATEXT(E24)</f>
        <v>Formula in cell E24: =C24-D24</v>
      </c>
      <c r="E18" s="29" t="s">
        <v>316</v>
      </c>
    </row>
    <row r="19" spans="2:13" x14ac:dyDescent="0.25">
      <c r="B19" t="str">
        <f ca="1">"Formula in cell "&amp;ADDRESS(ROW(F24),COLUMN(F24),4)&amp;": "&amp;_xlfn.FORMULATEXT(F24)</f>
        <v>Formula in cell F24: =F23-E24</v>
      </c>
      <c r="E19" s="30" t="str">
        <f ca="1">"Formula in cell "&amp;ADDRESS(ROW(F23),COLUMN(F23),4)&amp;": "&amp;_xlfn.FORMULATEXT(F23)</f>
        <v>Formula in cell F23: =C6</v>
      </c>
    </row>
    <row r="20" spans="2:13" ht="5.25" customHeight="1" x14ac:dyDescent="0.25"/>
    <row r="21" spans="2:13" x14ac:dyDescent="0.25">
      <c r="B21" s="32" t="s">
        <v>317</v>
      </c>
      <c r="C21" s="32"/>
      <c r="D21" s="32"/>
      <c r="E21" s="32"/>
      <c r="F21" s="32"/>
    </row>
    <row r="22" spans="2:13" x14ac:dyDescent="0.25">
      <c r="B22" s="26" t="s">
        <v>319</v>
      </c>
      <c r="C22" s="27" t="s">
        <v>224</v>
      </c>
      <c r="D22" s="27" t="s">
        <v>311</v>
      </c>
      <c r="E22" s="27" t="s">
        <v>312</v>
      </c>
      <c r="F22" s="27" t="s">
        <v>313</v>
      </c>
      <c r="M22" t="str">
        <f>"Interest for month "&amp;B24&amp;" is the balance from previous month*period rate = $"&amp;FIXED(F23)&amp;"*"&amp;TEXT($C$11,"0.0000%")&amp;" = $"&amp;FIXED(F23*$C$11)</f>
        <v>Interest for month 1 is the balance from previous month*period rate = $206,910.92*0.2917% = $603.49</v>
      </c>
    </row>
    <row r="23" spans="2:13" x14ac:dyDescent="0.25">
      <c r="B23" s="4">
        <v>0</v>
      </c>
      <c r="C23" s="4"/>
      <c r="D23" s="4"/>
      <c r="E23" s="4"/>
      <c r="F23" s="31">
        <f>C6</f>
        <v>206910.92</v>
      </c>
      <c r="M23" t="str">
        <f>"Interest for month "&amp;B263&amp;" is the balance from previous month*period rate = $"&amp;FIXED(F262)&amp;"*"&amp;TEXT($C$11,"0.0000%")&amp;" = $"&amp;FIXED(F262*$C$11)</f>
        <v>Interest for month 240 is the balance from previous month*period rate = $1,196.51*0.2917% = $3.49</v>
      </c>
    </row>
    <row r="24" spans="2:13" x14ac:dyDescent="0.25">
      <c r="B24" s="4">
        <v>1</v>
      </c>
      <c r="C24" s="31">
        <f>-$C$13</f>
        <v>1199.9999881082238</v>
      </c>
      <c r="D24" s="31">
        <f>F23*C$11</f>
        <v>603.49018333333345</v>
      </c>
      <c r="E24" s="31">
        <f>C24-D24</f>
        <v>596.50980477489031</v>
      </c>
      <c r="F24" s="31">
        <f>F23-E24</f>
        <v>206314.41019522512</v>
      </c>
    </row>
    <row r="25" spans="2:13" x14ac:dyDescent="0.25">
      <c r="B25" s="4">
        <v>2</v>
      </c>
      <c r="C25" s="31">
        <f t="shared" ref="C25:C88" si="0">-$C$13</f>
        <v>1199.9999881082238</v>
      </c>
      <c r="D25" s="31">
        <f t="shared" ref="D25:D88" si="1">F24*C$11</f>
        <v>601.7503630694066</v>
      </c>
      <c r="E25" s="31">
        <f t="shared" ref="E25:E88" si="2">C25-D25</f>
        <v>598.24962503881716</v>
      </c>
      <c r="F25" s="31">
        <f t="shared" ref="F25:F88" si="3">F24-E25</f>
        <v>205716.1605701863</v>
      </c>
    </row>
    <row r="26" spans="2:13" x14ac:dyDescent="0.25">
      <c r="B26" s="4">
        <v>3</v>
      </c>
      <c r="C26" s="31">
        <f t="shared" si="0"/>
        <v>1199.9999881082238</v>
      </c>
      <c r="D26" s="31">
        <f t="shared" si="1"/>
        <v>600.00546832971008</v>
      </c>
      <c r="E26" s="31">
        <f t="shared" si="2"/>
        <v>599.99451977851368</v>
      </c>
      <c r="F26" s="31">
        <f t="shared" si="3"/>
        <v>205116.16605040777</v>
      </c>
    </row>
    <row r="27" spans="2:13" x14ac:dyDescent="0.25">
      <c r="B27" s="4">
        <v>4</v>
      </c>
      <c r="C27" s="31">
        <f t="shared" si="0"/>
        <v>1199.9999881082238</v>
      </c>
      <c r="D27" s="31">
        <f t="shared" si="1"/>
        <v>598.25548431368941</v>
      </c>
      <c r="E27" s="31">
        <f t="shared" si="2"/>
        <v>601.74450379453435</v>
      </c>
      <c r="F27" s="31">
        <f t="shared" si="3"/>
        <v>204514.42154661324</v>
      </c>
    </row>
    <row r="28" spans="2:13" x14ac:dyDescent="0.25">
      <c r="B28" s="4">
        <v>5</v>
      </c>
      <c r="C28" s="31">
        <f t="shared" si="0"/>
        <v>1199.9999881082238</v>
      </c>
      <c r="D28" s="31">
        <f t="shared" si="1"/>
        <v>596.50039617762195</v>
      </c>
      <c r="E28" s="31">
        <f t="shared" si="2"/>
        <v>603.49959193060181</v>
      </c>
      <c r="F28" s="31">
        <f t="shared" si="3"/>
        <v>203910.92195468265</v>
      </c>
    </row>
    <row r="29" spans="2:13" x14ac:dyDescent="0.25">
      <c r="B29" s="4">
        <v>6</v>
      </c>
      <c r="C29" s="31">
        <f t="shared" si="0"/>
        <v>1199.9999881082238</v>
      </c>
      <c r="D29" s="31">
        <f t="shared" si="1"/>
        <v>594.7401890344911</v>
      </c>
      <c r="E29" s="31">
        <f t="shared" si="2"/>
        <v>605.25979907373267</v>
      </c>
      <c r="F29" s="31">
        <f t="shared" si="3"/>
        <v>203305.66215560891</v>
      </c>
    </row>
    <row r="30" spans="2:13" x14ac:dyDescent="0.25">
      <c r="B30" s="4">
        <v>7</v>
      </c>
      <c r="C30" s="31">
        <f t="shared" si="0"/>
        <v>1199.9999881082238</v>
      </c>
      <c r="D30" s="31">
        <f t="shared" si="1"/>
        <v>592.97484795385935</v>
      </c>
      <c r="E30" s="31">
        <f t="shared" si="2"/>
        <v>607.02514015436441</v>
      </c>
      <c r="F30" s="31">
        <f t="shared" si="3"/>
        <v>202698.63701545456</v>
      </c>
      <c r="G30" s="1"/>
    </row>
    <row r="31" spans="2:13" x14ac:dyDescent="0.25">
      <c r="B31" s="4">
        <v>8</v>
      </c>
      <c r="C31" s="31">
        <f t="shared" si="0"/>
        <v>1199.9999881082238</v>
      </c>
      <c r="D31" s="31">
        <f t="shared" si="1"/>
        <v>591.20435796174252</v>
      </c>
      <c r="E31" s="31">
        <f t="shared" si="2"/>
        <v>608.79563014648124</v>
      </c>
      <c r="F31" s="31">
        <f t="shared" si="3"/>
        <v>202089.84138530807</v>
      </c>
    </row>
    <row r="32" spans="2:13" x14ac:dyDescent="0.25">
      <c r="B32" s="4">
        <v>9</v>
      </c>
      <c r="C32" s="31">
        <f t="shared" si="0"/>
        <v>1199.9999881082238</v>
      </c>
      <c r="D32" s="31">
        <f t="shared" si="1"/>
        <v>589.42870404048188</v>
      </c>
      <c r="E32" s="31">
        <f t="shared" si="2"/>
        <v>610.57128406774189</v>
      </c>
      <c r="F32" s="31">
        <f t="shared" si="3"/>
        <v>201479.27010124034</v>
      </c>
    </row>
    <row r="33" spans="2:6" x14ac:dyDescent="0.25">
      <c r="B33" s="4">
        <v>10</v>
      </c>
      <c r="C33" s="31">
        <f t="shared" si="0"/>
        <v>1199.9999881082238</v>
      </c>
      <c r="D33" s="31">
        <f t="shared" si="1"/>
        <v>587.64787112861768</v>
      </c>
      <c r="E33" s="31">
        <f t="shared" si="2"/>
        <v>612.35211697960608</v>
      </c>
      <c r="F33" s="31">
        <f t="shared" si="3"/>
        <v>200866.91798426074</v>
      </c>
    </row>
    <row r="34" spans="2:6" hidden="1" x14ac:dyDescent="0.25">
      <c r="B34" s="4">
        <v>11</v>
      </c>
      <c r="C34" s="31">
        <f t="shared" si="0"/>
        <v>1199.9999881082238</v>
      </c>
      <c r="D34" s="31">
        <f t="shared" si="1"/>
        <v>585.86184412076057</v>
      </c>
      <c r="E34" s="31">
        <f t="shared" si="2"/>
        <v>614.1381439874632</v>
      </c>
      <c r="F34" s="31">
        <f t="shared" si="3"/>
        <v>200252.77984027329</v>
      </c>
    </row>
    <row r="35" spans="2:6" hidden="1" x14ac:dyDescent="0.25">
      <c r="B35" s="4">
        <v>12</v>
      </c>
      <c r="C35" s="31">
        <f t="shared" si="0"/>
        <v>1199.9999881082238</v>
      </c>
      <c r="D35" s="31">
        <f t="shared" si="1"/>
        <v>584.07060786746376</v>
      </c>
      <c r="E35" s="31">
        <f t="shared" si="2"/>
        <v>615.92938024076</v>
      </c>
      <c r="F35" s="31">
        <f t="shared" si="3"/>
        <v>199636.85046003253</v>
      </c>
    </row>
    <row r="36" spans="2:6" hidden="1" x14ac:dyDescent="0.25">
      <c r="B36" s="4">
        <v>13</v>
      </c>
      <c r="C36" s="31">
        <f t="shared" si="0"/>
        <v>1199.9999881082238</v>
      </c>
      <c r="D36" s="31">
        <f t="shared" si="1"/>
        <v>582.27414717509487</v>
      </c>
      <c r="E36" s="31">
        <f t="shared" si="2"/>
        <v>617.72584093312889</v>
      </c>
      <c r="F36" s="31">
        <f t="shared" si="3"/>
        <v>199019.1246190994</v>
      </c>
    </row>
    <row r="37" spans="2:6" hidden="1" x14ac:dyDescent="0.25">
      <c r="B37" s="4">
        <v>14</v>
      </c>
      <c r="C37" s="31">
        <f t="shared" si="0"/>
        <v>1199.9999881082238</v>
      </c>
      <c r="D37" s="31">
        <f t="shared" si="1"/>
        <v>580.47244680570657</v>
      </c>
      <c r="E37" s="31">
        <f t="shared" si="2"/>
        <v>619.52754130251719</v>
      </c>
      <c r="F37" s="31">
        <f t="shared" si="3"/>
        <v>198399.59707779688</v>
      </c>
    </row>
    <row r="38" spans="2:6" hidden="1" x14ac:dyDescent="0.25">
      <c r="B38" s="4">
        <v>15</v>
      </c>
      <c r="C38" s="31">
        <f t="shared" si="0"/>
        <v>1199.9999881082238</v>
      </c>
      <c r="D38" s="31">
        <f t="shared" si="1"/>
        <v>578.66549147690762</v>
      </c>
      <c r="E38" s="31">
        <f t="shared" si="2"/>
        <v>621.33449663131614</v>
      </c>
      <c r="F38" s="31">
        <f t="shared" si="3"/>
        <v>197778.26258116556</v>
      </c>
    </row>
    <row r="39" spans="2:6" hidden="1" x14ac:dyDescent="0.25">
      <c r="B39" s="4">
        <v>16</v>
      </c>
      <c r="C39" s="31">
        <f t="shared" si="0"/>
        <v>1199.9999881082238</v>
      </c>
      <c r="D39" s="31">
        <f t="shared" si="1"/>
        <v>576.85326586173289</v>
      </c>
      <c r="E39" s="31">
        <f t="shared" si="2"/>
        <v>623.14672224649087</v>
      </c>
      <c r="F39" s="31">
        <f t="shared" si="3"/>
        <v>197155.11585891907</v>
      </c>
    </row>
    <row r="40" spans="2:6" hidden="1" x14ac:dyDescent="0.25">
      <c r="B40" s="4">
        <v>17</v>
      </c>
      <c r="C40" s="31">
        <f t="shared" si="0"/>
        <v>1199.9999881082238</v>
      </c>
      <c r="D40" s="31">
        <f t="shared" si="1"/>
        <v>575.03575458851401</v>
      </c>
      <c r="E40" s="31">
        <f t="shared" si="2"/>
        <v>624.96423351970975</v>
      </c>
      <c r="F40" s="31">
        <f t="shared" si="3"/>
        <v>196530.15162539936</v>
      </c>
    </row>
    <row r="41" spans="2:6" hidden="1" x14ac:dyDescent="0.25">
      <c r="B41" s="4">
        <v>18</v>
      </c>
      <c r="C41" s="31">
        <f t="shared" si="0"/>
        <v>1199.9999881082238</v>
      </c>
      <c r="D41" s="31">
        <f t="shared" si="1"/>
        <v>573.21294224074813</v>
      </c>
      <c r="E41" s="31">
        <f t="shared" si="2"/>
        <v>626.78704586747563</v>
      </c>
      <c r="F41" s="31">
        <f t="shared" si="3"/>
        <v>195903.36457953189</v>
      </c>
    </row>
    <row r="42" spans="2:6" hidden="1" x14ac:dyDescent="0.25">
      <c r="B42" s="4">
        <v>19</v>
      </c>
      <c r="C42" s="31">
        <f t="shared" si="0"/>
        <v>1199.9999881082238</v>
      </c>
      <c r="D42" s="31">
        <f t="shared" si="1"/>
        <v>571.38481335696804</v>
      </c>
      <c r="E42" s="31">
        <f t="shared" si="2"/>
        <v>628.61517475125572</v>
      </c>
      <c r="F42" s="31">
        <f t="shared" si="3"/>
        <v>195274.74940478062</v>
      </c>
    </row>
    <row r="43" spans="2:6" hidden="1" x14ac:dyDescent="0.25">
      <c r="B43" s="4">
        <v>20</v>
      </c>
      <c r="C43" s="31">
        <f t="shared" si="0"/>
        <v>1199.9999881082238</v>
      </c>
      <c r="D43" s="31">
        <f t="shared" si="1"/>
        <v>569.55135243061022</v>
      </c>
      <c r="E43" s="31">
        <f t="shared" si="2"/>
        <v>630.44863567761354</v>
      </c>
      <c r="F43" s="31">
        <f t="shared" si="3"/>
        <v>194644.30076910302</v>
      </c>
    </row>
    <row r="44" spans="2:6" hidden="1" x14ac:dyDescent="0.25">
      <c r="B44" s="4">
        <v>21</v>
      </c>
      <c r="C44" s="31">
        <f t="shared" si="0"/>
        <v>1199.9999881082238</v>
      </c>
      <c r="D44" s="31">
        <f t="shared" si="1"/>
        <v>567.71254390988383</v>
      </c>
      <c r="E44" s="31">
        <f t="shared" si="2"/>
        <v>632.28744419833993</v>
      </c>
      <c r="F44" s="31">
        <f t="shared" si="3"/>
        <v>194012.01332490469</v>
      </c>
    </row>
    <row r="45" spans="2:6" hidden="1" x14ac:dyDescent="0.25">
      <c r="B45" s="4">
        <v>22</v>
      </c>
      <c r="C45" s="31">
        <f t="shared" si="0"/>
        <v>1199.9999881082238</v>
      </c>
      <c r="D45" s="31">
        <f t="shared" si="1"/>
        <v>565.86837219763868</v>
      </c>
      <c r="E45" s="31">
        <f t="shared" si="2"/>
        <v>634.13161591058508</v>
      </c>
      <c r="F45" s="31">
        <f t="shared" si="3"/>
        <v>193377.8817089941</v>
      </c>
    </row>
    <row r="46" spans="2:6" hidden="1" x14ac:dyDescent="0.25">
      <c r="B46" s="4">
        <v>23</v>
      </c>
      <c r="C46" s="31">
        <f t="shared" si="0"/>
        <v>1199.9999881082238</v>
      </c>
      <c r="D46" s="31">
        <f t="shared" si="1"/>
        <v>564.01882165123277</v>
      </c>
      <c r="E46" s="31">
        <f t="shared" si="2"/>
        <v>635.98116645699099</v>
      </c>
      <c r="F46" s="31">
        <f t="shared" si="3"/>
        <v>192741.9005425371</v>
      </c>
    </row>
    <row r="47" spans="2:6" hidden="1" x14ac:dyDescent="0.25">
      <c r="B47" s="4">
        <v>24</v>
      </c>
      <c r="C47" s="31">
        <f t="shared" si="0"/>
        <v>1199.9999881082238</v>
      </c>
      <c r="D47" s="31">
        <f t="shared" si="1"/>
        <v>562.16387658239989</v>
      </c>
      <c r="E47" s="31">
        <f t="shared" si="2"/>
        <v>637.83611152582387</v>
      </c>
      <c r="F47" s="31">
        <f t="shared" si="3"/>
        <v>192104.06443101127</v>
      </c>
    </row>
    <row r="48" spans="2:6" hidden="1" x14ac:dyDescent="0.25">
      <c r="B48" s="4">
        <v>25</v>
      </c>
      <c r="C48" s="31">
        <f t="shared" si="0"/>
        <v>1199.9999881082238</v>
      </c>
      <c r="D48" s="31">
        <f t="shared" si="1"/>
        <v>560.30352125711624</v>
      </c>
      <c r="E48" s="31">
        <f t="shared" si="2"/>
        <v>639.69646685110752</v>
      </c>
      <c r="F48" s="31">
        <f t="shared" si="3"/>
        <v>191464.36796416016</v>
      </c>
    </row>
    <row r="49" spans="2:6" hidden="1" x14ac:dyDescent="0.25">
      <c r="B49" s="4">
        <v>26</v>
      </c>
      <c r="C49" s="31">
        <f t="shared" si="0"/>
        <v>1199.9999881082238</v>
      </c>
      <c r="D49" s="31">
        <f t="shared" si="1"/>
        <v>558.43773989546719</v>
      </c>
      <c r="E49" s="31">
        <f t="shared" si="2"/>
        <v>641.56224821275657</v>
      </c>
      <c r="F49" s="31">
        <f t="shared" si="3"/>
        <v>190822.80571594741</v>
      </c>
    </row>
    <row r="50" spans="2:6" hidden="1" x14ac:dyDescent="0.25">
      <c r="B50" s="4">
        <v>27</v>
      </c>
      <c r="C50" s="31">
        <f t="shared" si="0"/>
        <v>1199.9999881082238</v>
      </c>
      <c r="D50" s="31">
        <f t="shared" si="1"/>
        <v>556.56651667151334</v>
      </c>
      <c r="E50" s="31">
        <f t="shared" si="2"/>
        <v>643.43347143671042</v>
      </c>
      <c r="F50" s="31">
        <f t="shared" si="3"/>
        <v>190179.37224451071</v>
      </c>
    </row>
    <row r="51" spans="2:6" hidden="1" x14ac:dyDescent="0.25">
      <c r="B51" s="4">
        <v>28</v>
      </c>
      <c r="C51" s="31">
        <f t="shared" si="0"/>
        <v>1199.9999881082238</v>
      </c>
      <c r="D51" s="31">
        <f t="shared" si="1"/>
        <v>554.6898357131563</v>
      </c>
      <c r="E51" s="31">
        <f t="shared" si="2"/>
        <v>645.31015239506746</v>
      </c>
      <c r="F51" s="31">
        <f t="shared" si="3"/>
        <v>189534.06209211564</v>
      </c>
    </row>
    <row r="52" spans="2:6" hidden="1" x14ac:dyDescent="0.25">
      <c r="B52" s="4">
        <v>29</v>
      </c>
      <c r="C52" s="31">
        <f t="shared" si="0"/>
        <v>1199.9999881082238</v>
      </c>
      <c r="D52" s="31">
        <f t="shared" si="1"/>
        <v>552.80768110200393</v>
      </c>
      <c r="E52" s="31">
        <f t="shared" si="2"/>
        <v>647.19230700621983</v>
      </c>
      <c r="F52" s="31">
        <f t="shared" si="3"/>
        <v>188886.86978510942</v>
      </c>
    </row>
    <row r="53" spans="2:6" hidden="1" x14ac:dyDescent="0.25">
      <c r="B53" s="4">
        <v>30</v>
      </c>
      <c r="C53" s="31">
        <f t="shared" si="0"/>
        <v>1199.9999881082238</v>
      </c>
      <c r="D53" s="31">
        <f t="shared" si="1"/>
        <v>550.92003687323586</v>
      </c>
      <c r="E53" s="31">
        <f t="shared" si="2"/>
        <v>649.0799512349879</v>
      </c>
      <c r="F53" s="31">
        <f t="shared" si="3"/>
        <v>188237.78983387444</v>
      </c>
    </row>
    <row r="54" spans="2:6" hidden="1" x14ac:dyDescent="0.25">
      <c r="B54" s="4">
        <v>31</v>
      </c>
      <c r="C54" s="31">
        <f t="shared" si="0"/>
        <v>1199.9999881082238</v>
      </c>
      <c r="D54" s="31">
        <f t="shared" si="1"/>
        <v>549.0268870154672</v>
      </c>
      <c r="E54" s="31">
        <f t="shared" si="2"/>
        <v>650.97310109275656</v>
      </c>
      <c r="F54" s="31">
        <f t="shared" si="3"/>
        <v>187586.81673278168</v>
      </c>
    </row>
    <row r="55" spans="2:6" hidden="1" x14ac:dyDescent="0.25">
      <c r="B55" s="4">
        <v>32</v>
      </c>
      <c r="C55" s="31">
        <f t="shared" si="0"/>
        <v>1199.9999881082238</v>
      </c>
      <c r="D55" s="31">
        <f t="shared" si="1"/>
        <v>547.12821547061321</v>
      </c>
      <c r="E55" s="31">
        <f t="shared" si="2"/>
        <v>652.87177263761055</v>
      </c>
      <c r="F55" s="31">
        <f t="shared" si="3"/>
        <v>186933.94496014406</v>
      </c>
    </row>
    <row r="56" spans="2:6" hidden="1" x14ac:dyDescent="0.25">
      <c r="B56" s="4">
        <v>33</v>
      </c>
      <c r="C56" s="31">
        <f t="shared" si="0"/>
        <v>1199.9999881082238</v>
      </c>
      <c r="D56" s="31">
        <f t="shared" si="1"/>
        <v>545.22400613375351</v>
      </c>
      <c r="E56" s="31">
        <f t="shared" si="2"/>
        <v>654.77598197447026</v>
      </c>
      <c r="F56" s="31">
        <f t="shared" si="3"/>
        <v>186279.16897816959</v>
      </c>
    </row>
    <row r="57" spans="2:6" hidden="1" x14ac:dyDescent="0.25">
      <c r="B57" s="4">
        <v>34</v>
      </c>
      <c r="C57" s="31">
        <f t="shared" si="0"/>
        <v>1199.9999881082238</v>
      </c>
      <c r="D57" s="31">
        <f t="shared" si="1"/>
        <v>543.31424285299465</v>
      </c>
      <c r="E57" s="31">
        <f t="shared" si="2"/>
        <v>656.68574525522911</v>
      </c>
      <c r="F57" s="31">
        <f t="shared" si="3"/>
        <v>185622.48323291435</v>
      </c>
    </row>
    <row r="58" spans="2:6" hidden="1" x14ac:dyDescent="0.25">
      <c r="B58" s="4">
        <v>35</v>
      </c>
      <c r="C58" s="31">
        <f t="shared" si="0"/>
        <v>1199.9999881082238</v>
      </c>
      <c r="D58" s="31">
        <f t="shared" si="1"/>
        <v>541.39890942933357</v>
      </c>
      <c r="E58" s="31">
        <f t="shared" si="2"/>
        <v>658.60107867889019</v>
      </c>
      <c r="F58" s="31">
        <f t="shared" si="3"/>
        <v>184963.88215423547</v>
      </c>
    </row>
    <row r="59" spans="2:6" hidden="1" x14ac:dyDescent="0.25">
      <c r="B59" s="4">
        <v>36</v>
      </c>
      <c r="C59" s="31">
        <f t="shared" si="0"/>
        <v>1199.9999881082238</v>
      </c>
      <c r="D59" s="31">
        <f t="shared" si="1"/>
        <v>539.47798961652018</v>
      </c>
      <c r="E59" s="31">
        <f t="shared" si="2"/>
        <v>660.52199849170358</v>
      </c>
      <c r="F59" s="31">
        <f t="shared" si="3"/>
        <v>184303.36015574378</v>
      </c>
    </row>
    <row r="60" spans="2:6" hidden="1" x14ac:dyDescent="0.25">
      <c r="B60" s="4">
        <v>37</v>
      </c>
      <c r="C60" s="31">
        <f t="shared" si="0"/>
        <v>1199.9999881082238</v>
      </c>
      <c r="D60" s="31">
        <f t="shared" si="1"/>
        <v>537.55146712091937</v>
      </c>
      <c r="E60" s="31">
        <f t="shared" si="2"/>
        <v>662.44852098730439</v>
      </c>
      <c r="F60" s="31">
        <f t="shared" si="3"/>
        <v>183640.91163475649</v>
      </c>
    </row>
    <row r="61" spans="2:6" hidden="1" x14ac:dyDescent="0.25">
      <c r="B61" s="4">
        <v>38</v>
      </c>
      <c r="C61" s="31">
        <f t="shared" si="0"/>
        <v>1199.9999881082238</v>
      </c>
      <c r="D61" s="31">
        <f t="shared" si="1"/>
        <v>535.61932560137313</v>
      </c>
      <c r="E61" s="31">
        <f t="shared" si="2"/>
        <v>664.38066250685063</v>
      </c>
      <c r="F61" s="31">
        <f t="shared" si="3"/>
        <v>182976.53097224963</v>
      </c>
    </row>
    <row r="62" spans="2:6" hidden="1" x14ac:dyDescent="0.25">
      <c r="B62" s="4">
        <v>39</v>
      </c>
      <c r="C62" s="31">
        <f t="shared" si="0"/>
        <v>1199.9999881082238</v>
      </c>
      <c r="D62" s="31">
        <f t="shared" si="1"/>
        <v>533.6815486690615</v>
      </c>
      <c r="E62" s="31">
        <f t="shared" si="2"/>
        <v>666.31843943916226</v>
      </c>
      <c r="F62" s="31">
        <f t="shared" si="3"/>
        <v>182310.21253281046</v>
      </c>
    </row>
    <row r="63" spans="2:6" hidden="1" x14ac:dyDescent="0.25">
      <c r="B63" s="4">
        <v>40</v>
      </c>
      <c r="C63" s="31">
        <f t="shared" si="0"/>
        <v>1199.9999881082238</v>
      </c>
      <c r="D63" s="31">
        <f t="shared" si="1"/>
        <v>531.73811988736384</v>
      </c>
      <c r="E63" s="31">
        <f t="shared" si="2"/>
        <v>668.26186822085992</v>
      </c>
      <c r="F63" s="31">
        <f t="shared" si="3"/>
        <v>181641.95066458959</v>
      </c>
    </row>
    <row r="64" spans="2:6" hidden="1" x14ac:dyDescent="0.25">
      <c r="B64" s="4">
        <v>41</v>
      </c>
      <c r="C64" s="31">
        <f t="shared" si="0"/>
        <v>1199.9999881082238</v>
      </c>
      <c r="D64" s="31">
        <f t="shared" si="1"/>
        <v>529.78902277171971</v>
      </c>
      <c r="E64" s="31">
        <f t="shared" si="2"/>
        <v>670.21096533650405</v>
      </c>
      <c r="F64" s="31">
        <f t="shared" si="3"/>
        <v>180971.73969925308</v>
      </c>
    </row>
    <row r="65" spans="2:6" hidden="1" x14ac:dyDescent="0.25">
      <c r="B65" s="4">
        <v>42</v>
      </c>
      <c r="C65" s="31">
        <f t="shared" si="0"/>
        <v>1199.9999881082238</v>
      </c>
      <c r="D65" s="31">
        <f t="shared" si="1"/>
        <v>527.83424078948815</v>
      </c>
      <c r="E65" s="31">
        <f t="shared" si="2"/>
        <v>672.16574731873561</v>
      </c>
      <c r="F65" s="31">
        <f t="shared" si="3"/>
        <v>180299.57395193435</v>
      </c>
    </row>
    <row r="66" spans="2:6" hidden="1" x14ac:dyDescent="0.25">
      <c r="B66" s="4">
        <v>43</v>
      </c>
      <c r="C66" s="31">
        <f t="shared" si="0"/>
        <v>1199.9999881082238</v>
      </c>
      <c r="D66" s="31">
        <f t="shared" si="1"/>
        <v>525.87375735980856</v>
      </c>
      <c r="E66" s="31">
        <f t="shared" si="2"/>
        <v>674.1262307484152</v>
      </c>
      <c r="F66" s="31">
        <f t="shared" si="3"/>
        <v>179625.44772118592</v>
      </c>
    </row>
    <row r="67" spans="2:6" hidden="1" x14ac:dyDescent="0.25">
      <c r="B67" s="4">
        <v>44</v>
      </c>
      <c r="C67" s="31">
        <f t="shared" si="0"/>
        <v>1199.9999881082238</v>
      </c>
      <c r="D67" s="31">
        <f t="shared" si="1"/>
        <v>523.90755585345892</v>
      </c>
      <c r="E67" s="31">
        <f t="shared" si="2"/>
        <v>676.09243225476484</v>
      </c>
      <c r="F67" s="31">
        <f t="shared" si="3"/>
        <v>178949.35528893117</v>
      </c>
    </row>
    <row r="68" spans="2:6" hidden="1" x14ac:dyDescent="0.25">
      <c r="B68" s="4">
        <v>45</v>
      </c>
      <c r="C68" s="31">
        <f t="shared" si="0"/>
        <v>1199.9999881082238</v>
      </c>
      <c r="D68" s="31">
        <f t="shared" si="1"/>
        <v>521.93561959271597</v>
      </c>
      <c r="E68" s="31">
        <f t="shared" si="2"/>
        <v>678.06436851550779</v>
      </c>
      <c r="F68" s="31">
        <f t="shared" si="3"/>
        <v>178271.29092041566</v>
      </c>
    </row>
    <row r="69" spans="2:6" hidden="1" x14ac:dyDescent="0.25">
      <c r="B69" s="4">
        <v>46</v>
      </c>
      <c r="C69" s="31">
        <f t="shared" si="0"/>
        <v>1199.9999881082238</v>
      </c>
      <c r="D69" s="31">
        <f t="shared" si="1"/>
        <v>519.95793185121238</v>
      </c>
      <c r="E69" s="31">
        <f t="shared" si="2"/>
        <v>680.04205625701138</v>
      </c>
      <c r="F69" s="31">
        <f t="shared" si="3"/>
        <v>177591.24886415864</v>
      </c>
    </row>
    <row r="70" spans="2:6" hidden="1" x14ac:dyDescent="0.25">
      <c r="B70" s="4">
        <v>47</v>
      </c>
      <c r="C70" s="31">
        <f t="shared" si="0"/>
        <v>1199.9999881082238</v>
      </c>
      <c r="D70" s="31">
        <f t="shared" si="1"/>
        <v>517.97447585379609</v>
      </c>
      <c r="E70" s="31">
        <f t="shared" si="2"/>
        <v>682.02551225442767</v>
      </c>
      <c r="F70" s="31">
        <f t="shared" si="3"/>
        <v>176909.22335190422</v>
      </c>
    </row>
    <row r="71" spans="2:6" hidden="1" x14ac:dyDescent="0.25">
      <c r="B71" s="4">
        <v>48</v>
      </c>
      <c r="C71" s="31">
        <f t="shared" si="0"/>
        <v>1199.9999881082238</v>
      </c>
      <c r="D71" s="31">
        <f t="shared" si="1"/>
        <v>515.9852347763873</v>
      </c>
      <c r="E71" s="31">
        <f t="shared" si="2"/>
        <v>684.01475333183646</v>
      </c>
      <c r="F71" s="31">
        <f t="shared" si="3"/>
        <v>176225.20859857238</v>
      </c>
    </row>
    <row r="72" spans="2:6" hidden="1" x14ac:dyDescent="0.25">
      <c r="B72" s="4">
        <v>49</v>
      </c>
      <c r="C72" s="31">
        <f t="shared" si="0"/>
        <v>1199.9999881082238</v>
      </c>
      <c r="D72" s="31">
        <f t="shared" si="1"/>
        <v>513.99019174583611</v>
      </c>
      <c r="E72" s="31">
        <f t="shared" si="2"/>
        <v>686.00979636238765</v>
      </c>
      <c r="F72" s="31">
        <f t="shared" si="3"/>
        <v>175539.19880220998</v>
      </c>
    </row>
    <row r="73" spans="2:6" hidden="1" x14ac:dyDescent="0.25">
      <c r="B73" s="4">
        <v>50</v>
      </c>
      <c r="C73" s="31">
        <f t="shared" si="0"/>
        <v>1199.9999881082238</v>
      </c>
      <c r="D73" s="31">
        <f t="shared" si="1"/>
        <v>511.98932983977915</v>
      </c>
      <c r="E73" s="31">
        <f t="shared" si="2"/>
        <v>688.01065826844456</v>
      </c>
      <c r="F73" s="31">
        <f t="shared" si="3"/>
        <v>174851.18814394154</v>
      </c>
    </row>
    <row r="74" spans="2:6" hidden="1" x14ac:dyDescent="0.25">
      <c r="B74" s="4">
        <v>51</v>
      </c>
      <c r="C74" s="31">
        <f t="shared" si="0"/>
        <v>1199.9999881082238</v>
      </c>
      <c r="D74" s="31">
        <f t="shared" si="1"/>
        <v>509.98263208649621</v>
      </c>
      <c r="E74" s="31">
        <f t="shared" si="2"/>
        <v>690.01735602172755</v>
      </c>
      <c r="F74" s="31">
        <f t="shared" si="3"/>
        <v>174161.17078791981</v>
      </c>
    </row>
    <row r="75" spans="2:6" hidden="1" x14ac:dyDescent="0.25">
      <c r="B75" s="4">
        <v>52</v>
      </c>
      <c r="C75" s="31">
        <f t="shared" si="0"/>
        <v>1199.9999881082238</v>
      </c>
      <c r="D75" s="31">
        <f t="shared" si="1"/>
        <v>507.97008146476611</v>
      </c>
      <c r="E75" s="31">
        <f t="shared" si="2"/>
        <v>692.02990664345771</v>
      </c>
      <c r="F75" s="31">
        <f t="shared" si="3"/>
        <v>173469.14088127634</v>
      </c>
    </row>
    <row r="76" spans="2:6" hidden="1" x14ac:dyDescent="0.25">
      <c r="B76" s="4">
        <v>53</v>
      </c>
      <c r="C76" s="31">
        <f t="shared" si="0"/>
        <v>1199.9999881082238</v>
      </c>
      <c r="D76" s="31">
        <f t="shared" si="1"/>
        <v>505.95166090372265</v>
      </c>
      <c r="E76" s="31">
        <f t="shared" si="2"/>
        <v>694.04832720450111</v>
      </c>
      <c r="F76" s="31">
        <f t="shared" si="3"/>
        <v>172775.09255407183</v>
      </c>
    </row>
    <row r="77" spans="2:6" hidden="1" x14ac:dyDescent="0.25">
      <c r="B77" s="4">
        <v>54</v>
      </c>
      <c r="C77" s="31">
        <f t="shared" si="0"/>
        <v>1199.9999881082238</v>
      </c>
      <c r="D77" s="31">
        <f t="shared" si="1"/>
        <v>503.92735328270953</v>
      </c>
      <c r="E77" s="31">
        <f t="shared" si="2"/>
        <v>696.07263482551423</v>
      </c>
      <c r="F77" s="31">
        <f t="shared" si="3"/>
        <v>172079.01991924632</v>
      </c>
    </row>
    <row r="78" spans="2:6" hidden="1" x14ac:dyDescent="0.25">
      <c r="B78" s="4">
        <v>55</v>
      </c>
      <c r="C78" s="31">
        <f t="shared" si="0"/>
        <v>1199.9999881082238</v>
      </c>
      <c r="D78" s="31">
        <f t="shared" si="1"/>
        <v>501.89714143113514</v>
      </c>
      <c r="E78" s="31">
        <f t="shared" si="2"/>
        <v>698.10284667708856</v>
      </c>
      <c r="F78" s="31">
        <f t="shared" si="3"/>
        <v>171380.91707256922</v>
      </c>
    </row>
    <row r="79" spans="2:6" hidden="1" x14ac:dyDescent="0.25">
      <c r="B79" s="4">
        <v>56</v>
      </c>
      <c r="C79" s="31">
        <f t="shared" si="0"/>
        <v>1199.9999881082238</v>
      </c>
      <c r="D79" s="31">
        <f t="shared" si="1"/>
        <v>499.86100812832694</v>
      </c>
      <c r="E79" s="31">
        <f t="shared" si="2"/>
        <v>700.13897997989682</v>
      </c>
      <c r="F79" s="31">
        <f t="shared" si="3"/>
        <v>170680.77809258932</v>
      </c>
    </row>
    <row r="80" spans="2:6" hidden="1" x14ac:dyDescent="0.25">
      <c r="B80" s="4">
        <v>57</v>
      </c>
      <c r="C80" s="31">
        <f t="shared" si="0"/>
        <v>1199.9999881082238</v>
      </c>
      <c r="D80" s="31">
        <f t="shared" si="1"/>
        <v>497.81893610338551</v>
      </c>
      <c r="E80" s="31">
        <f t="shared" si="2"/>
        <v>702.18105200483819</v>
      </c>
      <c r="F80" s="31">
        <f t="shared" si="3"/>
        <v>169978.59704058449</v>
      </c>
    </row>
    <row r="81" spans="2:6" hidden="1" x14ac:dyDescent="0.25">
      <c r="B81" s="4">
        <v>58</v>
      </c>
      <c r="C81" s="31">
        <f t="shared" si="0"/>
        <v>1199.9999881082238</v>
      </c>
      <c r="D81" s="31">
        <f t="shared" si="1"/>
        <v>495.77090803503813</v>
      </c>
      <c r="E81" s="31">
        <f t="shared" si="2"/>
        <v>704.22908007318563</v>
      </c>
      <c r="F81" s="31">
        <f t="shared" si="3"/>
        <v>169274.3679605113</v>
      </c>
    </row>
    <row r="82" spans="2:6" hidden="1" x14ac:dyDescent="0.25">
      <c r="B82" s="4">
        <v>59</v>
      </c>
      <c r="C82" s="31">
        <f t="shared" si="0"/>
        <v>1199.9999881082238</v>
      </c>
      <c r="D82" s="31">
        <f t="shared" si="1"/>
        <v>493.71690655149132</v>
      </c>
      <c r="E82" s="31">
        <f t="shared" si="2"/>
        <v>706.28308155673244</v>
      </c>
      <c r="F82" s="31">
        <f t="shared" si="3"/>
        <v>168568.08487895457</v>
      </c>
    </row>
    <row r="83" spans="2:6" hidden="1" x14ac:dyDescent="0.25">
      <c r="B83" s="4">
        <v>60</v>
      </c>
      <c r="C83" s="31">
        <f t="shared" si="0"/>
        <v>1199.9999881082238</v>
      </c>
      <c r="D83" s="31">
        <f t="shared" si="1"/>
        <v>491.6569142302842</v>
      </c>
      <c r="E83" s="31">
        <f t="shared" si="2"/>
        <v>708.34307387793956</v>
      </c>
      <c r="F83" s="31">
        <f t="shared" si="3"/>
        <v>167859.74180507663</v>
      </c>
    </row>
    <row r="84" spans="2:6" hidden="1" x14ac:dyDescent="0.25">
      <c r="B84" s="4">
        <v>61</v>
      </c>
      <c r="C84" s="31">
        <f t="shared" si="0"/>
        <v>1199.9999881082238</v>
      </c>
      <c r="D84" s="31">
        <f t="shared" si="1"/>
        <v>489.59091359814016</v>
      </c>
      <c r="E84" s="31">
        <f t="shared" si="2"/>
        <v>710.40907451008366</v>
      </c>
      <c r="F84" s="31">
        <f t="shared" si="3"/>
        <v>167149.33273056656</v>
      </c>
    </row>
    <row r="85" spans="2:6" hidden="1" x14ac:dyDescent="0.25">
      <c r="B85" s="4">
        <v>62</v>
      </c>
      <c r="C85" s="31">
        <f t="shared" si="0"/>
        <v>1199.9999881082238</v>
      </c>
      <c r="D85" s="31">
        <f t="shared" si="1"/>
        <v>487.51888713081917</v>
      </c>
      <c r="E85" s="31">
        <f t="shared" si="2"/>
        <v>712.48110097740459</v>
      </c>
      <c r="F85" s="31">
        <f t="shared" si="3"/>
        <v>166436.85162958916</v>
      </c>
    </row>
    <row r="86" spans="2:6" hidden="1" x14ac:dyDescent="0.25">
      <c r="B86" s="4">
        <v>63</v>
      </c>
      <c r="C86" s="31">
        <f t="shared" si="0"/>
        <v>1199.9999881082238</v>
      </c>
      <c r="D86" s="31">
        <f t="shared" si="1"/>
        <v>485.44081725296843</v>
      </c>
      <c r="E86" s="31">
        <f t="shared" si="2"/>
        <v>714.55917085525539</v>
      </c>
      <c r="F86" s="31">
        <f t="shared" si="3"/>
        <v>165722.29245873389</v>
      </c>
    </row>
    <row r="87" spans="2:6" hidden="1" x14ac:dyDescent="0.25">
      <c r="B87" s="4">
        <v>64</v>
      </c>
      <c r="C87" s="31">
        <f t="shared" si="0"/>
        <v>1199.9999881082238</v>
      </c>
      <c r="D87" s="31">
        <f t="shared" si="1"/>
        <v>483.35668633797388</v>
      </c>
      <c r="E87" s="31">
        <f t="shared" si="2"/>
        <v>716.64330177024988</v>
      </c>
      <c r="F87" s="31">
        <f t="shared" si="3"/>
        <v>165005.64915696366</v>
      </c>
    </row>
    <row r="88" spans="2:6" hidden="1" x14ac:dyDescent="0.25">
      <c r="B88" s="4">
        <v>65</v>
      </c>
      <c r="C88" s="31">
        <f t="shared" si="0"/>
        <v>1199.9999881082238</v>
      </c>
      <c r="D88" s="31">
        <f t="shared" si="1"/>
        <v>481.26647670781068</v>
      </c>
      <c r="E88" s="31">
        <f t="shared" si="2"/>
        <v>718.73351140041314</v>
      </c>
      <c r="F88" s="31">
        <f t="shared" si="3"/>
        <v>164286.91564556325</v>
      </c>
    </row>
    <row r="89" spans="2:6" hidden="1" x14ac:dyDescent="0.25">
      <c r="B89" s="4">
        <v>66</v>
      </c>
      <c r="C89" s="31">
        <f t="shared" ref="C89:C152" si="4">-$C$13</f>
        <v>1199.9999881082238</v>
      </c>
      <c r="D89" s="31">
        <f t="shared" ref="D89:D152" si="5">F88*C$11</f>
        <v>479.17017063289285</v>
      </c>
      <c r="E89" s="31">
        <f t="shared" ref="E89:E152" si="6">C89-D89</f>
        <v>720.82981747533086</v>
      </c>
      <c r="F89" s="31">
        <f t="shared" ref="F89:F152" si="7">F88-E89</f>
        <v>163566.0858280879</v>
      </c>
    </row>
    <row r="90" spans="2:6" hidden="1" x14ac:dyDescent="0.25">
      <c r="B90" s="4">
        <v>67</v>
      </c>
      <c r="C90" s="31">
        <f t="shared" si="4"/>
        <v>1199.9999881082238</v>
      </c>
      <c r="D90" s="31">
        <f t="shared" si="5"/>
        <v>477.06775033192309</v>
      </c>
      <c r="E90" s="31">
        <f t="shared" si="6"/>
        <v>722.93223777630067</v>
      </c>
      <c r="F90" s="31">
        <f t="shared" si="7"/>
        <v>162843.15359031162</v>
      </c>
    </row>
    <row r="91" spans="2:6" hidden="1" x14ac:dyDescent="0.25">
      <c r="B91" s="4">
        <v>68</v>
      </c>
      <c r="C91" s="31">
        <f t="shared" si="4"/>
        <v>1199.9999881082238</v>
      </c>
      <c r="D91" s="31">
        <f t="shared" si="5"/>
        <v>474.95919797174224</v>
      </c>
      <c r="E91" s="31">
        <f t="shared" si="6"/>
        <v>725.04079013648152</v>
      </c>
      <c r="F91" s="31">
        <f t="shared" si="7"/>
        <v>162118.11280017515</v>
      </c>
    </row>
    <row r="92" spans="2:6" hidden="1" x14ac:dyDescent="0.25">
      <c r="B92" s="4">
        <v>69</v>
      </c>
      <c r="C92" s="31">
        <f t="shared" si="4"/>
        <v>1199.9999881082238</v>
      </c>
      <c r="D92" s="31">
        <f t="shared" si="5"/>
        <v>472.84449566717757</v>
      </c>
      <c r="E92" s="31">
        <f t="shared" si="6"/>
        <v>727.15549244104614</v>
      </c>
      <c r="F92" s="31">
        <f t="shared" si="7"/>
        <v>161390.95730773409</v>
      </c>
    </row>
    <row r="93" spans="2:6" hidden="1" x14ac:dyDescent="0.25">
      <c r="B93" s="4">
        <v>70</v>
      </c>
      <c r="C93" s="31">
        <f t="shared" si="4"/>
        <v>1199.9999881082238</v>
      </c>
      <c r="D93" s="31">
        <f t="shared" si="5"/>
        <v>470.72362548089114</v>
      </c>
      <c r="E93" s="31">
        <f t="shared" si="6"/>
        <v>729.27636262733267</v>
      </c>
      <c r="F93" s="31">
        <f t="shared" si="7"/>
        <v>160661.68094510675</v>
      </c>
    </row>
    <row r="94" spans="2:6" hidden="1" x14ac:dyDescent="0.25">
      <c r="B94" s="4">
        <v>71</v>
      </c>
      <c r="C94" s="31">
        <f t="shared" si="4"/>
        <v>1199.9999881082238</v>
      </c>
      <c r="D94" s="31">
        <f t="shared" si="5"/>
        <v>468.59656942322806</v>
      </c>
      <c r="E94" s="31">
        <f t="shared" si="6"/>
        <v>731.4034186849957</v>
      </c>
      <c r="F94" s="31">
        <f t="shared" si="7"/>
        <v>159930.27752642176</v>
      </c>
    </row>
    <row r="95" spans="2:6" hidden="1" x14ac:dyDescent="0.25">
      <c r="B95" s="4">
        <v>72</v>
      </c>
      <c r="C95" s="31">
        <f t="shared" si="4"/>
        <v>1199.9999881082238</v>
      </c>
      <c r="D95" s="31">
        <f t="shared" si="5"/>
        <v>466.46330945206347</v>
      </c>
      <c r="E95" s="31">
        <f t="shared" si="6"/>
        <v>733.53667865616035</v>
      </c>
      <c r="F95" s="31">
        <f t="shared" si="7"/>
        <v>159196.74084776561</v>
      </c>
    </row>
    <row r="96" spans="2:6" hidden="1" x14ac:dyDescent="0.25">
      <c r="B96" s="4">
        <v>73</v>
      </c>
      <c r="C96" s="31">
        <f t="shared" si="4"/>
        <v>1199.9999881082238</v>
      </c>
      <c r="D96" s="31">
        <f t="shared" si="5"/>
        <v>464.32382747264973</v>
      </c>
      <c r="E96" s="31">
        <f t="shared" si="6"/>
        <v>735.67616063557398</v>
      </c>
      <c r="F96" s="31">
        <f t="shared" si="7"/>
        <v>158461.06468713004</v>
      </c>
    </row>
    <row r="97" spans="2:6" hidden="1" x14ac:dyDescent="0.25">
      <c r="B97" s="4">
        <v>74</v>
      </c>
      <c r="C97" s="31">
        <f t="shared" si="4"/>
        <v>1199.9999881082238</v>
      </c>
      <c r="D97" s="31">
        <f t="shared" si="5"/>
        <v>462.17810533746263</v>
      </c>
      <c r="E97" s="31">
        <f t="shared" si="6"/>
        <v>737.82188277076114</v>
      </c>
      <c r="F97" s="31">
        <f t="shared" si="7"/>
        <v>157723.24280435927</v>
      </c>
    </row>
    <row r="98" spans="2:6" hidden="1" x14ac:dyDescent="0.25">
      <c r="B98" s="4">
        <v>75</v>
      </c>
      <c r="C98" s="31">
        <f t="shared" si="4"/>
        <v>1199.9999881082238</v>
      </c>
      <c r="D98" s="31">
        <f t="shared" si="5"/>
        <v>460.02612484604788</v>
      </c>
      <c r="E98" s="31">
        <f t="shared" si="6"/>
        <v>739.97386326217588</v>
      </c>
      <c r="F98" s="31">
        <f t="shared" si="7"/>
        <v>156983.26894109708</v>
      </c>
    </row>
    <row r="99" spans="2:6" hidden="1" x14ac:dyDescent="0.25">
      <c r="B99" s="4">
        <v>76</v>
      </c>
      <c r="C99" s="31">
        <f t="shared" si="4"/>
        <v>1199.9999881082238</v>
      </c>
      <c r="D99" s="31">
        <f t="shared" si="5"/>
        <v>457.86786774486649</v>
      </c>
      <c r="E99" s="31">
        <f t="shared" si="6"/>
        <v>742.13212036335722</v>
      </c>
      <c r="F99" s="31">
        <f t="shared" si="7"/>
        <v>156241.13682073372</v>
      </c>
    </row>
    <row r="100" spans="2:6" hidden="1" x14ac:dyDescent="0.25">
      <c r="B100" s="4">
        <v>77</v>
      </c>
      <c r="C100" s="31">
        <f t="shared" si="4"/>
        <v>1199.9999881082238</v>
      </c>
      <c r="D100" s="31">
        <f t="shared" si="5"/>
        <v>455.70331572714002</v>
      </c>
      <c r="E100" s="31">
        <f t="shared" si="6"/>
        <v>744.29667238108368</v>
      </c>
      <c r="F100" s="31">
        <f t="shared" si="7"/>
        <v>155496.84014835264</v>
      </c>
    </row>
    <row r="101" spans="2:6" hidden="1" x14ac:dyDescent="0.25">
      <c r="B101" s="4">
        <v>78</v>
      </c>
      <c r="C101" s="31">
        <f t="shared" si="4"/>
        <v>1199.9999881082238</v>
      </c>
      <c r="D101" s="31">
        <f t="shared" si="5"/>
        <v>453.53245043269521</v>
      </c>
      <c r="E101" s="31">
        <f t="shared" si="6"/>
        <v>746.46753767552855</v>
      </c>
      <c r="F101" s="31">
        <f t="shared" si="7"/>
        <v>154750.37261067712</v>
      </c>
    </row>
    <row r="102" spans="2:6" hidden="1" x14ac:dyDescent="0.25">
      <c r="B102" s="4">
        <v>79</v>
      </c>
      <c r="C102" s="31">
        <f t="shared" si="4"/>
        <v>1199.9999881082238</v>
      </c>
      <c r="D102" s="31">
        <f t="shared" si="5"/>
        <v>451.35525344780831</v>
      </c>
      <c r="E102" s="31">
        <f t="shared" si="6"/>
        <v>748.64473466041545</v>
      </c>
      <c r="F102" s="31">
        <f t="shared" si="7"/>
        <v>154001.7278760167</v>
      </c>
    </row>
    <row r="103" spans="2:6" hidden="1" x14ac:dyDescent="0.25">
      <c r="B103" s="4">
        <v>80</v>
      </c>
      <c r="C103" s="31">
        <f t="shared" si="4"/>
        <v>1199.9999881082238</v>
      </c>
      <c r="D103" s="31">
        <f t="shared" si="5"/>
        <v>449.1717063050487</v>
      </c>
      <c r="E103" s="31">
        <f t="shared" si="6"/>
        <v>750.82828180317506</v>
      </c>
      <c r="F103" s="31">
        <f t="shared" si="7"/>
        <v>153250.89959421352</v>
      </c>
    </row>
    <row r="104" spans="2:6" hidden="1" x14ac:dyDescent="0.25">
      <c r="B104" s="4">
        <v>81</v>
      </c>
      <c r="C104" s="31">
        <f t="shared" si="4"/>
        <v>1199.9999881082238</v>
      </c>
      <c r="D104" s="31">
        <f t="shared" si="5"/>
        <v>446.98179048312278</v>
      </c>
      <c r="E104" s="31">
        <f t="shared" si="6"/>
        <v>753.01819762510104</v>
      </c>
      <c r="F104" s="31">
        <f t="shared" si="7"/>
        <v>152497.88139658843</v>
      </c>
    </row>
    <row r="105" spans="2:6" hidden="1" x14ac:dyDescent="0.25">
      <c r="B105" s="4">
        <v>82</v>
      </c>
      <c r="C105" s="31">
        <f t="shared" si="4"/>
        <v>1199.9999881082238</v>
      </c>
      <c r="D105" s="31">
        <f t="shared" si="5"/>
        <v>444.7854874067163</v>
      </c>
      <c r="E105" s="31">
        <f t="shared" si="6"/>
        <v>755.2145007015074</v>
      </c>
      <c r="F105" s="31">
        <f t="shared" si="7"/>
        <v>151742.66689588691</v>
      </c>
    </row>
    <row r="106" spans="2:6" hidden="1" x14ac:dyDescent="0.25">
      <c r="B106" s="4">
        <v>83</v>
      </c>
      <c r="C106" s="31">
        <f t="shared" si="4"/>
        <v>1199.9999881082238</v>
      </c>
      <c r="D106" s="31">
        <f t="shared" si="5"/>
        <v>442.58277844633687</v>
      </c>
      <c r="E106" s="31">
        <f t="shared" si="6"/>
        <v>757.41720966188689</v>
      </c>
      <c r="F106" s="31">
        <f t="shared" si="7"/>
        <v>150985.24968622503</v>
      </c>
    </row>
    <row r="107" spans="2:6" hidden="1" x14ac:dyDescent="0.25">
      <c r="B107" s="4">
        <v>84</v>
      </c>
      <c r="C107" s="31">
        <f t="shared" si="4"/>
        <v>1199.9999881082238</v>
      </c>
      <c r="D107" s="31">
        <f t="shared" si="5"/>
        <v>440.37364491815634</v>
      </c>
      <c r="E107" s="31">
        <f t="shared" si="6"/>
        <v>759.62634319006747</v>
      </c>
      <c r="F107" s="31">
        <f t="shared" si="7"/>
        <v>150225.62334303497</v>
      </c>
    </row>
    <row r="108" spans="2:6" hidden="1" x14ac:dyDescent="0.25">
      <c r="B108" s="4">
        <v>85</v>
      </c>
      <c r="C108" s="31">
        <f t="shared" si="4"/>
        <v>1199.9999881082238</v>
      </c>
      <c r="D108" s="31">
        <f t="shared" si="5"/>
        <v>438.15806808385202</v>
      </c>
      <c r="E108" s="31">
        <f t="shared" si="6"/>
        <v>761.8419200243718</v>
      </c>
      <c r="F108" s="31">
        <f t="shared" si="7"/>
        <v>149463.7814230106</v>
      </c>
    </row>
    <row r="109" spans="2:6" hidden="1" x14ac:dyDescent="0.25">
      <c r="B109" s="4">
        <v>86</v>
      </c>
      <c r="C109" s="31">
        <f t="shared" si="4"/>
        <v>1199.9999881082238</v>
      </c>
      <c r="D109" s="31">
        <f t="shared" si="5"/>
        <v>435.93602915044761</v>
      </c>
      <c r="E109" s="31">
        <f t="shared" si="6"/>
        <v>764.06395895777609</v>
      </c>
      <c r="F109" s="31">
        <f t="shared" si="7"/>
        <v>148699.71746405284</v>
      </c>
    </row>
    <row r="110" spans="2:6" hidden="1" x14ac:dyDescent="0.25">
      <c r="B110" s="4">
        <v>87</v>
      </c>
      <c r="C110" s="31">
        <f t="shared" si="4"/>
        <v>1199.9999881082238</v>
      </c>
      <c r="D110" s="31">
        <f t="shared" si="5"/>
        <v>433.70750927015416</v>
      </c>
      <c r="E110" s="31">
        <f t="shared" si="6"/>
        <v>766.29247883806966</v>
      </c>
      <c r="F110" s="31">
        <f t="shared" si="7"/>
        <v>147933.42498521478</v>
      </c>
    </row>
    <row r="111" spans="2:6" hidden="1" x14ac:dyDescent="0.25">
      <c r="B111" s="4">
        <v>88</v>
      </c>
      <c r="C111" s="31">
        <f t="shared" si="4"/>
        <v>1199.9999881082238</v>
      </c>
      <c r="D111" s="31">
        <f t="shared" si="5"/>
        <v>431.47248954020978</v>
      </c>
      <c r="E111" s="31">
        <f t="shared" si="6"/>
        <v>768.52749856801393</v>
      </c>
      <c r="F111" s="31">
        <f t="shared" si="7"/>
        <v>147164.89748664678</v>
      </c>
    </row>
    <row r="112" spans="2:6" hidden="1" x14ac:dyDescent="0.25">
      <c r="B112" s="4">
        <v>89</v>
      </c>
      <c r="C112" s="31">
        <f t="shared" si="4"/>
        <v>1199.9999881082238</v>
      </c>
      <c r="D112" s="31">
        <f t="shared" si="5"/>
        <v>429.23095100271979</v>
      </c>
      <c r="E112" s="31">
        <f t="shared" si="6"/>
        <v>770.76903710550391</v>
      </c>
      <c r="F112" s="31">
        <f t="shared" si="7"/>
        <v>146394.12844954128</v>
      </c>
    </row>
    <row r="113" spans="2:6" hidden="1" x14ac:dyDescent="0.25">
      <c r="B113" s="4">
        <v>90</v>
      </c>
      <c r="C113" s="31">
        <f t="shared" si="4"/>
        <v>1199.9999881082238</v>
      </c>
      <c r="D113" s="31">
        <f t="shared" si="5"/>
        <v>426.98287464449544</v>
      </c>
      <c r="E113" s="31">
        <f t="shared" si="6"/>
        <v>773.01711346372826</v>
      </c>
      <c r="F113" s="31">
        <f t="shared" si="7"/>
        <v>145621.11133607756</v>
      </c>
    </row>
    <row r="114" spans="2:6" hidden="1" x14ac:dyDescent="0.25">
      <c r="B114" s="4">
        <v>91</v>
      </c>
      <c r="C114" s="31">
        <f t="shared" si="4"/>
        <v>1199.9999881082238</v>
      </c>
      <c r="D114" s="31">
        <f t="shared" si="5"/>
        <v>424.72824139689294</v>
      </c>
      <c r="E114" s="31">
        <f t="shared" si="6"/>
        <v>775.27174671133082</v>
      </c>
      <c r="F114" s="31">
        <f t="shared" si="7"/>
        <v>144845.83958936622</v>
      </c>
    </row>
    <row r="115" spans="2:6" hidden="1" x14ac:dyDescent="0.25">
      <c r="B115" s="4">
        <v>92</v>
      </c>
      <c r="C115" s="31">
        <f t="shared" si="4"/>
        <v>1199.9999881082238</v>
      </c>
      <c r="D115" s="31">
        <f t="shared" si="5"/>
        <v>422.46703213565149</v>
      </c>
      <c r="E115" s="31">
        <f t="shared" si="6"/>
        <v>777.53295597257227</v>
      </c>
      <c r="F115" s="31">
        <f t="shared" si="7"/>
        <v>144068.30663339366</v>
      </c>
    </row>
    <row r="116" spans="2:6" hidden="1" x14ac:dyDescent="0.25">
      <c r="B116" s="4">
        <v>93</v>
      </c>
      <c r="C116" s="31">
        <f t="shared" si="4"/>
        <v>1199.9999881082238</v>
      </c>
      <c r="D116" s="31">
        <f t="shared" si="5"/>
        <v>420.1992276807315</v>
      </c>
      <c r="E116" s="31">
        <f t="shared" si="6"/>
        <v>779.80076042749226</v>
      </c>
      <c r="F116" s="31">
        <f t="shared" si="7"/>
        <v>143288.50587296617</v>
      </c>
    </row>
    <row r="117" spans="2:6" hidden="1" x14ac:dyDescent="0.25">
      <c r="B117" s="4">
        <v>94</v>
      </c>
      <c r="C117" s="31">
        <f t="shared" si="4"/>
        <v>1199.9999881082238</v>
      </c>
      <c r="D117" s="31">
        <f t="shared" si="5"/>
        <v>417.92480879615135</v>
      </c>
      <c r="E117" s="31">
        <f t="shared" si="6"/>
        <v>782.07517931207235</v>
      </c>
      <c r="F117" s="31">
        <f t="shared" si="7"/>
        <v>142506.43069365411</v>
      </c>
    </row>
    <row r="118" spans="2:6" hidden="1" x14ac:dyDescent="0.25">
      <c r="B118" s="4">
        <v>95</v>
      </c>
      <c r="C118" s="31">
        <f t="shared" si="4"/>
        <v>1199.9999881082238</v>
      </c>
      <c r="D118" s="31">
        <f t="shared" si="5"/>
        <v>415.6437561898245</v>
      </c>
      <c r="E118" s="31">
        <f t="shared" si="6"/>
        <v>784.35623191839932</v>
      </c>
      <c r="F118" s="31">
        <f t="shared" si="7"/>
        <v>141722.0744617357</v>
      </c>
    </row>
    <row r="119" spans="2:6" hidden="1" x14ac:dyDescent="0.25">
      <c r="B119" s="4">
        <v>96</v>
      </c>
      <c r="C119" s="31">
        <f t="shared" si="4"/>
        <v>1199.9999881082238</v>
      </c>
      <c r="D119" s="31">
        <f t="shared" si="5"/>
        <v>413.35605051339581</v>
      </c>
      <c r="E119" s="31">
        <f t="shared" si="6"/>
        <v>786.643937594828</v>
      </c>
      <c r="F119" s="31">
        <f t="shared" si="7"/>
        <v>140935.43052414086</v>
      </c>
    </row>
    <row r="120" spans="2:6" hidden="1" x14ac:dyDescent="0.25">
      <c r="B120" s="4">
        <v>97</v>
      </c>
      <c r="C120" s="31">
        <f t="shared" si="4"/>
        <v>1199.9999881082238</v>
      </c>
      <c r="D120" s="31">
        <f t="shared" si="5"/>
        <v>411.0616723620775</v>
      </c>
      <c r="E120" s="31">
        <f t="shared" si="6"/>
        <v>788.93831574614626</v>
      </c>
      <c r="F120" s="31">
        <f t="shared" si="7"/>
        <v>140146.49220839472</v>
      </c>
    </row>
    <row r="121" spans="2:6" hidden="1" x14ac:dyDescent="0.25">
      <c r="B121" s="4">
        <v>98</v>
      </c>
      <c r="C121" s="31">
        <f t="shared" si="4"/>
        <v>1199.9999881082238</v>
      </c>
      <c r="D121" s="31">
        <f t="shared" si="5"/>
        <v>408.7606022744846</v>
      </c>
      <c r="E121" s="31">
        <f t="shared" si="6"/>
        <v>791.23938583373911</v>
      </c>
      <c r="F121" s="31">
        <f t="shared" si="7"/>
        <v>139355.25282256099</v>
      </c>
    </row>
    <row r="122" spans="2:6" hidden="1" x14ac:dyDescent="0.25">
      <c r="B122" s="4">
        <v>99</v>
      </c>
      <c r="C122" s="31">
        <f t="shared" si="4"/>
        <v>1199.9999881082238</v>
      </c>
      <c r="D122" s="31">
        <f t="shared" si="5"/>
        <v>406.45282073246955</v>
      </c>
      <c r="E122" s="31">
        <f t="shared" si="6"/>
        <v>793.54716737575427</v>
      </c>
      <c r="F122" s="31">
        <f t="shared" si="7"/>
        <v>138561.70565518524</v>
      </c>
    </row>
    <row r="123" spans="2:6" hidden="1" x14ac:dyDescent="0.25">
      <c r="B123" s="4">
        <v>100</v>
      </c>
      <c r="C123" s="31">
        <f t="shared" si="4"/>
        <v>1199.9999881082238</v>
      </c>
      <c r="D123" s="31">
        <f t="shared" si="5"/>
        <v>404.13830816095697</v>
      </c>
      <c r="E123" s="31">
        <f t="shared" si="6"/>
        <v>795.86167994726679</v>
      </c>
      <c r="F123" s="31">
        <f t="shared" si="7"/>
        <v>137765.84397523798</v>
      </c>
    </row>
    <row r="124" spans="2:6" hidden="1" x14ac:dyDescent="0.25">
      <c r="B124" s="4">
        <v>101</v>
      </c>
      <c r="C124" s="31">
        <f t="shared" si="4"/>
        <v>1199.9999881082238</v>
      </c>
      <c r="D124" s="31">
        <f t="shared" si="5"/>
        <v>401.81704492777743</v>
      </c>
      <c r="E124" s="31">
        <f t="shared" si="6"/>
        <v>798.18294318044627</v>
      </c>
      <c r="F124" s="31">
        <f t="shared" si="7"/>
        <v>136967.66103205754</v>
      </c>
    </row>
    <row r="125" spans="2:6" hidden="1" x14ac:dyDescent="0.25">
      <c r="B125" s="4">
        <v>102</v>
      </c>
      <c r="C125" s="31">
        <f t="shared" si="4"/>
        <v>1199.9999881082238</v>
      </c>
      <c r="D125" s="31">
        <f t="shared" si="5"/>
        <v>399.4890113435012</v>
      </c>
      <c r="E125" s="31">
        <f t="shared" si="6"/>
        <v>800.5109767647225</v>
      </c>
      <c r="F125" s="31">
        <f t="shared" si="7"/>
        <v>136167.15005529282</v>
      </c>
    </row>
    <row r="126" spans="2:6" hidden="1" x14ac:dyDescent="0.25">
      <c r="B126" s="4">
        <v>103</v>
      </c>
      <c r="C126" s="31">
        <f t="shared" si="4"/>
        <v>1199.9999881082238</v>
      </c>
      <c r="D126" s="31">
        <f t="shared" si="5"/>
        <v>397.15418766127073</v>
      </c>
      <c r="E126" s="31">
        <f t="shared" si="6"/>
        <v>802.84580044695304</v>
      </c>
      <c r="F126" s="31">
        <f t="shared" si="7"/>
        <v>135364.30425484586</v>
      </c>
    </row>
    <row r="127" spans="2:6" hidden="1" x14ac:dyDescent="0.25">
      <c r="B127" s="4">
        <v>104</v>
      </c>
      <c r="C127" s="31">
        <f t="shared" si="4"/>
        <v>1199.9999881082238</v>
      </c>
      <c r="D127" s="31">
        <f t="shared" si="5"/>
        <v>394.81255407663377</v>
      </c>
      <c r="E127" s="31">
        <f t="shared" si="6"/>
        <v>805.18743403158999</v>
      </c>
      <c r="F127" s="31">
        <f t="shared" si="7"/>
        <v>134559.11682081426</v>
      </c>
    </row>
    <row r="128" spans="2:6" hidden="1" x14ac:dyDescent="0.25">
      <c r="B128" s="4">
        <v>105</v>
      </c>
      <c r="C128" s="31">
        <f t="shared" si="4"/>
        <v>1199.9999881082238</v>
      </c>
      <c r="D128" s="31">
        <f t="shared" si="5"/>
        <v>392.46409072737492</v>
      </c>
      <c r="E128" s="31">
        <f t="shared" si="6"/>
        <v>807.53589738084884</v>
      </c>
      <c r="F128" s="31">
        <f t="shared" si="7"/>
        <v>133751.58092343342</v>
      </c>
    </row>
    <row r="129" spans="2:6" hidden="1" x14ac:dyDescent="0.25">
      <c r="B129" s="4">
        <v>106</v>
      </c>
      <c r="C129" s="31">
        <f t="shared" si="4"/>
        <v>1199.9999881082238</v>
      </c>
      <c r="D129" s="31">
        <f t="shared" si="5"/>
        <v>390.10877769334746</v>
      </c>
      <c r="E129" s="31">
        <f t="shared" si="6"/>
        <v>809.89121041487624</v>
      </c>
      <c r="F129" s="31">
        <f t="shared" si="7"/>
        <v>132941.68971301854</v>
      </c>
    </row>
    <row r="130" spans="2:6" hidden="1" x14ac:dyDescent="0.25">
      <c r="B130" s="4">
        <v>107</v>
      </c>
      <c r="C130" s="31">
        <f t="shared" si="4"/>
        <v>1199.9999881082238</v>
      </c>
      <c r="D130" s="31">
        <f t="shared" si="5"/>
        <v>387.74659499630411</v>
      </c>
      <c r="E130" s="31">
        <f t="shared" si="6"/>
        <v>812.25339311191965</v>
      </c>
      <c r="F130" s="31">
        <f t="shared" si="7"/>
        <v>132129.43631990661</v>
      </c>
    </row>
    <row r="131" spans="2:6" hidden="1" x14ac:dyDescent="0.25">
      <c r="B131" s="4">
        <v>108</v>
      </c>
      <c r="C131" s="31">
        <f t="shared" si="4"/>
        <v>1199.9999881082238</v>
      </c>
      <c r="D131" s="31">
        <f t="shared" si="5"/>
        <v>385.37752259972763</v>
      </c>
      <c r="E131" s="31">
        <f t="shared" si="6"/>
        <v>814.62246550849613</v>
      </c>
      <c r="F131" s="31">
        <f t="shared" si="7"/>
        <v>131314.81385439812</v>
      </c>
    </row>
    <row r="132" spans="2:6" hidden="1" x14ac:dyDescent="0.25">
      <c r="B132" s="4">
        <v>109</v>
      </c>
      <c r="C132" s="31">
        <f t="shared" si="4"/>
        <v>1199.9999881082238</v>
      </c>
      <c r="D132" s="31">
        <f t="shared" si="5"/>
        <v>383.00154040866119</v>
      </c>
      <c r="E132" s="31">
        <f t="shared" si="6"/>
        <v>816.99844769956258</v>
      </c>
      <c r="F132" s="31">
        <f t="shared" si="7"/>
        <v>130497.81540669856</v>
      </c>
    </row>
    <row r="133" spans="2:6" hidden="1" x14ac:dyDescent="0.25">
      <c r="B133" s="4">
        <v>110</v>
      </c>
      <c r="C133" s="31">
        <f t="shared" si="4"/>
        <v>1199.9999881082238</v>
      </c>
      <c r="D133" s="31">
        <f t="shared" si="5"/>
        <v>380.61862826953745</v>
      </c>
      <c r="E133" s="31">
        <f t="shared" si="6"/>
        <v>819.38135983868631</v>
      </c>
      <c r="F133" s="31">
        <f t="shared" si="7"/>
        <v>129678.43404685987</v>
      </c>
    </row>
    <row r="134" spans="2:6" hidden="1" x14ac:dyDescent="0.25">
      <c r="B134" s="4">
        <v>111</v>
      </c>
      <c r="C134" s="31">
        <f t="shared" si="4"/>
        <v>1199.9999881082238</v>
      </c>
      <c r="D134" s="31">
        <f t="shared" si="5"/>
        <v>378.22876597000794</v>
      </c>
      <c r="E134" s="31">
        <f t="shared" si="6"/>
        <v>821.77122213821576</v>
      </c>
      <c r="F134" s="31">
        <f t="shared" si="7"/>
        <v>128856.66282472166</v>
      </c>
    </row>
    <row r="135" spans="2:6" hidden="1" x14ac:dyDescent="0.25">
      <c r="B135" s="4">
        <v>112</v>
      </c>
      <c r="C135" s="31">
        <f t="shared" si="4"/>
        <v>1199.9999881082238</v>
      </c>
      <c r="D135" s="31">
        <f t="shared" si="5"/>
        <v>375.83193323877151</v>
      </c>
      <c r="E135" s="31">
        <f t="shared" si="6"/>
        <v>824.16805486945225</v>
      </c>
      <c r="F135" s="31">
        <f t="shared" si="7"/>
        <v>128032.4947698522</v>
      </c>
    </row>
    <row r="136" spans="2:6" hidden="1" x14ac:dyDescent="0.25">
      <c r="B136" s="4">
        <v>113</v>
      </c>
      <c r="C136" s="31">
        <f t="shared" si="4"/>
        <v>1199.9999881082238</v>
      </c>
      <c r="D136" s="31">
        <f t="shared" si="5"/>
        <v>373.42810974540225</v>
      </c>
      <c r="E136" s="31">
        <f t="shared" si="6"/>
        <v>826.57187836282151</v>
      </c>
      <c r="F136" s="31">
        <f t="shared" si="7"/>
        <v>127205.92289148938</v>
      </c>
    </row>
    <row r="137" spans="2:6" hidden="1" x14ac:dyDescent="0.25">
      <c r="B137" s="4">
        <v>114</v>
      </c>
      <c r="C137" s="31">
        <f t="shared" si="4"/>
        <v>1199.9999881082238</v>
      </c>
      <c r="D137" s="31">
        <f t="shared" si="5"/>
        <v>371.01727510017736</v>
      </c>
      <c r="E137" s="31">
        <f t="shared" si="6"/>
        <v>828.9827130080464</v>
      </c>
      <c r="F137" s="31">
        <f t="shared" si="7"/>
        <v>126376.94017848132</v>
      </c>
    </row>
    <row r="138" spans="2:6" hidden="1" x14ac:dyDescent="0.25">
      <c r="B138" s="4">
        <v>115</v>
      </c>
      <c r="C138" s="31">
        <f t="shared" si="4"/>
        <v>1199.9999881082238</v>
      </c>
      <c r="D138" s="31">
        <f t="shared" si="5"/>
        <v>368.59940885390387</v>
      </c>
      <c r="E138" s="31">
        <f t="shared" si="6"/>
        <v>831.40057925431984</v>
      </c>
      <c r="F138" s="31">
        <f t="shared" si="7"/>
        <v>125545.53959922701</v>
      </c>
    </row>
    <row r="139" spans="2:6" hidden="1" x14ac:dyDescent="0.25">
      <c r="B139" s="4">
        <v>116</v>
      </c>
      <c r="C139" s="31">
        <f t="shared" si="4"/>
        <v>1199.9999881082238</v>
      </c>
      <c r="D139" s="31">
        <f t="shared" si="5"/>
        <v>366.17449049774547</v>
      </c>
      <c r="E139" s="31">
        <f t="shared" si="6"/>
        <v>833.82549761047835</v>
      </c>
      <c r="F139" s="31">
        <f t="shared" si="7"/>
        <v>124711.71410161653</v>
      </c>
    </row>
    <row r="140" spans="2:6" hidden="1" x14ac:dyDescent="0.25">
      <c r="B140" s="4">
        <v>117</v>
      </c>
      <c r="C140" s="31">
        <f t="shared" si="4"/>
        <v>1199.9999881082238</v>
      </c>
      <c r="D140" s="31">
        <f t="shared" si="5"/>
        <v>363.7424994630482</v>
      </c>
      <c r="E140" s="31">
        <f t="shared" si="6"/>
        <v>836.2574886451755</v>
      </c>
      <c r="F140" s="31">
        <f t="shared" si="7"/>
        <v>123875.45661297135</v>
      </c>
    </row>
    <row r="141" spans="2:6" hidden="1" x14ac:dyDescent="0.25">
      <c r="B141" s="4">
        <v>118</v>
      </c>
      <c r="C141" s="31">
        <f t="shared" si="4"/>
        <v>1199.9999881082238</v>
      </c>
      <c r="D141" s="31">
        <f t="shared" si="5"/>
        <v>361.30341512116644</v>
      </c>
      <c r="E141" s="31">
        <f t="shared" si="6"/>
        <v>838.69657298705738</v>
      </c>
      <c r="F141" s="31">
        <f t="shared" si="7"/>
        <v>123036.76003998429</v>
      </c>
    </row>
    <row r="142" spans="2:6" hidden="1" x14ac:dyDescent="0.25">
      <c r="B142" s="4">
        <v>119</v>
      </c>
      <c r="C142" s="31">
        <f t="shared" si="4"/>
        <v>1199.9999881082238</v>
      </c>
      <c r="D142" s="31">
        <f t="shared" si="5"/>
        <v>358.85721678328753</v>
      </c>
      <c r="E142" s="31">
        <f t="shared" si="6"/>
        <v>841.14277132493623</v>
      </c>
      <c r="F142" s="31">
        <f t="shared" si="7"/>
        <v>122195.61726865935</v>
      </c>
    </row>
    <row r="143" spans="2:6" hidden="1" x14ac:dyDescent="0.25">
      <c r="B143" s="4">
        <v>120</v>
      </c>
      <c r="C143" s="31">
        <f t="shared" si="4"/>
        <v>1199.9999881082238</v>
      </c>
      <c r="D143" s="31">
        <f t="shared" si="5"/>
        <v>356.40388370025647</v>
      </c>
      <c r="E143" s="31">
        <f t="shared" si="6"/>
        <v>843.59610440796723</v>
      </c>
      <c r="F143" s="31">
        <f t="shared" si="7"/>
        <v>121352.02116425138</v>
      </c>
    </row>
    <row r="144" spans="2:6" hidden="1" x14ac:dyDescent="0.25">
      <c r="B144" s="4">
        <v>121</v>
      </c>
      <c r="C144" s="31">
        <f t="shared" si="4"/>
        <v>1199.9999881082238</v>
      </c>
      <c r="D144" s="31">
        <f t="shared" si="5"/>
        <v>353.94339506239987</v>
      </c>
      <c r="E144" s="31">
        <f t="shared" si="6"/>
        <v>846.05659304582389</v>
      </c>
      <c r="F144" s="31">
        <f t="shared" si="7"/>
        <v>120505.96457120555</v>
      </c>
    </row>
    <row r="145" spans="2:6" hidden="1" x14ac:dyDescent="0.25">
      <c r="B145" s="4">
        <v>122</v>
      </c>
      <c r="C145" s="31">
        <f t="shared" si="4"/>
        <v>1199.9999881082238</v>
      </c>
      <c r="D145" s="31">
        <f t="shared" si="5"/>
        <v>351.47572999934954</v>
      </c>
      <c r="E145" s="31">
        <f t="shared" si="6"/>
        <v>848.52425810887416</v>
      </c>
      <c r="F145" s="31">
        <f t="shared" si="7"/>
        <v>119657.44031309668</v>
      </c>
    </row>
    <row r="146" spans="2:6" hidden="1" x14ac:dyDescent="0.25">
      <c r="B146" s="4">
        <v>123</v>
      </c>
      <c r="C146" s="31">
        <f t="shared" si="4"/>
        <v>1199.9999881082238</v>
      </c>
      <c r="D146" s="31">
        <f t="shared" si="5"/>
        <v>349.00086757986531</v>
      </c>
      <c r="E146" s="31">
        <f t="shared" si="6"/>
        <v>850.99912052835839</v>
      </c>
      <c r="F146" s="31">
        <f t="shared" si="7"/>
        <v>118806.44119256832</v>
      </c>
    </row>
    <row r="147" spans="2:6" hidden="1" x14ac:dyDescent="0.25">
      <c r="B147" s="4">
        <v>124</v>
      </c>
      <c r="C147" s="31">
        <f t="shared" si="4"/>
        <v>1199.9999881082238</v>
      </c>
      <c r="D147" s="31">
        <f t="shared" si="5"/>
        <v>346.51878681165761</v>
      </c>
      <c r="E147" s="31">
        <f t="shared" si="6"/>
        <v>853.48120129656616</v>
      </c>
      <c r="F147" s="31">
        <f t="shared" si="7"/>
        <v>117952.95999127175</v>
      </c>
    </row>
    <row r="148" spans="2:6" hidden="1" x14ac:dyDescent="0.25">
      <c r="B148" s="4">
        <v>125</v>
      </c>
      <c r="C148" s="31">
        <f t="shared" si="4"/>
        <v>1199.9999881082238</v>
      </c>
      <c r="D148" s="31">
        <f t="shared" si="5"/>
        <v>344.0294666412093</v>
      </c>
      <c r="E148" s="31">
        <f t="shared" si="6"/>
        <v>855.97052146701446</v>
      </c>
      <c r="F148" s="31">
        <f t="shared" si="7"/>
        <v>117096.98946980474</v>
      </c>
    </row>
    <row r="149" spans="2:6" hidden="1" x14ac:dyDescent="0.25">
      <c r="B149" s="4">
        <v>126</v>
      </c>
      <c r="C149" s="31">
        <f t="shared" si="4"/>
        <v>1199.9999881082238</v>
      </c>
      <c r="D149" s="31">
        <f t="shared" si="5"/>
        <v>341.5328859535972</v>
      </c>
      <c r="E149" s="31">
        <f t="shared" si="6"/>
        <v>858.46710215462656</v>
      </c>
      <c r="F149" s="31">
        <f t="shared" si="7"/>
        <v>116238.52236765012</v>
      </c>
    </row>
    <row r="150" spans="2:6" hidden="1" x14ac:dyDescent="0.25">
      <c r="B150" s="4">
        <v>127</v>
      </c>
      <c r="C150" s="31">
        <f t="shared" si="4"/>
        <v>1199.9999881082238</v>
      </c>
      <c r="D150" s="31">
        <f t="shared" si="5"/>
        <v>339.02902357231284</v>
      </c>
      <c r="E150" s="31">
        <f t="shared" si="6"/>
        <v>860.97096453591098</v>
      </c>
      <c r="F150" s="31">
        <f t="shared" si="7"/>
        <v>115377.55140311421</v>
      </c>
    </row>
    <row r="151" spans="2:6" hidden="1" x14ac:dyDescent="0.25">
      <c r="B151" s="4">
        <v>128</v>
      </c>
      <c r="C151" s="31">
        <f t="shared" si="4"/>
        <v>1199.9999881082238</v>
      </c>
      <c r="D151" s="31">
        <f t="shared" si="5"/>
        <v>336.51785825908314</v>
      </c>
      <c r="E151" s="31">
        <f t="shared" si="6"/>
        <v>863.48212984914062</v>
      </c>
      <c r="F151" s="31">
        <f t="shared" si="7"/>
        <v>114514.06927326506</v>
      </c>
    </row>
    <row r="152" spans="2:6" hidden="1" x14ac:dyDescent="0.25">
      <c r="B152" s="4">
        <v>129</v>
      </c>
      <c r="C152" s="31">
        <f t="shared" si="4"/>
        <v>1199.9999881082238</v>
      </c>
      <c r="D152" s="31">
        <f t="shared" si="5"/>
        <v>333.99936871368976</v>
      </c>
      <c r="E152" s="31">
        <f t="shared" si="6"/>
        <v>866.00061939453394</v>
      </c>
      <c r="F152" s="31">
        <f t="shared" si="7"/>
        <v>113648.06865387053</v>
      </c>
    </row>
    <row r="153" spans="2:6" hidden="1" x14ac:dyDescent="0.25">
      <c r="B153" s="4">
        <v>130</v>
      </c>
      <c r="C153" s="31">
        <f t="shared" ref="C153:C216" si="8">-$C$13</f>
        <v>1199.9999881082238</v>
      </c>
      <c r="D153" s="31">
        <f t="shared" ref="D153:D216" si="9">F152*C$11</f>
        <v>331.4735335737891</v>
      </c>
      <c r="E153" s="31">
        <f t="shared" ref="E153:E216" si="10">C153-D153</f>
        <v>868.52645453443461</v>
      </c>
      <c r="F153" s="31">
        <f t="shared" ref="F153:F216" si="11">F152-E153</f>
        <v>112779.54219933609</v>
      </c>
    </row>
    <row r="154" spans="2:6" hidden="1" x14ac:dyDescent="0.25">
      <c r="B154" s="4">
        <v>131</v>
      </c>
      <c r="C154" s="31">
        <f t="shared" si="8"/>
        <v>1199.9999881082238</v>
      </c>
      <c r="D154" s="31">
        <f t="shared" si="9"/>
        <v>328.94033141473028</v>
      </c>
      <c r="E154" s="31">
        <f t="shared" si="10"/>
        <v>871.05965669349348</v>
      </c>
      <c r="F154" s="31">
        <f t="shared" si="11"/>
        <v>111908.4825426426</v>
      </c>
    </row>
    <row r="155" spans="2:6" hidden="1" x14ac:dyDescent="0.25">
      <c r="B155" s="4">
        <v>132</v>
      </c>
      <c r="C155" s="31">
        <f t="shared" si="8"/>
        <v>1199.9999881082238</v>
      </c>
      <c r="D155" s="31">
        <f t="shared" si="9"/>
        <v>326.39974074937425</v>
      </c>
      <c r="E155" s="31">
        <f t="shared" si="10"/>
        <v>873.60024735884951</v>
      </c>
      <c r="F155" s="31">
        <f t="shared" si="11"/>
        <v>111034.88229528375</v>
      </c>
    </row>
    <row r="156" spans="2:6" hidden="1" x14ac:dyDescent="0.25">
      <c r="B156" s="4">
        <v>133</v>
      </c>
      <c r="C156" s="31">
        <f t="shared" si="8"/>
        <v>1199.9999881082238</v>
      </c>
      <c r="D156" s="31">
        <f t="shared" si="9"/>
        <v>323.85174002791098</v>
      </c>
      <c r="E156" s="31">
        <f t="shared" si="10"/>
        <v>876.14824808031278</v>
      </c>
      <c r="F156" s="31">
        <f t="shared" si="11"/>
        <v>110158.73404720344</v>
      </c>
    </row>
    <row r="157" spans="2:6" hidden="1" x14ac:dyDescent="0.25">
      <c r="B157" s="4">
        <v>134</v>
      </c>
      <c r="C157" s="31">
        <f t="shared" si="8"/>
        <v>1199.9999881082238</v>
      </c>
      <c r="D157" s="31">
        <f t="shared" si="9"/>
        <v>321.2963076376767</v>
      </c>
      <c r="E157" s="31">
        <f t="shared" si="10"/>
        <v>878.70368047054706</v>
      </c>
      <c r="F157" s="31">
        <f t="shared" si="11"/>
        <v>109280.0303667329</v>
      </c>
    </row>
    <row r="158" spans="2:6" hidden="1" x14ac:dyDescent="0.25">
      <c r="B158" s="4">
        <v>135</v>
      </c>
      <c r="C158" s="31">
        <f t="shared" si="8"/>
        <v>1199.9999881082238</v>
      </c>
      <c r="D158" s="31">
        <f t="shared" si="9"/>
        <v>318.73342190297097</v>
      </c>
      <c r="E158" s="31">
        <f t="shared" si="10"/>
        <v>881.26656620525273</v>
      </c>
      <c r="F158" s="31">
        <f t="shared" si="11"/>
        <v>108398.76380052765</v>
      </c>
    </row>
    <row r="159" spans="2:6" hidden="1" x14ac:dyDescent="0.25">
      <c r="B159" s="4">
        <v>136</v>
      </c>
      <c r="C159" s="31">
        <f t="shared" si="8"/>
        <v>1199.9999881082238</v>
      </c>
      <c r="D159" s="31">
        <f t="shared" si="9"/>
        <v>316.16306108487231</v>
      </c>
      <c r="E159" s="31">
        <f t="shared" si="10"/>
        <v>883.83692702335145</v>
      </c>
      <c r="F159" s="31">
        <f t="shared" si="11"/>
        <v>107514.9268735043</v>
      </c>
    </row>
    <row r="160" spans="2:6" hidden="1" x14ac:dyDescent="0.25">
      <c r="B160" s="4">
        <v>137</v>
      </c>
      <c r="C160" s="31">
        <f t="shared" si="8"/>
        <v>1199.9999881082238</v>
      </c>
      <c r="D160" s="31">
        <f t="shared" si="9"/>
        <v>313.58520338105421</v>
      </c>
      <c r="E160" s="31">
        <f t="shared" si="10"/>
        <v>886.41478472716949</v>
      </c>
      <c r="F160" s="31">
        <f t="shared" si="11"/>
        <v>106628.51208877713</v>
      </c>
    </row>
    <row r="161" spans="2:6" hidden="1" x14ac:dyDescent="0.25">
      <c r="B161" s="4">
        <v>138</v>
      </c>
      <c r="C161" s="31">
        <f t="shared" si="8"/>
        <v>1199.9999881082238</v>
      </c>
      <c r="D161" s="31">
        <f t="shared" si="9"/>
        <v>310.99982692559996</v>
      </c>
      <c r="E161" s="31">
        <f t="shared" si="10"/>
        <v>889.00016118262374</v>
      </c>
      <c r="F161" s="31">
        <f t="shared" si="11"/>
        <v>105739.5119275945</v>
      </c>
    </row>
    <row r="162" spans="2:6" hidden="1" x14ac:dyDescent="0.25">
      <c r="B162" s="4">
        <v>139</v>
      </c>
      <c r="C162" s="31">
        <f t="shared" si="8"/>
        <v>1199.9999881082238</v>
      </c>
      <c r="D162" s="31">
        <f t="shared" si="9"/>
        <v>308.4069097888173</v>
      </c>
      <c r="E162" s="31">
        <f t="shared" si="10"/>
        <v>891.59307831940646</v>
      </c>
      <c r="F162" s="31">
        <f t="shared" si="11"/>
        <v>104847.9188492751</v>
      </c>
    </row>
    <row r="163" spans="2:6" hidden="1" x14ac:dyDescent="0.25">
      <c r="B163" s="4">
        <v>140</v>
      </c>
      <c r="C163" s="31">
        <f t="shared" si="8"/>
        <v>1199.9999881082238</v>
      </c>
      <c r="D163" s="31">
        <f t="shared" si="9"/>
        <v>305.8064299770524</v>
      </c>
      <c r="E163" s="31">
        <f t="shared" si="10"/>
        <v>894.19355813117136</v>
      </c>
      <c r="F163" s="31">
        <f t="shared" si="11"/>
        <v>103953.72529114393</v>
      </c>
    </row>
    <row r="164" spans="2:6" hidden="1" x14ac:dyDescent="0.25">
      <c r="B164" s="4">
        <v>141</v>
      </c>
      <c r="C164" s="31">
        <f t="shared" si="8"/>
        <v>1199.9999881082238</v>
      </c>
      <c r="D164" s="31">
        <f t="shared" si="9"/>
        <v>303.19836543250312</v>
      </c>
      <c r="E164" s="31">
        <f t="shared" si="10"/>
        <v>896.80162267572064</v>
      </c>
      <c r="F164" s="31">
        <f t="shared" si="11"/>
        <v>103056.92366846821</v>
      </c>
    </row>
    <row r="165" spans="2:6" hidden="1" x14ac:dyDescent="0.25">
      <c r="B165" s="4">
        <v>142</v>
      </c>
      <c r="C165" s="31">
        <f t="shared" si="8"/>
        <v>1199.9999881082238</v>
      </c>
      <c r="D165" s="31">
        <f t="shared" si="9"/>
        <v>300.58269403303228</v>
      </c>
      <c r="E165" s="31">
        <f t="shared" si="10"/>
        <v>899.41729407519142</v>
      </c>
      <c r="F165" s="31">
        <f t="shared" si="11"/>
        <v>102157.50637439302</v>
      </c>
    </row>
    <row r="166" spans="2:6" hidden="1" x14ac:dyDescent="0.25">
      <c r="B166" s="4">
        <v>143</v>
      </c>
      <c r="C166" s="31">
        <f t="shared" si="8"/>
        <v>1199.9999881082238</v>
      </c>
      <c r="D166" s="31">
        <f t="shared" si="9"/>
        <v>297.95939359197968</v>
      </c>
      <c r="E166" s="31">
        <f t="shared" si="10"/>
        <v>902.04059451624403</v>
      </c>
      <c r="F166" s="31">
        <f t="shared" si="11"/>
        <v>101255.46577987677</v>
      </c>
    </row>
    <row r="167" spans="2:6" hidden="1" x14ac:dyDescent="0.25">
      <c r="B167" s="4">
        <v>144</v>
      </c>
      <c r="C167" s="31">
        <f t="shared" si="8"/>
        <v>1199.9999881082238</v>
      </c>
      <c r="D167" s="31">
        <f t="shared" si="9"/>
        <v>295.32844185797393</v>
      </c>
      <c r="E167" s="31">
        <f t="shared" si="10"/>
        <v>904.67154625024978</v>
      </c>
      <c r="F167" s="31">
        <f t="shared" si="11"/>
        <v>100350.79423362653</v>
      </c>
    </row>
    <row r="168" spans="2:6" hidden="1" x14ac:dyDescent="0.25">
      <c r="B168" s="4">
        <v>145</v>
      </c>
      <c r="C168" s="31">
        <f t="shared" si="8"/>
        <v>1199.9999881082238</v>
      </c>
      <c r="D168" s="31">
        <f t="shared" si="9"/>
        <v>292.68981651474405</v>
      </c>
      <c r="E168" s="31">
        <f t="shared" si="10"/>
        <v>907.31017159347971</v>
      </c>
      <c r="F168" s="31">
        <f t="shared" si="11"/>
        <v>99443.484062033051</v>
      </c>
    </row>
    <row r="169" spans="2:6" hidden="1" x14ac:dyDescent="0.25">
      <c r="B169" s="4">
        <v>146</v>
      </c>
      <c r="C169" s="31">
        <f t="shared" si="8"/>
        <v>1199.9999881082238</v>
      </c>
      <c r="D169" s="31">
        <f t="shared" si="9"/>
        <v>290.04349518092977</v>
      </c>
      <c r="E169" s="31">
        <f t="shared" si="10"/>
        <v>909.95649292729399</v>
      </c>
      <c r="F169" s="31">
        <f t="shared" si="11"/>
        <v>98533.527569105761</v>
      </c>
    </row>
    <row r="170" spans="2:6" hidden="1" x14ac:dyDescent="0.25">
      <c r="B170" s="4">
        <v>147</v>
      </c>
      <c r="C170" s="31">
        <f t="shared" si="8"/>
        <v>1199.9999881082238</v>
      </c>
      <c r="D170" s="31">
        <f t="shared" si="9"/>
        <v>287.38945540989181</v>
      </c>
      <c r="E170" s="31">
        <f t="shared" si="10"/>
        <v>912.61053269833201</v>
      </c>
      <c r="F170" s="31">
        <f t="shared" si="11"/>
        <v>97620.917036407423</v>
      </c>
    </row>
    <row r="171" spans="2:6" hidden="1" x14ac:dyDescent="0.25">
      <c r="B171" s="4">
        <v>148</v>
      </c>
      <c r="C171" s="31">
        <f t="shared" si="8"/>
        <v>1199.9999881082238</v>
      </c>
      <c r="D171" s="31">
        <f t="shared" si="9"/>
        <v>284.72767468952168</v>
      </c>
      <c r="E171" s="31">
        <f t="shared" si="10"/>
        <v>915.27231341870208</v>
      </c>
      <c r="F171" s="31">
        <f t="shared" si="11"/>
        <v>96705.644722988727</v>
      </c>
    </row>
    <row r="172" spans="2:6" hidden="1" x14ac:dyDescent="0.25">
      <c r="B172" s="4">
        <v>149</v>
      </c>
      <c r="C172" s="31">
        <f t="shared" si="8"/>
        <v>1199.9999881082238</v>
      </c>
      <c r="D172" s="31">
        <f t="shared" si="9"/>
        <v>282.05813044205047</v>
      </c>
      <c r="E172" s="31">
        <f t="shared" si="10"/>
        <v>917.94185766617329</v>
      </c>
      <c r="F172" s="31">
        <f t="shared" si="11"/>
        <v>95787.702865322557</v>
      </c>
    </row>
    <row r="173" spans="2:6" hidden="1" x14ac:dyDescent="0.25">
      <c r="B173" s="4">
        <v>150</v>
      </c>
      <c r="C173" s="31">
        <f t="shared" si="8"/>
        <v>1199.9999881082238</v>
      </c>
      <c r="D173" s="31">
        <f t="shared" si="9"/>
        <v>279.38080002385749</v>
      </c>
      <c r="E173" s="31">
        <f t="shared" si="10"/>
        <v>920.61918808436621</v>
      </c>
      <c r="F173" s="31">
        <f t="shared" si="11"/>
        <v>94867.083677238188</v>
      </c>
    </row>
    <row r="174" spans="2:6" hidden="1" x14ac:dyDescent="0.25">
      <c r="B174" s="4">
        <v>151</v>
      </c>
      <c r="C174" s="31">
        <f t="shared" si="8"/>
        <v>1199.9999881082238</v>
      </c>
      <c r="D174" s="31">
        <f t="shared" si="9"/>
        <v>276.69566072527806</v>
      </c>
      <c r="E174" s="31">
        <f t="shared" si="10"/>
        <v>923.30432738294576</v>
      </c>
      <c r="F174" s="31">
        <f t="shared" si="11"/>
        <v>93943.779349855249</v>
      </c>
    </row>
    <row r="175" spans="2:6" hidden="1" x14ac:dyDescent="0.25">
      <c r="B175" s="4">
        <v>152</v>
      </c>
      <c r="C175" s="31">
        <f t="shared" si="8"/>
        <v>1199.9999881082238</v>
      </c>
      <c r="D175" s="31">
        <f t="shared" si="9"/>
        <v>274.00268977041117</v>
      </c>
      <c r="E175" s="31">
        <f t="shared" si="10"/>
        <v>925.99729833781259</v>
      </c>
      <c r="F175" s="31">
        <f t="shared" si="11"/>
        <v>93017.782051517439</v>
      </c>
    </row>
    <row r="176" spans="2:6" hidden="1" x14ac:dyDescent="0.25">
      <c r="B176" s="4">
        <v>153</v>
      </c>
      <c r="C176" s="31">
        <f t="shared" si="8"/>
        <v>1199.9999881082238</v>
      </c>
      <c r="D176" s="31">
        <f t="shared" si="9"/>
        <v>271.3018643169259</v>
      </c>
      <c r="E176" s="31">
        <f t="shared" si="10"/>
        <v>928.6981237912978</v>
      </c>
      <c r="F176" s="31">
        <f t="shared" si="11"/>
        <v>92089.08392772614</v>
      </c>
    </row>
    <row r="177" spans="2:6" hidden="1" x14ac:dyDescent="0.25">
      <c r="B177" s="4">
        <v>154</v>
      </c>
      <c r="C177" s="31">
        <f t="shared" si="8"/>
        <v>1199.9999881082238</v>
      </c>
      <c r="D177" s="31">
        <f t="shared" si="9"/>
        <v>268.59316145586791</v>
      </c>
      <c r="E177" s="31">
        <f t="shared" si="10"/>
        <v>931.4068266523559</v>
      </c>
      <c r="F177" s="31">
        <f t="shared" si="11"/>
        <v>91157.677101073787</v>
      </c>
    </row>
    <row r="178" spans="2:6" hidden="1" x14ac:dyDescent="0.25">
      <c r="B178" s="4">
        <v>155</v>
      </c>
      <c r="C178" s="31">
        <f t="shared" si="8"/>
        <v>1199.9999881082238</v>
      </c>
      <c r="D178" s="31">
        <f t="shared" si="9"/>
        <v>265.87655821146524</v>
      </c>
      <c r="E178" s="31">
        <f t="shared" si="10"/>
        <v>934.12342989675858</v>
      </c>
      <c r="F178" s="31">
        <f t="shared" si="11"/>
        <v>90223.553671177026</v>
      </c>
    </row>
    <row r="179" spans="2:6" hidden="1" x14ac:dyDescent="0.25">
      <c r="B179" s="4">
        <v>156</v>
      </c>
      <c r="C179" s="31">
        <f t="shared" si="8"/>
        <v>1199.9999881082238</v>
      </c>
      <c r="D179" s="31">
        <f t="shared" si="9"/>
        <v>263.15203154093302</v>
      </c>
      <c r="E179" s="31">
        <f t="shared" si="10"/>
        <v>936.84795656729079</v>
      </c>
      <c r="F179" s="31">
        <f t="shared" si="11"/>
        <v>89286.705714609736</v>
      </c>
    </row>
    <row r="180" spans="2:6" hidden="1" x14ac:dyDescent="0.25">
      <c r="B180" s="4">
        <v>157</v>
      </c>
      <c r="C180" s="31">
        <f t="shared" si="8"/>
        <v>1199.9999881082238</v>
      </c>
      <c r="D180" s="31">
        <f t="shared" si="9"/>
        <v>260.41955833427841</v>
      </c>
      <c r="E180" s="31">
        <f t="shared" si="10"/>
        <v>939.5804297739453</v>
      </c>
      <c r="F180" s="31">
        <f t="shared" si="11"/>
        <v>88347.125284835784</v>
      </c>
    </row>
    <row r="181" spans="2:6" hidden="1" x14ac:dyDescent="0.25">
      <c r="B181" s="4">
        <v>158</v>
      </c>
      <c r="C181" s="31">
        <f t="shared" si="8"/>
        <v>1199.9999881082238</v>
      </c>
      <c r="D181" s="31">
        <f t="shared" si="9"/>
        <v>257.67911541410439</v>
      </c>
      <c r="E181" s="31">
        <f t="shared" si="10"/>
        <v>942.32087269411932</v>
      </c>
      <c r="F181" s="31">
        <f t="shared" si="11"/>
        <v>87404.804412141661</v>
      </c>
    </row>
    <row r="182" spans="2:6" hidden="1" x14ac:dyDescent="0.25">
      <c r="B182" s="4">
        <v>159</v>
      </c>
      <c r="C182" s="31">
        <f t="shared" si="8"/>
        <v>1199.9999881082238</v>
      </c>
      <c r="D182" s="31">
        <f t="shared" si="9"/>
        <v>254.93067953541319</v>
      </c>
      <c r="E182" s="31">
        <f t="shared" si="10"/>
        <v>945.06930857281054</v>
      </c>
      <c r="F182" s="31">
        <f t="shared" si="11"/>
        <v>86459.735103568848</v>
      </c>
    </row>
    <row r="183" spans="2:6" hidden="1" x14ac:dyDescent="0.25">
      <c r="B183" s="4">
        <v>160</v>
      </c>
      <c r="C183" s="31">
        <f t="shared" si="8"/>
        <v>1199.9999881082238</v>
      </c>
      <c r="D183" s="31">
        <f t="shared" si="9"/>
        <v>252.17422738540915</v>
      </c>
      <c r="E183" s="31">
        <f t="shared" si="10"/>
        <v>947.82576072281461</v>
      </c>
      <c r="F183" s="31">
        <f t="shared" si="11"/>
        <v>85511.909342846033</v>
      </c>
    </row>
    <row r="184" spans="2:6" hidden="1" x14ac:dyDescent="0.25">
      <c r="B184" s="4">
        <v>161</v>
      </c>
      <c r="C184" s="31">
        <f t="shared" si="8"/>
        <v>1199.9999881082238</v>
      </c>
      <c r="D184" s="31">
        <f t="shared" si="9"/>
        <v>249.40973558330094</v>
      </c>
      <c r="E184" s="31">
        <f t="shared" si="10"/>
        <v>950.59025252492279</v>
      </c>
      <c r="F184" s="31">
        <f t="shared" si="11"/>
        <v>84561.319090321107</v>
      </c>
    </row>
    <row r="185" spans="2:6" hidden="1" x14ac:dyDescent="0.25">
      <c r="B185" s="4">
        <v>162</v>
      </c>
      <c r="C185" s="31">
        <f t="shared" si="8"/>
        <v>1199.9999881082238</v>
      </c>
      <c r="D185" s="31">
        <f t="shared" si="9"/>
        <v>246.63718068010323</v>
      </c>
      <c r="E185" s="31">
        <f t="shared" si="10"/>
        <v>953.3628074281205</v>
      </c>
      <c r="F185" s="31">
        <f t="shared" si="11"/>
        <v>83607.956282892992</v>
      </c>
    </row>
    <row r="186" spans="2:6" hidden="1" x14ac:dyDescent="0.25">
      <c r="B186" s="4">
        <v>163</v>
      </c>
      <c r="C186" s="31">
        <f t="shared" si="8"/>
        <v>1199.9999881082238</v>
      </c>
      <c r="D186" s="31">
        <f t="shared" si="9"/>
        <v>243.8565391584379</v>
      </c>
      <c r="E186" s="31">
        <f t="shared" si="10"/>
        <v>956.14344894978581</v>
      </c>
      <c r="F186" s="31">
        <f t="shared" si="11"/>
        <v>82651.812833943201</v>
      </c>
    </row>
    <row r="187" spans="2:6" hidden="1" x14ac:dyDescent="0.25">
      <c r="B187" s="4">
        <v>164</v>
      </c>
      <c r="C187" s="31">
        <f t="shared" si="8"/>
        <v>1199.9999881082238</v>
      </c>
      <c r="D187" s="31">
        <f t="shared" si="9"/>
        <v>241.06778743233434</v>
      </c>
      <c r="E187" s="31">
        <f t="shared" si="10"/>
        <v>958.93220067588936</v>
      </c>
      <c r="F187" s="31">
        <f t="shared" si="11"/>
        <v>81692.880633267312</v>
      </c>
    </row>
    <row r="188" spans="2:6" hidden="1" x14ac:dyDescent="0.25">
      <c r="B188" s="4">
        <v>165</v>
      </c>
      <c r="C188" s="31">
        <f t="shared" si="8"/>
        <v>1199.9999881082238</v>
      </c>
      <c r="D188" s="31">
        <f t="shared" si="9"/>
        <v>238.27090184702968</v>
      </c>
      <c r="E188" s="31">
        <f t="shared" si="10"/>
        <v>961.72908626119408</v>
      </c>
      <c r="F188" s="31">
        <f t="shared" si="11"/>
        <v>80731.151547006113</v>
      </c>
    </row>
    <row r="189" spans="2:6" hidden="1" x14ac:dyDescent="0.25">
      <c r="B189" s="4">
        <v>166</v>
      </c>
      <c r="C189" s="31">
        <f t="shared" si="8"/>
        <v>1199.9999881082238</v>
      </c>
      <c r="D189" s="31">
        <f t="shared" si="9"/>
        <v>235.46585867876783</v>
      </c>
      <c r="E189" s="31">
        <f t="shared" si="10"/>
        <v>964.5341294294559</v>
      </c>
      <c r="F189" s="31">
        <f t="shared" si="11"/>
        <v>79766.61741757665</v>
      </c>
    </row>
    <row r="190" spans="2:6" hidden="1" x14ac:dyDescent="0.25">
      <c r="B190" s="4">
        <v>167</v>
      </c>
      <c r="C190" s="31">
        <f t="shared" si="8"/>
        <v>1199.9999881082238</v>
      </c>
      <c r="D190" s="31">
        <f t="shared" si="9"/>
        <v>232.65263413459857</v>
      </c>
      <c r="E190" s="31">
        <f t="shared" si="10"/>
        <v>967.34735397362522</v>
      </c>
      <c r="F190" s="31">
        <f t="shared" si="11"/>
        <v>78799.27006360302</v>
      </c>
    </row>
    <row r="191" spans="2:6" hidden="1" x14ac:dyDescent="0.25">
      <c r="B191" s="4">
        <v>168</v>
      </c>
      <c r="C191" s="31">
        <f t="shared" si="8"/>
        <v>1199.9999881082238</v>
      </c>
      <c r="D191" s="31">
        <f t="shared" si="9"/>
        <v>229.83120435217549</v>
      </c>
      <c r="E191" s="31">
        <f t="shared" si="10"/>
        <v>970.16878375604824</v>
      </c>
      <c r="F191" s="31">
        <f t="shared" si="11"/>
        <v>77829.101279846975</v>
      </c>
    </row>
    <row r="192" spans="2:6" hidden="1" x14ac:dyDescent="0.25">
      <c r="B192" s="4">
        <v>169</v>
      </c>
      <c r="C192" s="31">
        <f t="shared" si="8"/>
        <v>1199.9999881082238</v>
      </c>
      <c r="D192" s="31">
        <f t="shared" si="9"/>
        <v>227.00154539955369</v>
      </c>
      <c r="E192" s="31">
        <f t="shared" si="10"/>
        <v>972.99844270867004</v>
      </c>
      <c r="F192" s="31">
        <f t="shared" si="11"/>
        <v>76856.1028371383</v>
      </c>
    </row>
    <row r="193" spans="2:6" hidden="1" x14ac:dyDescent="0.25">
      <c r="B193" s="4">
        <v>170</v>
      </c>
      <c r="C193" s="31">
        <f t="shared" si="8"/>
        <v>1199.9999881082238</v>
      </c>
      <c r="D193" s="31">
        <f t="shared" si="9"/>
        <v>224.16363327498672</v>
      </c>
      <c r="E193" s="31">
        <f t="shared" si="10"/>
        <v>975.83635483323701</v>
      </c>
      <c r="F193" s="31">
        <f t="shared" si="11"/>
        <v>75880.266482305058</v>
      </c>
    </row>
    <row r="194" spans="2:6" hidden="1" x14ac:dyDescent="0.25">
      <c r="B194" s="4">
        <v>171</v>
      </c>
      <c r="C194" s="31">
        <f t="shared" si="8"/>
        <v>1199.9999881082238</v>
      </c>
      <c r="D194" s="31">
        <f t="shared" si="9"/>
        <v>221.3174439067231</v>
      </c>
      <c r="E194" s="31">
        <f t="shared" si="10"/>
        <v>978.6825442015006</v>
      </c>
      <c r="F194" s="31">
        <f t="shared" si="11"/>
        <v>74901.583938103562</v>
      </c>
    </row>
    <row r="195" spans="2:6" hidden="1" x14ac:dyDescent="0.25">
      <c r="B195" s="4">
        <v>172</v>
      </c>
      <c r="C195" s="31">
        <f t="shared" si="8"/>
        <v>1199.9999881082238</v>
      </c>
      <c r="D195" s="31">
        <f t="shared" si="9"/>
        <v>218.46295315280207</v>
      </c>
      <c r="E195" s="31">
        <f t="shared" si="10"/>
        <v>981.53703495542163</v>
      </c>
      <c r="F195" s="31">
        <f t="shared" si="11"/>
        <v>73920.046903148133</v>
      </c>
    </row>
    <row r="196" spans="2:6" hidden="1" x14ac:dyDescent="0.25">
      <c r="B196" s="4">
        <v>173</v>
      </c>
      <c r="C196" s="31">
        <f t="shared" si="8"/>
        <v>1199.9999881082238</v>
      </c>
      <c r="D196" s="31">
        <f t="shared" si="9"/>
        <v>215.60013680084873</v>
      </c>
      <c r="E196" s="31">
        <f t="shared" si="10"/>
        <v>984.399851307375</v>
      </c>
      <c r="F196" s="31">
        <f t="shared" si="11"/>
        <v>72935.647051840759</v>
      </c>
    </row>
    <row r="197" spans="2:6" hidden="1" x14ac:dyDescent="0.25">
      <c r="B197" s="4">
        <v>174</v>
      </c>
      <c r="C197" s="31">
        <f t="shared" si="8"/>
        <v>1199.9999881082238</v>
      </c>
      <c r="D197" s="31">
        <f t="shared" si="9"/>
        <v>212.72897056786888</v>
      </c>
      <c r="E197" s="31">
        <f t="shared" si="10"/>
        <v>987.27101754035493</v>
      </c>
      <c r="F197" s="31">
        <f t="shared" si="11"/>
        <v>71948.376034300411</v>
      </c>
    </row>
    <row r="198" spans="2:6" hidden="1" x14ac:dyDescent="0.25">
      <c r="B198" s="4">
        <v>175</v>
      </c>
      <c r="C198" s="31">
        <f t="shared" si="8"/>
        <v>1199.9999881082238</v>
      </c>
      <c r="D198" s="31">
        <f t="shared" si="9"/>
        <v>209.84943010004287</v>
      </c>
      <c r="E198" s="31">
        <f t="shared" si="10"/>
        <v>990.15055800818095</v>
      </c>
      <c r="F198" s="31">
        <f t="shared" si="11"/>
        <v>70958.225476292224</v>
      </c>
    </row>
    <row r="199" spans="2:6" hidden="1" x14ac:dyDescent="0.25">
      <c r="B199" s="4">
        <v>176</v>
      </c>
      <c r="C199" s="31">
        <f t="shared" si="8"/>
        <v>1199.9999881082238</v>
      </c>
      <c r="D199" s="31">
        <f t="shared" si="9"/>
        <v>206.96149097251899</v>
      </c>
      <c r="E199" s="31">
        <f t="shared" si="10"/>
        <v>993.0384971357048</v>
      </c>
      <c r="F199" s="31">
        <f t="shared" si="11"/>
        <v>69965.186979156526</v>
      </c>
    </row>
    <row r="200" spans="2:6" hidden="1" x14ac:dyDescent="0.25">
      <c r="B200" s="4">
        <v>177</v>
      </c>
      <c r="C200" s="31">
        <f t="shared" si="8"/>
        <v>1199.9999881082238</v>
      </c>
      <c r="D200" s="31">
        <f t="shared" si="9"/>
        <v>204.06512868920655</v>
      </c>
      <c r="E200" s="31">
        <f t="shared" si="10"/>
        <v>995.93485941901724</v>
      </c>
      <c r="F200" s="31">
        <f t="shared" si="11"/>
        <v>68969.252119737503</v>
      </c>
    </row>
    <row r="201" spans="2:6" hidden="1" x14ac:dyDescent="0.25">
      <c r="B201" s="4">
        <v>178</v>
      </c>
      <c r="C201" s="31">
        <f t="shared" si="8"/>
        <v>1199.9999881082238</v>
      </c>
      <c r="D201" s="31">
        <f t="shared" si="9"/>
        <v>201.16031868256772</v>
      </c>
      <c r="E201" s="31">
        <f t="shared" si="10"/>
        <v>998.83966942565598</v>
      </c>
      <c r="F201" s="31">
        <f t="shared" si="11"/>
        <v>67970.412450311851</v>
      </c>
    </row>
    <row r="202" spans="2:6" hidden="1" x14ac:dyDescent="0.25">
      <c r="B202" s="4">
        <v>179</v>
      </c>
      <c r="C202" s="31">
        <f t="shared" si="8"/>
        <v>1199.9999881082238</v>
      </c>
      <c r="D202" s="31">
        <f t="shared" si="9"/>
        <v>198.24703631340958</v>
      </c>
      <c r="E202" s="31">
        <f t="shared" si="10"/>
        <v>1001.7529517948142</v>
      </c>
      <c r="F202" s="31">
        <f t="shared" si="11"/>
        <v>66968.659498517038</v>
      </c>
    </row>
    <row r="203" spans="2:6" hidden="1" x14ac:dyDescent="0.25">
      <c r="B203" s="4">
        <v>180</v>
      </c>
      <c r="C203" s="31">
        <f t="shared" si="8"/>
        <v>1199.9999881082238</v>
      </c>
      <c r="D203" s="31">
        <f t="shared" si="9"/>
        <v>195.32525687067471</v>
      </c>
      <c r="E203" s="31">
        <f t="shared" si="10"/>
        <v>1004.6747312375491</v>
      </c>
      <c r="F203" s="31">
        <f t="shared" si="11"/>
        <v>65963.984767279486</v>
      </c>
    </row>
    <row r="204" spans="2:6" hidden="1" x14ac:dyDescent="0.25">
      <c r="B204" s="4">
        <v>181</v>
      </c>
      <c r="C204" s="31">
        <f t="shared" si="8"/>
        <v>1199.9999881082238</v>
      </c>
      <c r="D204" s="31">
        <f t="shared" si="9"/>
        <v>192.39495557123183</v>
      </c>
      <c r="E204" s="31">
        <f t="shared" si="10"/>
        <v>1007.605032536992</v>
      </c>
      <c r="F204" s="31">
        <f t="shared" si="11"/>
        <v>64956.379734742492</v>
      </c>
    </row>
    <row r="205" spans="2:6" hidden="1" x14ac:dyDescent="0.25">
      <c r="B205" s="4">
        <v>182</v>
      </c>
      <c r="C205" s="31">
        <f t="shared" si="8"/>
        <v>1199.9999881082238</v>
      </c>
      <c r="D205" s="31">
        <f t="shared" si="9"/>
        <v>189.45610755966561</v>
      </c>
      <c r="E205" s="31">
        <f t="shared" si="10"/>
        <v>1010.5438805485581</v>
      </c>
      <c r="F205" s="31">
        <f t="shared" si="11"/>
        <v>63945.835854193931</v>
      </c>
    </row>
    <row r="206" spans="2:6" hidden="1" x14ac:dyDescent="0.25">
      <c r="B206" s="4">
        <v>183</v>
      </c>
      <c r="C206" s="31">
        <f t="shared" si="8"/>
        <v>1199.9999881082238</v>
      </c>
      <c r="D206" s="31">
        <f t="shared" si="9"/>
        <v>186.50868790806564</v>
      </c>
      <c r="E206" s="31">
        <f t="shared" si="10"/>
        <v>1013.4913002001581</v>
      </c>
      <c r="F206" s="31">
        <f t="shared" si="11"/>
        <v>62932.344553993775</v>
      </c>
    </row>
    <row r="207" spans="2:6" hidden="1" x14ac:dyDescent="0.25">
      <c r="B207" s="4">
        <v>184</v>
      </c>
      <c r="C207" s="31">
        <f t="shared" si="8"/>
        <v>1199.9999881082238</v>
      </c>
      <c r="D207" s="31">
        <f t="shared" si="9"/>
        <v>183.55267161581517</v>
      </c>
      <c r="E207" s="31">
        <f t="shared" si="10"/>
        <v>1016.4473164924086</v>
      </c>
      <c r="F207" s="31">
        <f t="shared" si="11"/>
        <v>61915.897237501369</v>
      </c>
    </row>
    <row r="208" spans="2:6" hidden="1" x14ac:dyDescent="0.25">
      <c r="B208" s="4">
        <v>185</v>
      </c>
      <c r="C208" s="31">
        <f t="shared" si="8"/>
        <v>1199.9999881082238</v>
      </c>
      <c r="D208" s="31">
        <f t="shared" si="9"/>
        <v>180.58803360937901</v>
      </c>
      <c r="E208" s="31">
        <f t="shared" si="10"/>
        <v>1019.4119544988448</v>
      </c>
      <c r="F208" s="31">
        <f t="shared" si="11"/>
        <v>60896.485283002527</v>
      </c>
    </row>
    <row r="209" spans="2:6" hidden="1" x14ac:dyDescent="0.25">
      <c r="B209" s="4">
        <v>186</v>
      </c>
      <c r="C209" s="31">
        <f t="shared" si="8"/>
        <v>1199.9999881082238</v>
      </c>
      <c r="D209" s="31">
        <f t="shared" si="9"/>
        <v>177.61474874209071</v>
      </c>
      <c r="E209" s="31">
        <f t="shared" si="10"/>
        <v>1022.3852393661331</v>
      </c>
      <c r="F209" s="31">
        <f t="shared" si="11"/>
        <v>59874.10004363639</v>
      </c>
    </row>
    <row r="210" spans="2:6" hidden="1" x14ac:dyDescent="0.25">
      <c r="B210" s="4">
        <v>187</v>
      </c>
      <c r="C210" s="31">
        <f t="shared" si="8"/>
        <v>1199.9999881082238</v>
      </c>
      <c r="D210" s="31">
        <f t="shared" si="9"/>
        <v>174.63279179393948</v>
      </c>
      <c r="E210" s="31">
        <f t="shared" si="10"/>
        <v>1025.3671963142842</v>
      </c>
      <c r="F210" s="31">
        <f t="shared" si="11"/>
        <v>58848.732847322106</v>
      </c>
    </row>
    <row r="211" spans="2:6" hidden="1" x14ac:dyDescent="0.25">
      <c r="B211" s="4">
        <v>188</v>
      </c>
      <c r="C211" s="31">
        <f t="shared" si="8"/>
        <v>1199.9999881082238</v>
      </c>
      <c r="D211" s="31">
        <f t="shared" si="9"/>
        <v>171.64213747135614</v>
      </c>
      <c r="E211" s="31">
        <f t="shared" si="10"/>
        <v>1028.3578506368676</v>
      </c>
      <c r="F211" s="31">
        <f t="shared" si="11"/>
        <v>57820.374996685241</v>
      </c>
    </row>
    <row r="212" spans="2:6" hidden="1" x14ac:dyDescent="0.25">
      <c r="B212" s="4">
        <v>189</v>
      </c>
      <c r="C212" s="31">
        <f t="shared" si="8"/>
        <v>1199.9999881082238</v>
      </c>
      <c r="D212" s="31">
        <f t="shared" si="9"/>
        <v>168.64276040699863</v>
      </c>
      <c r="E212" s="31">
        <f t="shared" si="10"/>
        <v>1031.3572277012252</v>
      </c>
      <c r="F212" s="31">
        <f t="shared" si="11"/>
        <v>56789.017768984013</v>
      </c>
    </row>
    <row r="213" spans="2:6" hidden="1" x14ac:dyDescent="0.25">
      <c r="B213" s="4">
        <v>190</v>
      </c>
      <c r="C213" s="31">
        <f t="shared" si="8"/>
        <v>1199.9999881082238</v>
      </c>
      <c r="D213" s="31">
        <f t="shared" si="9"/>
        <v>165.63463515953671</v>
      </c>
      <c r="E213" s="31">
        <f t="shared" si="10"/>
        <v>1034.3653529486871</v>
      </c>
      <c r="F213" s="31">
        <f t="shared" si="11"/>
        <v>55754.652416035329</v>
      </c>
    </row>
    <row r="214" spans="2:6" hidden="1" x14ac:dyDescent="0.25">
      <c r="B214" s="4">
        <v>191</v>
      </c>
      <c r="C214" s="31">
        <f t="shared" si="8"/>
        <v>1199.9999881082238</v>
      </c>
      <c r="D214" s="31">
        <f t="shared" si="9"/>
        <v>162.61773621343639</v>
      </c>
      <c r="E214" s="31">
        <f t="shared" si="10"/>
        <v>1037.3822518947873</v>
      </c>
      <c r="F214" s="31">
        <f t="shared" si="11"/>
        <v>54717.270164140544</v>
      </c>
    </row>
    <row r="215" spans="2:6" hidden="1" x14ac:dyDescent="0.25">
      <c r="B215" s="4">
        <v>192</v>
      </c>
      <c r="C215" s="31">
        <f t="shared" si="8"/>
        <v>1199.9999881082238</v>
      </c>
      <c r="D215" s="31">
        <f t="shared" si="9"/>
        <v>159.59203797874326</v>
      </c>
      <c r="E215" s="31">
        <f t="shared" si="10"/>
        <v>1040.4079501294805</v>
      </c>
      <c r="F215" s="31">
        <f t="shared" si="11"/>
        <v>53676.86221401106</v>
      </c>
    </row>
    <row r="216" spans="2:6" hidden="1" x14ac:dyDescent="0.25">
      <c r="B216" s="4">
        <v>193</v>
      </c>
      <c r="C216" s="31">
        <f t="shared" si="8"/>
        <v>1199.9999881082238</v>
      </c>
      <c r="D216" s="31">
        <f t="shared" si="9"/>
        <v>156.55751479086561</v>
      </c>
      <c r="E216" s="31">
        <f t="shared" si="10"/>
        <v>1043.4424733173582</v>
      </c>
      <c r="F216" s="31">
        <f t="shared" si="11"/>
        <v>52633.419740693702</v>
      </c>
    </row>
    <row r="217" spans="2:6" hidden="1" x14ac:dyDescent="0.25">
      <c r="B217" s="4">
        <v>194</v>
      </c>
      <c r="C217" s="31">
        <f t="shared" ref="C217:C263" si="12">-$C$13</f>
        <v>1199.9999881082238</v>
      </c>
      <c r="D217" s="31">
        <f t="shared" ref="D217:D263" si="13">F216*C$11</f>
        <v>153.51414091035664</v>
      </c>
      <c r="E217" s="31">
        <f t="shared" ref="E217:E263" si="14">C217-D217</f>
        <v>1046.4858471978671</v>
      </c>
      <c r="F217" s="31">
        <f t="shared" ref="F217:F263" si="15">F216-E217</f>
        <v>51586.933893495836</v>
      </c>
    </row>
    <row r="218" spans="2:6" hidden="1" x14ac:dyDescent="0.25">
      <c r="B218" s="4">
        <v>195</v>
      </c>
      <c r="C218" s="31">
        <f t="shared" si="12"/>
        <v>1199.9999881082238</v>
      </c>
      <c r="D218" s="31">
        <f t="shared" si="13"/>
        <v>150.46189052269619</v>
      </c>
      <c r="E218" s="31">
        <f t="shared" si="14"/>
        <v>1049.5380975855276</v>
      </c>
      <c r="F218" s="31">
        <f t="shared" si="15"/>
        <v>50537.395795910306</v>
      </c>
    </row>
    <row r="219" spans="2:6" hidden="1" x14ac:dyDescent="0.25">
      <c r="B219" s="4">
        <v>196</v>
      </c>
      <c r="C219" s="31">
        <f t="shared" si="12"/>
        <v>1199.9999881082238</v>
      </c>
      <c r="D219" s="31">
        <f t="shared" si="13"/>
        <v>147.40073773807174</v>
      </c>
      <c r="E219" s="31">
        <f t="shared" si="14"/>
        <v>1052.599250370152</v>
      </c>
      <c r="F219" s="31">
        <f t="shared" si="15"/>
        <v>49484.796545540157</v>
      </c>
    </row>
    <row r="220" spans="2:6" hidden="1" x14ac:dyDescent="0.25">
      <c r="B220" s="4">
        <v>197</v>
      </c>
      <c r="C220" s="31">
        <f t="shared" si="12"/>
        <v>1199.9999881082238</v>
      </c>
      <c r="D220" s="31">
        <f t="shared" si="13"/>
        <v>144.3306565911588</v>
      </c>
      <c r="E220" s="31">
        <f t="shared" si="14"/>
        <v>1055.6693315170651</v>
      </c>
      <c r="F220" s="31">
        <f t="shared" si="15"/>
        <v>48429.127214023094</v>
      </c>
    </row>
    <row r="221" spans="2:6" hidden="1" x14ac:dyDescent="0.25">
      <c r="B221" s="4">
        <v>198</v>
      </c>
      <c r="C221" s="31">
        <f t="shared" si="12"/>
        <v>1199.9999881082238</v>
      </c>
      <c r="D221" s="31">
        <f t="shared" si="13"/>
        <v>141.25162104090069</v>
      </c>
      <c r="E221" s="31">
        <f t="shared" si="14"/>
        <v>1058.748367067323</v>
      </c>
      <c r="F221" s="31">
        <f t="shared" si="15"/>
        <v>47370.378846955769</v>
      </c>
    </row>
    <row r="222" spans="2:6" hidden="1" x14ac:dyDescent="0.25">
      <c r="B222" s="4">
        <v>199</v>
      </c>
      <c r="C222" s="31">
        <f t="shared" si="12"/>
        <v>1199.9999881082238</v>
      </c>
      <c r="D222" s="31">
        <f t="shared" si="13"/>
        <v>138.16360497028768</v>
      </c>
      <c r="E222" s="31">
        <f t="shared" si="14"/>
        <v>1061.8363831379361</v>
      </c>
      <c r="F222" s="31">
        <f t="shared" si="15"/>
        <v>46308.54246381783</v>
      </c>
    </row>
    <row r="223" spans="2:6" hidden="1" x14ac:dyDescent="0.25">
      <c r="B223" s="4">
        <v>200</v>
      </c>
      <c r="C223" s="31">
        <f t="shared" si="12"/>
        <v>1199.9999881082238</v>
      </c>
      <c r="D223" s="31">
        <f t="shared" si="13"/>
        <v>135.06658218613535</v>
      </c>
      <c r="E223" s="31">
        <f t="shared" si="14"/>
        <v>1064.9334059220885</v>
      </c>
      <c r="F223" s="31">
        <f t="shared" si="15"/>
        <v>45243.609057895745</v>
      </c>
    </row>
    <row r="224" spans="2:6" hidden="1" x14ac:dyDescent="0.25">
      <c r="B224" s="4">
        <v>201</v>
      </c>
      <c r="C224" s="31">
        <f t="shared" si="12"/>
        <v>1199.9999881082238</v>
      </c>
      <c r="D224" s="31">
        <f t="shared" si="13"/>
        <v>131.9605264188626</v>
      </c>
      <c r="E224" s="31">
        <f t="shared" si="14"/>
        <v>1068.0394616893611</v>
      </c>
      <c r="F224" s="31">
        <f t="shared" si="15"/>
        <v>44175.569596206384</v>
      </c>
    </row>
    <row r="225" spans="2:6" hidden="1" x14ac:dyDescent="0.25">
      <c r="B225" s="4">
        <v>202</v>
      </c>
      <c r="C225" s="31">
        <f t="shared" si="12"/>
        <v>1199.9999881082238</v>
      </c>
      <c r="D225" s="31">
        <f t="shared" si="13"/>
        <v>128.84541132226863</v>
      </c>
      <c r="E225" s="31">
        <f t="shared" si="14"/>
        <v>1071.1545767859552</v>
      </c>
      <c r="F225" s="31">
        <f t="shared" si="15"/>
        <v>43104.415019420427</v>
      </c>
    </row>
    <row r="226" spans="2:6" hidden="1" x14ac:dyDescent="0.25">
      <c r="B226" s="4">
        <v>203</v>
      </c>
      <c r="C226" s="31">
        <f t="shared" si="12"/>
        <v>1199.9999881082238</v>
      </c>
      <c r="D226" s="31">
        <f t="shared" si="13"/>
        <v>125.72121047330958</v>
      </c>
      <c r="E226" s="31">
        <f t="shared" si="14"/>
        <v>1074.2787776349141</v>
      </c>
      <c r="F226" s="31">
        <f t="shared" si="15"/>
        <v>42030.136241785513</v>
      </c>
    </row>
    <row r="227" spans="2:6" hidden="1" x14ac:dyDescent="0.25">
      <c r="B227" s="4">
        <v>204</v>
      </c>
      <c r="C227" s="31">
        <f t="shared" si="12"/>
        <v>1199.9999881082238</v>
      </c>
      <c r="D227" s="31">
        <f t="shared" si="13"/>
        <v>122.58789737187442</v>
      </c>
      <c r="E227" s="31">
        <f t="shared" si="14"/>
        <v>1077.4120907363495</v>
      </c>
      <c r="F227" s="31">
        <f t="shared" si="15"/>
        <v>40952.724151049166</v>
      </c>
    </row>
    <row r="228" spans="2:6" hidden="1" x14ac:dyDescent="0.25">
      <c r="B228" s="4">
        <v>205</v>
      </c>
      <c r="C228" s="31">
        <f t="shared" si="12"/>
        <v>1199.9999881082238</v>
      </c>
      <c r="D228" s="31">
        <f t="shared" si="13"/>
        <v>119.44544544056008</v>
      </c>
      <c r="E228" s="31">
        <f t="shared" si="14"/>
        <v>1080.5545426676638</v>
      </c>
      <c r="F228" s="31">
        <f t="shared" si="15"/>
        <v>39872.169608381504</v>
      </c>
    </row>
    <row r="229" spans="2:6" hidden="1" x14ac:dyDescent="0.25">
      <c r="B229" s="4">
        <v>206</v>
      </c>
      <c r="C229" s="31">
        <f t="shared" si="12"/>
        <v>1199.9999881082238</v>
      </c>
      <c r="D229" s="31">
        <f t="shared" si="13"/>
        <v>116.29382802444606</v>
      </c>
      <c r="E229" s="31">
        <f t="shared" si="14"/>
        <v>1083.7061600837776</v>
      </c>
      <c r="F229" s="31">
        <f t="shared" si="15"/>
        <v>38788.463448297727</v>
      </c>
    </row>
    <row r="230" spans="2:6" hidden="1" x14ac:dyDescent="0.25">
      <c r="B230" s="4">
        <v>207</v>
      </c>
      <c r="C230" s="31">
        <f t="shared" si="12"/>
        <v>1199.9999881082238</v>
      </c>
      <c r="D230" s="31">
        <f t="shared" si="13"/>
        <v>113.13301839086837</v>
      </c>
      <c r="E230" s="31">
        <f t="shared" si="14"/>
        <v>1086.8669697173555</v>
      </c>
      <c r="F230" s="31">
        <f t="shared" si="15"/>
        <v>37701.596478580374</v>
      </c>
    </row>
    <row r="231" spans="2:6" hidden="1" x14ac:dyDescent="0.25">
      <c r="B231" s="4">
        <v>208</v>
      </c>
      <c r="C231" s="31">
        <f t="shared" si="12"/>
        <v>1199.9999881082238</v>
      </c>
      <c r="D231" s="31">
        <f t="shared" si="13"/>
        <v>109.96298972919276</v>
      </c>
      <c r="E231" s="31">
        <f t="shared" si="14"/>
        <v>1090.036998379031</v>
      </c>
      <c r="F231" s="31">
        <f t="shared" si="15"/>
        <v>36611.559480201344</v>
      </c>
    </row>
    <row r="232" spans="2:6" hidden="1" x14ac:dyDescent="0.25">
      <c r="B232" s="4">
        <v>209</v>
      </c>
      <c r="C232" s="31">
        <f t="shared" si="12"/>
        <v>1199.9999881082238</v>
      </c>
      <c r="D232" s="31">
        <f t="shared" si="13"/>
        <v>106.78371515058726</v>
      </c>
      <c r="E232" s="31">
        <f t="shared" si="14"/>
        <v>1093.2162729576364</v>
      </c>
      <c r="F232" s="31">
        <f t="shared" si="15"/>
        <v>35518.343207243706</v>
      </c>
    </row>
    <row r="233" spans="2:6" hidden="1" x14ac:dyDescent="0.25">
      <c r="B233" s="4">
        <v>210</v>
      </c>
      <c r="C233" s="31">
        <f t="shared" si="12"/>
        <v>1199.9999881082238</v>
      </c>
      <c r="D233" s="31">
        <f t="shared" si="13"/>
        <v>103.59516768779415</v>
      </c>
      <c r="E233" s="31">
        <f t="shared" si="14"/>
        <v>1096.4048204204296</v>
      </c>
      <c r="F233" s="31">
        <f t="shared" si="15"/>
        <v>34421.938386823276</v>
      </c>
    </row>
    <row r="234" spans="2:6" hidden="1" x14ac:dyDescent="0.25">
      <c r="B234" s="4">
        <v>211</v>
      </c>
      <c r="C234" s="31">
        <f t="shared" si="12"/>
        <v>1199.9999881082238</v>
      </c>
      <c r="D234" s="31">
        <f t="shared" si="13"/>
        <v>100.39732029490122</v>
      </c>
      <c r="E234" s="31">
        <f t="shared" si="14"/>
        <v>1099.6026678133226</v>
      </c>
      <c r="F234" s="31">
        <f t="shared" si="15"/>
        <v>33322.335719009956</v>
      </c>
    </row>
    <row r="235" spans="2:6" hidden="1" x14ac:dyDescent="0.25">
      <c r="B235" s="4">
        <v>212</v>
      </c>
      <c r="C235" s="31">
        <f t="shared" si="12"/>
        <v>1199.9999881082238</v>
      </c>
      <c r="D235" s="31">
        <f t="shared" si="13"/>
        <v>97.190145847112376</v>
      </c>
      <c r="E235" s="31">
        <f t="shared" si="14"/>
        <v>1102.8098422611115</v>
      </c>
      <c r="F235" s="31">
        <f t="shared" si="15"/>
        <v>32219.525876748845</v>
      </c>
    </row>
    <row r="236" spans="2:6" hidden="1" x14ac:dyDescent="0.25">
      <c r="B236" s="4">
        <v>213</v>
      </c>
      <c r="C236" s="31">
        <f t="shared" si="12"/>
        <v>1199.9999881082238</v>
      </c>
      <c r="D236" s="31">
        <f t="shared" si="13"/>
        <v>93.973617140517462</v>
      </c>
      <c r="E236" s="31">
        <f t="shared" si="14"/>
        <v>1106.0263709677063</v>
      </c>
      <c r="F236" s="31">
        <f t="shared" si="15"/>
        <v>31113.499505781139</v>
      </c>
    </row>
    <row r="237" spans="2:6" hidden="1" x14ac:dyDescent="0.25">
      <c r="B237" s="4">
        <v>214</v>
      </c>
      <c r="C237" s="31">
        <f t="shared" si="12"/>
        <v>1199.9999881082238</v>
      </c>
      <c r="D237" s="31">
        <f t="shared" si="13"/>
        <v>90.747706891861654</v>
      </c>
      <c r="E237" s="31">
        <f t="shared" si="14"/>
        <v>1109.252281216362</v>
      </c>
      <c r="F237" s="31">
        <f t="shared" si="15"/>
        <v>30004.247224564777</v>
      </c>
    </row>
    <row r="238" spans="2:6" hidden="1" x14ac:dyDescent="0.25">
      <c r="B238" s="4">
        <v>215</v>
      </c>
      <c r="C238" s="31">
        <f t="shared" si="12"/>
        <v>1199.9999881082238</v>
      </c>
      <c r="D238" s="31">
        <f t="shared" si="13"/>
        <v>87.512387738313933</v>
      </c>
      <c r="E238" s="31">
        <f t="shared" si="14"/>
        <v>1112.4876003699098</v>
      </c>
      <c r="F238" s="31">
        <f t="shared" si="15"/>
        <v>28891.759624194867</v>
      </c>
    </row>
    <row r="239" spans="2:6" hidden="1" x14ac:dyDescent="0.25">
      <c r="B239" s="4">
        <v>216</v>
      </c>
      <c r="C239" s="31">
        <f t="shared" si="12"/>
        <v>1199.9999881082238</v>
      </c>
      <c r="D239" s="31">
        <f t="shared" si="13"/>
        <v>84.267632237235034</v>
      </c>
      <c r="E239" s="31">
        <f t="shared" si="14"/>
        <v>1115.7323558709886</v>
      </c>
      <c r="F239" s="31">
        <f t="shared" si="15"/>
        <v>27776.02726832388</v>
      </c>
    </row>
    <row r="240" spans="2:6" hidden="1" x14ac:dyDescent="0.25">
      <c r="B240" s="4">
        <v>217</v>
      </c>
      <c r="C240" s="31">
        <f t="shared" si="12"/>
        <v>1199.9999881082238</v>
      </c>
      <c r="D240" s="31">
        <f t="shared" si="13"/>
        <v>81.013412865944659</v>
      </c>
      <c r="E240" s="31">
        <f t="shared" si="14"/>
        <v>1118.9865752422791</v>
      </c>
      <c r="F240" s="31">
        <f t="shared" si="15"/>
        <v>26657.040693081603</v>
      </c>
    </row>
    <row r="241" spans="2:6" hidden="1" x14ac:dyDescent="0.25">
      <c r="B241" s="4">
        <v>218</v>
      </c>
      <c r="C241" s="31">
        <f t="shared" si="12"/>
        <v>1199.9999881082238</v>
      </c>
      <c r="D241" s="31">
        <f t="shared" si="13"/>
        <v>77.749702021488005</v>
      </c>
      <c r="E241" s="31">
        <f t="shared" si="14"/>
        <v>1122.2502860867357</v>
      </c>
      <c r="F241" s="31">
        <f t="shared" si="15"/>
        <v>25534.790406994867</v>
      </c>
    </row>
    <row r="242" spans="2:6" hidden="1" x14ac:dyDescent="0.25">
      <c r="B242" s="4">
        <v>219</v>
      </c>
      <c r="C242" s="31">
        <f t="shared" si="12"/>
        <v>1199.9999881082238</v>
      </c>
      <c r="D242" s="31">
        <f t="shared" si="13"/>
        <v>74.476472020401701</v>
      </c>
      <c r="E242" s="31">
        <f t="shared" si="14"/>
        <v>1125.5235160878221</v>
      </c>
      <c r="F242" s="31">
        <f t="shared" si="15"/>
        <v>24409.266890907045</v>
      </c>
    </row>
    <row r="243" spans="2:6" hidden="1" x14ac:dyDescent="0.25">
      <c r="B243" s="4">
        <v>220</v>
      </c>
      <c r="C243" s="31">
        <f t="shared" si="12"/>
        <v>1199.9999881082238</v>
      </c>
      <c r="D243" s="31">
        <f t="shared" si="13"/>
        <v>71.193695098478884</v>
      </c>
      <c r="E243" s="31">
        <f t="shared" si="14"/>
        <v>1128.8062930097449</v>
      </c>
      <c r="F243" s="31">
        <f t="shared" si="15"/>
        <v>23280.460597897301</v>
      </c>
    </row>
    <row r="244" spans="2:6" hidden="1" x14ac:dyDescent="0.25">
      <c r="B244" s="4">
        <v>221</v>
      </c>
      <c r="C244" s="31">
        <f t="shared" si="12"/>
        <v>1199.9999881082238</v>
      </c>
      <c r="D244" s="31">
        <f t="shared" si="13"/>
        <v>67.901343410533798</v>
      </c>
      <c r="E244" s="31">
        <f t="shared" si="14"/>
        <v>1132.0986446976899</v>
      </c>
      <c r="F244" s="31">
        <f t="shared" si="15"/>
        <v>22148.361953199612</v>
      </c>
    </row>
    <row r="245" spans="2:6" hidden="1" x14ac:dyDescent="0.25">
      <c r="B245" s="4">
        <v>222</v>
      </c>
      <c r="C245" s="31">
        <f t="shared" si="12"/>
        <v>1199.9999881082238</v>
      </c>
      <c r="D245" s="31">
        <f t="shared" si="13"/>
        <v>64.59938903016554</v>
      </c>
      <c r="E245" s="31">
        <f t="shared" si="14"/>
        <v>1135.4005990780581</v>
      </c>
      <c r="F245" s="31">
        <f t="shared" si="15"/>
        <v>21012.961354121555</v>
      </c>
    </row>
    <row r="246" spans="2:6" hidden="1" x14ac:dyDescent="0.25">
      <c r="B246" s="4">
        <v>223</v>
      </c>
      <c r="C246" s="31">
        <f t="shared" si="12"/>
        <v>1199.9999881082238</v>
      </c>
      <c r="D246" s="31">
        <f t="shared" si="13"/>
        <v>61.287803949521205</v>
      </c>
      <c r="E246" s="31">
        <f t="shared" si="14"/>
        <v>1138.7121841587025</v>
      </c>
      <c r="F246" s="31">
        <f t="shared" si="15"/>
        <v>19874.249169962852</v>
      </c>
    </row>
    <row r="247" spans="2:6" hidden="1" x14ac:dyDescent="0.25">
      <c r="B247" s="4">
        <v>224</v>
      </c>
      <c r="C247" s="31">
        <f t="shared" si="12"/>
        <v>1199.9999881082238</v>
      </c>
      <c r="D247" s="31">
        <f t="shared" si="13"/>
        <v>57.966560079058318</v>
      </c>
      <c r="E247" s="31">
        <f t="shared" si="14"/>
        <v>1142.0334280291654</v>
      </c>
      <c r="F247" s="31">
        <f t="shared" si="15"/>
        <v>18732.215741933687</v>
      </c>
    </row>
    <row r="248" spans="2:6" hidden="1" x14ac:dyDescent="0.25">
      <c r="B248" s="4">
        <v>225</v>
      </c>
      <c r="C248" s="31">
        <f t="shared" si="12"/>
        <v>1199.9999881082238</v>
      </c>
      <c r="D248" s="31">
        <f t="shared" si="13"/>
        <v>54.635629247306589</v>
      </c>
      <c r="E248" s="31">
        <f t="shared" si="14"/>
        <v>1145.3643588609173</v>
      </c>
      <c r="F248" s="31">
        <f t="shared" si="15"/>
        <v>17586.851383072772</v>
      </c>
    </row>
    <row r="249" spans="2:6" hidden="1" x14ac:dyDescent="0.25">
      <c r="B249" s="4">
        <v>226</v>
      </c>
      <c r="C249" s="31">
        <f t="shared" si="12"/>
        <v>1199.9999881082238</v>
      </c>
      <c r="D249" s="31">
        <f t="shared" si="13"/>
        <v>51.29498320062892</v>
      </c>
      <c r="E249" s="31">
        <f t="shared" si="14"/>
        <v>1148.7050049075949</v>
      </c>
      <c r="F249" s="31">
        <f t="shared" si="15"/>
        <v>16438.146378165176</v>
      </c>
    </row>
    <row r="250" spans="2:6" hidden="1" x14ac:dyDescent="0.25">
      <c r="B250" s="4">
        <v>227</v>
      </c>
      <c r="C250" s="31">
        <f t="shared" si="12"/>
        <v>1199.9999881082238</v>
      </c>
      <c r="D250" s="31">
        <f t="shared" si="13"/>
        <v>47.944593602981769</v>
      </c>
      <c r="E250" s="31">
        <f t="shared" si="14"/>
        <v>1152.055394505242</v>
      </c>
      <c r="F250" s="31">
        <f t="shared" si="15"/>
        <v>15286.090983659935</v>
      </c>
    </row>
    <row r="251" spans="2:6" hidden="1" x14ac:dyDescent="0.25">
      <c r="B251" s="4">
        <v>228</v>
      </c>
      <c r="C251" s="31">
        <f t="shared" si="12"/>
        <v>1199.9999881082238</v>
      </c>
      <c r="D251" s="31">
        <f t="shared" si="13"/>
        <v>44.584432035674809</v>
      </c>
      <c r="E251" s="31">
        <f t="shared" si="14"/>
        <v>1155.415556072549</v>
      </c>
      <c r="F251" s="31">
        <f t="shared" si="15"/>
        <v>14130.675427587386</v>
      </c>
    </row>
    <row r="252" spans="2:6" hidden="1" x14ac:dyDescent="0.25">
      <c r="B252" s="4">
        <v>229</v>
      </c>
      <c r="C252" s="31">
        <f t="shared" si="12"/>
        <v>1199.9999881082238</v>
      </c>
      <c r="D252" s="31">
        <f t="shared" si="13"/>
        <v>41.214469997129882</v>
      </c>
      <c r="E252" s="31">
        <f t="shared" si="14"/>
        <v>1158.7855181110938</v>
      </c>
      <c r="F252" s="31">
        <f t="shared" si="15"/>
        <v>12971.889909476293</v>
      </c>
    </row>
    <row r="253" spans="2:6" x14ac:dyDescent="0.25">
      <c r="B253" s="4">
        <v>230</v>
      </c>
      <c r="C253" s="31">
        <f t="shared" si="12"/>
        <v>1199.9999881082238</v>
      </c>
      <c r="D253" s="31">
        <f t="shared" si="13"/>
        <v>37.83467890263919</v>
      </c>
      <c r="E253" s="31">
        <f t="shared" si="14"/>
        <v>1162.1653092055847</v>
      </c>
      <c r="F253" s="31">
        <f t="shared" si="15"/>
        <v>11809.724600270709</v>
      </c>
    </row>
    <row r="254" spans="2:6" x14ac:dyDescent="0.25">
      <c r="B254" s="4">
        <v>231</v>
      </c>
      <c r="C254" s="31">
        <f t="shared" si="12"/>
        <v>1199.9999881082238</v>
      </c>
      <c r="D254" s="31">
        <f t="shared" si="13"/>
        <v>34.445030084122905</v>
      </c>
      <c r="E254" s="31">
        <f t="shared" si="14"/>
        <v>1165.5549580241009</v>
      </c>
      <c r="F254" s="31">
        <f t="shared" si="15"/>
        <v>10644.169642246608</v>
      </c>
    </row>
    <row r="255" spans="2:6" x14ac:dyDescent="0.25">
      <c r="B255" s="4">
        <v>232</v>
      </c>
      <c r="C255" s="31">
        <f t="shared" si="12"/>
        <v>1199.9999881082238</v>
      </c>
      <c r="D255" s="31">
        <f t="shared" si="13"/>
        <v>31.045494789885943</v>
      </c>
      <c r="E255" s="31">
        <f t="shared" si="14"/>
        <v>1168.9544933183379</v>
      </c>
      <c r="F255" s="31">
        <f t="shared" si="15"/>
        <v>9475.2151489282696</v>
      </c>
    </row>
    <row r="256" spans="2:6" x14ac:dyDescent="0.25">
      <c r="B256" s="4">
        <v>233</v>
      </c>
      <c r="C256" s="31">
        <f t="shared" si="12"/>
        <v>1199.9999881082238</v>
      </c>
      <c r="D256" s="31">
        <f t="shared" si="13"/>
        <v>27.636044184374121</v>
      </c>
      <c r="E256" s="31">
        <f t="shared" si="14"/>
        <v>1172.3639439238495</v>
      </c>
      <c r="F256" s="31">
        <f t="shared" si="15"/>
        <v>8302.8512050044192</v>
      </c>
    </row>
    <row r="257" spans="2:6" x14ac:dyDescent="0.25">
      <c r="B257" s="4">
        <v>234</v>
      </c>
      <c r="C257" s="31">
        <f t="shared" si="12"/>
        <v>1199.9999881082238</v>
      </c>
      <c r="D257" s="31">
        <f t="shared" si="13"/>
        <v>24.216649347929557</v>
      </c>
      <c r="E257" s="31">
        <f t="shared" si="14"/>
        <v>1175.7833387602941</v>
      </c>
      <c r="F257" s="31">
        <f t="shared" si="15"/>
        <v>7127.0678662441251</v>
      </c>
    </row>
    <row r="258" spans="2:6" x14ac:dyDescent="0.25">
      <c r="B258" s="4">
        <v>235</v>
      </c>
      <c r="C258" s="31">
        <f t="shared" si="12"/>
        <v>1199.9999881082238</v>
      </c>
      <c r="D258" s="31">
        <f t="shared" si="13"/>
        <v>20.787281276545365</v>
      </c>
      <c r="E258" s="31">
        <f t="shared" si="14"/>
        <v>1179.2127068316784</v>
      </c>
      <c r="F258" s="31">
        <f t="shared" si="15"/>
        <v>5947.8551594124465</v>
      </c>
    </row>
    <row r="259" spans="2:6" x14ac:dyDescent="0.25">
      <c r="B259" s="4">
        <v>236</v>
      </c>
      <c r="C259" s="31">
        <f t="shared" si="12"/>
        <v>1199.9999881082238</v>
      </c>
      <c r="D259" s="31">
        <f t="shared" si="13"/>
        <v>17.347910881619637</v>
      </c>
      <c r="E259" s="31">
        <f t="shared" si="14"/>
        <v>1182.6520772266042</v>
      </c>
      <c r="F259" s="31">
        <f t="shared" si="15"/>
        <v>4765.2030821858425</v>
      </c>
    </row>
    <row r="260" spans="2:6" x14ac:dyDescent="0.25">
      <c r="B260" s="4">
        <v>237</v>
      </c>
      <c r="C260" s="31">
        <f t="shared" si="12"/>
        <v>1199.9999881082238</v>
      </c>
      <c r="D260" s="31">
        <f t="shared" si="13"/>
        <v>13.898508989708708</v>
      </c>
      <c r="E260" s="31">
        <f t="shared" si="14"/>
        <v>1186.101479118515</v>
      </c>
      <c r="F260" s="31">
        <f t="shared" si="15"/>
        <v>3579.1016030673272</v>
      </c>
    </row>
    <row r="261" spans="2:6" x14ac:dyDescent="0.25">
      <c r="B261" s="4">
        <v>238</v>
      </c>
      <c r="C261" s="31">
        <f t="shared" si="12"/>
        <v>1199.9999881082238</v>
      </c>
      <c r="D261" s="31">
        <f t="shared" si="13"/>
        <v>10.439046342279704</v>
      </c>
      <c r="E261" s="31">
        <f t="shared" si="14"/>
        <v>1189.5609417659441</v>
      </c>
      <c r="F261" s="31">
        <f t="shared" si="15"/>
        <v>2389.5406613013829</v>
      </c>
    </row>
    <row r="262" spans="2:6" x14ac:dyDescent="0.25">
      <c r="B262" s="4">
        <v>239</v>
      </c>
      <c r="C262" s="31">
        <f t="shared" si="12"/>
        <v>1199.9999881082238</v>
      </c>
      <c r="D262" s="31">
        <f t="shared" si="13"/>
        <v>6.9694935954623674</v>
      </c>
      <c r="E262" s="31">
        <f t="shared" si="14"/>
        <v>1193.0304945127614</v>
      </c>
      <c r="F262" s="31">
        <f t="shared" si="15"/>
        <v>1196.5101667886215</v>
      </c>
    </row>
    <row r="263" spans="2:6" x14ac:dyDescent="0.25">
      <c r="B263" s="4">
        <v>240</v>
      </c>
      <c r="C263" s="31">
        <f t="shared" si="12"/>
        <v>1199.9999881082238</v>
      </c>
      <c r="D263" s="31">
        <f t="shared" si="13"/>
        <v>3.4898213198001464</v>
      </c>
      <c r="E263" s="31">
        <f t="shared" si="14"/>
        <v>1196.5101667884237</v>
      </c>
      <c r="F263" s="31">
        <f t="shared" si="15"/>
        <v>1.9781509763561189E-10</v>
      </c>
    </row>
    <row r="264" spans="2:6" x14ac:dyDescent="0.25">
      <c r="B264" s="33" t="s">
        <v>320</v>
      </c>
      <c r="C264" s="34">
        <f t="shared" ref="C264:E264" si="16">SUM(C24:C263)</f>
        <v>287999.99714597466</v>
      </c>
      <c r="D264" s="34">
        <f t="shared" si="16"/>
        <v>81089.077145973846</v>
      </c>
      <c r="E264" s="34">
        <f t="shared" si="16"/>
        <v>206910.91999999995</v>
      </c>
    </row>
    <row r="268" spans="2:6" ht="8.25" customHeight="1" x14ac:dyDescent="0.25"/>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4D87A-FAA1-4847-82DA-52D893D3C90F}">
  <sheetPr>
    <tabColor rgb="FF0000FF"/>
  </sheetPr>
  <dimension ref="A1:Q24"/>
  <sheetViews>
    <sheetView showGridLines="0" zoomScale="145" zoomScaleNormal="145" workbookViewId="0"/>
  </sheetViews>
  <sheetFormatPr defaultColWidth="8.85546875" defaultRowHeight="15" x14ac:dyDescent="0.25"/>
  <cols>
    <col min="1" max="1" width="4.85546875" bestFit="1" customWidth="1"/>
    <col min="2" max="2" width="40.140625" customWidth="1"/>
    <col min="3" max="3" width="15.140625" customWidth="1"/>
    <col min="4" max="4" width="49" customWidth="1"/>
    <col min="5" max="5" width="17.28515625" bestFit="1" customWidth="1"/>
    <col min="6" max="6" width="13.140625" customWidth="1"/>
    <col min="7" max="7" width="3" customWidth="1"/>
  </cols>
  <sheetData>
    <row r="1" spans="1:17" ht="4.5" customHeight="1" x14ac:dyDescent="0.25"/>
    <row r="2" spans="1:17" x14ac:dyDescent="0.25">
      <c r="A2" s="1" t="s">
        <v>326</v>
      </c>
      <c r="B2" s="16" t="str">
        <f>"What is the monthly payment for a "&amp;C9&amp;"-year, $"&amp;FIXED(C12,0)&amp;" car loan with a $"&amp;FIXED(C7,0)&amp;" balloon payment and a "&amp;TEXT(C8,"0.00%")&amp;" APR?"</f>
        <v>What is the monthly payment for a 3-year, $0 car loan with a $5,000 balloon payment and a 5.25% APR?</v>
      </c>
      <c r="C2" s="17"/>
      <c r="D2" s="18"/>
    </row>
    <row r="3" spans="1:17" ht="4.5" customHeight="1" x14ac:dyDescent="0.25"/>
    <row r="4" spans="1:17" x14ac:dyDescent="0.25">
      <c r="B4" s="15" t="s">
        <v>280</v>
      </c>
      <c r="C4" s="15" t="s">
        <v>283</v>
      </c>
      <c r="D4" s="15" t="s">
        <v>279</v>
      </c>
      <c r="P4" t="s">
        <v>284</v>
      </c>
      <c r="Q4">
        <v>365</v>
      </c>
    </row>
    <row r="5" spans="1:17" x14ac:dyDescent="0.25">
      <c r="B5" s="5" t="s">
        <v>266</v>
      </c>
      <c r="C5" s="22">
        <v>50000</v>
      </c>
      <c r="D5" s="4" t="str">
        <f t="shared" ref="D5:D14" ca="1" si="0">_xlfn.IFNA(_xlfn.FORMULATEXT(C5),"")</f>
        <v/>
      </c>
      <c r="P5" t="s">
        <v>285</v>
      </c>
      <c r="Q5">
        <v>12</v>
      </c>
    </row>
    <row r="6" spans="1:17" x14ac:dyDescent="0.25">
      <c r="B6" s="5" t="s">
        <v>328</v>
      </c>
      <c r="C6" s="22">
        <v>5000</v>
      </c>
      <c r="D6" s="4" t="str">
        <f t="shared" ca="1" si="0"/>
        <v/>
      </c>
    </row>
    <row r="7" spans="1:17" x14ac:dyDescent="0.25">
      <c r="A7" s="1"/>
      <c r="B7" s="35" t="s">
        <v>334</v>
      </c>
      <c r="C7" s="22">
        <v>5000</v>
      </c>
      <c r="D7" s="4" t="str">
        <f t="shared" ca="1" si="0"/>
        <v/>
      </c>
    </row>
    <row r="8" spans="1:17" x14ac:dyDescent="0.25">
      <c r="B8" s="5" t="s">
        <v>277</v>
      </c>
      <c r="C8" s="21">
        <v>5.2499999999999998E-2</v>
      </c>
      <c r="D8" s="4" t="str">
        <f t="shared" ca="1" si="0"/>
        <v/>
      </c>
      <c r="P8" t="s">
        <v>286</v>
      </c>
      <c r="Q8">
        <v>4</v>
      </c>
    </row>
    <row r="9" spans="1:17" x14ac:dyDescent="0.25">
      <c r="B9" s="5" t="s">
        <v>278</v>
      </c>
      <c r="C9" s="19">
        <v>3</v>
      </c>
      <c r="D9" s="4" t="str">
        <f t="shared" ca="1" si="0"/>
        <v/>
      </c>
      <c r="P9" t="s">
        <v>287</v>
      </c>
      <c r="Q9">
        <v>1</v>
      </c>
    </row>
    <row r="10" spans="1:17" x14ac:dyDescent="0.25">
      <c r="B10" s="5" t="s">
        <v>270</v>
      </c>
      <c r="C10" s="19">
        <v>12</v>
      </c>
      <c r="D10" s="4" t="str">
        <f t="shared" ca="1" si="0"/>
        <v/>
      </c>
    </row>
    <row r="11" spans="1:17" x14ac:dyDescent="0.25">
      <c r="B11" s="5" t="s">
        <v>314</v>
      </c>
      <c r="C11" s="19"/>
      <c r="D11" s="4" t="str">
        <f t="shared" ca="1" si="0"/>
        <v/>
      </c>
    </row>
    <row r="12" spans="1:17" x14ac:dyDescent="0.25">
      <c r="B12" s="5" t="s">
        <v>329</v>
      </c>
      <c r="C12" s="23"/>
      <c r="D12" s="4" t="str">
        <f t="shared" ca="1" si="0"/>
        <v/>
      </c>
    </row>
    <row r="13" spans="1:17" x14ac:dyDescent="0.25">
      <c r="B13" s="5" t="s">
        <v>281</v>
      </c>
      <c r="C13" s="20"/>
      <c r="D13" s="4" t="str">
        <f t="shared" ca="1" si="0"/>
        <v/>
      </c>
    </row>
    <row r="14" spans="1:17" x14ac:dyDescent="0.25">
      <c r="B14" s="5" t="s">
        <v>282</v>
      </c>
      <c r="C14" s="20"/>
      <c r="D14" s="4" t="str">
        <f t="shared" ca="1" si="0"/>
        <v/>
      </c>
    </row>
    <row r="15" spans="1:17" ht="15" customHeight="1" x14ac:dyDescent="0.25">
      <c r="B15" s="5" t="s">
        <v>333</v>
      </c>
      <c r="C15" s="23"/>
      <c r="D15" s="4" t="str">
        <f ca="1">_xlfn.IFNA(_xlfn.FORMULATEXT(C15),"")</f>
        <v/>
      </c>
    </row>
    <row r="17" spans="2:4" ht="18.75" x14ac:dyDescent="0.3">
      <c r="B17" s="77" t="s">
        <v>332</v>
      </c>
      <c r="C17" s="78"/>
      <c r="D17" s="79"/>
    </row>
    <row r="24" spans="2:4" ht="6.75" customHeight="1" x14ac:dyDescent="0.25"/>
  </sheetData>
  <mergeCells count="1">
    <mergeCell ref="B17:D17"/>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C5EEC-33E1-4FC1-824D-45BE90933268}">
  <sheetPr>
    <tabColor rgb="FFFF0000"/>
  </sheetPr>
  <dimension ref="A1:Q24"/>
  <sheetViews>
    <sheetView showGridLines="0" zoomScale="145" zoomScaleNormal="145" workbookViewId="0"/>
  </sheetViews>
  <sheetFormatPr defaultColWidth="8.85546875" defaultRowHeight="15" x14ac:dyDescent="0.25"/>
  <cols>
    <col min="1" max="1" width="4.85546875" bestFit="1" customWidth="1"/>
    <col min="2" max="2" width="40.140625" customWidth="1"/>
    <col min="3" max="3" width="15.140625" customWidth="1"/>
    <col min="4" max="4" width="48.28515625" customWidth="1"/>
    <col min="5" max="5" width="17.28515625" bestFit="1" customWidth="1"/>
    <col min="6" max="6" width="13.140625" customWidth="1"/>
    <col min="7" max="7" width="3" customWidth="1"/>
  </cols>
  <sheetData>
    <row r="1" spans="1:17" ht="4.5" customHeight="1" x14ac:dyDescent="0.25"/>
    <row r="2" spans="1:17" x14ac:dyDescent="0.25">
      <c r="A2" s="1" t="s">
        <v>326</v>
      </c>
      <c r="B2" s="16" t="str">
        <f>"What is the monthly payment for a "&amp;C9&amp;"-year, $"&amp;FIXED(C12,0)&amp;" car loan with a $"&amp;FIXED(C7,0)&amp;" balloon payment and a "&amp;TEXT(C8,"0.00%")&amp;" APR?"</f>
        <v>What is the monthly payment for a 3-year, $45,000 car loan with a $5,000 balloon payment and a 5.25% APR?</v>
      </c>
      <c r="C2" s="17"/>
      <c r="D2" s="18"/>
    </row>
    <row r="3" spans="1:17" ht="4.5" customHeight="1" x14ac:dyDescent="0.25"/>
    <row r="4" spans="1:17" x14ac:dyDescent="0.25">
      <c r="B4" s="15" t="s">
        <v>280</v>
      </c>
      <c r="C4" s="15" t="s">
        <v>283</v>
      </c>
      <c r="D4" s="15" t="s">
        <v>279</v>
      </c>
      <c r="P4" t="s">
        <v>284</v>
      </c>
      <c r="Q4">
        <v>365</v>
      </c>
    </row>
    <row r="5" spans="1:17" x14ac:dyDescent="0.25">
      <c r="B5" s="5" t="s">
        <v>266</v>
      </c>
      <c r="C5" s="22">
        <v>50000</v>
      </c>
      <c r="D5" s="4" t="str">
        <f t="shared" ref="D5:D14" ca="1" si="0">_xlfn.IFNA(_xlfn.FORMULATEXT(C5),"")</f>
        <v/>
      </c>
      <c r="P5" t="s">
        <v>285</v>
      </c>
      <c r="Q5">
        <v>12</v>
      </c>
    </row>
    <row r="6" spans="1:17" x14ac:dyDescent="0.25">
      <c r="B6" s="5" t="s">
        <v>328</v>
      </c>
      <c r="C6" s="22">
        <v>5000</v>
      </c>
      <c r="D6" s="4" t="str">
        <f t="shared" ca="1" si="0"/>
        <v/>
      </c>
    </row>
    <row r="7" spans="1:17" x14ac:dyDescent="0.25">
      <c r="A7" s="1"/>
      <c r="B7" s="35" t="s">
        <v>334</v>
      </c>
      <c r="C7" s="22">
        <v>5000</v>
      </c>
      <c r="D7" s="4" t="str">
        <f t="shared" ca="1" si="0"/>
        <v/>
      </c>
    </row>
    <row r="8" spans="1:17" x14ac:dyDescent="0.25">
      <c r="B8" s="5" t="s">
        <v>277</v>
      </c>
      <c r="C8" s="21">
        <v>5.2499999999999998E-2</v>
      </c>
      <c r="D8" s="4" t="str">
        <f t="shared" ca="1" si="0"/>
        <v/>
      </c>
      <c r="P8" t="s">
        <v>286</v>
      </c>
      <c r="Q8">
        <v>4</v>
      </c>
    </row>
    <row r="9" spans="1:17" x14ac:dyDescent="0.25">
      <c r="B9" s="5" t="s">
        <v>278</v>
      </c>
      <c r="C9" s="19">
        <v>3</v>
      </c>
      <c r="D9" s="4" t="str">
        <f t="shared" ca="1" si="0"/>
        <v/>
      </c>
      <c r="P9" t="s">
        <v>287</v>
      </c>
      <c r="Q9">
        <v>1</v>
      </c>
    </row>
    <row r="10" spans="1:17" x14ac:dyDescent="0.25">
      <c r="B10" s="5" t="s">
        <v>270</v>
      </c>
      <c r="C10" s="19">
        <v>12</v>
      </c>
      <c r="D10" s="4" t="str">
        <f t="shared" ca="1" si="0"/>
        <v/>
      </c>
    </row>
    <row r="11" spans="1:17" x14ac:dyDescent="0.25">
      <c r="B11" s="5" t="s">
        <v>314</v>
      </c>
      <c r="C11" s="19"/>
      <c r="D11" s="4" t="str">
        <f t="shared" ca="1" si="0"/>
        <v/>
      </c>
    </row>
    <row r="12" spans="1:17" x14ac:dyDescent="0.25">
      <c r="B12" s="5" t="s">
        <v>329</v>
      </c>
      <c r="C12" s="23">
        <f>C5-C6</f>
        <v>45000</v>
      </c>
      <c r="D12" s="4" t="str">
        <f t="shared" ca="1" si="0"/>
        <v>=C5-C6</v>
      </c>
    </row>
    <row r="13" spans="1:17" x14ac:dyDescent="0.25">
      <c r="B13" s="5" t="s">
        <v>281</v>
      </c>
      <c r="C13" s="20">
        <f>C8/C10</f>
        <v>4.3749999999999995E-3</v>
      </c>
      <c r="D13" s="4" t="str">
        <f t="shared" ca="1" si="0"/>
        <v>=C8/C10</v>
      </c>
    </row>
    <row r="14" spans="1:17" x14ac:dyDescent="0.25">
      <c r="B14" s="5" t="s">
        <v>282</v>
      </c>
      <c r="C14" s="20">
        <f>C10*C9</f>
        <v>36</v>
      </c>
      <c r="D14" s="4" t="str">
        <f t="shared" ca="1" si="0"/>
        <v>=C10*C9</v>
      </c>
    </row>
    <row r="15" spans="1:17" ht="15" customHeight="1" x14ac:dyDescent="0.25">
      <c r="B15" s="5" t="s">
        <v>333</v>
      </c>
      <c r="C15" s="23">
        <f>PMT(C13,C14,C12,-C7)</f>
        <v>-1225.2058205856481</v>
      </c>
      <c r="D15" s="4" t="str">
        <f ca="1">_xlfn.IFNA(_xlfn.FORMULATEXT(C15),"")</f>
        <v>=PMT(C13,C14,C12,-C7)</v>
      </c>
    </row>
    <row r="17" spans="2:4" ht="18.75" x14ac:dyDescent="0.3">
      <c r="B17" s="77" t="s">
        <v>332</v>
      </c>
      <c r="C17" s="78"/>
      <c r="D17" s="79"/>
    </row>
    <row r="23" spans="2:4" ht="4.5" customHeight="1" x14ac:dyDescent="0.25"/>
    <row r="24" spans="2:4" x14ac:dyDescent="0.25">
      <c r="B24" s="4" t="s">
        <v>302</v>
      </c>
      <c r="C24" s="31">
        <f>C12/((1-(1+C13)^-C14)/C13)-C7/(((1+C13)^C14-1)/C13)</f>
        <v>1225.2058205856238</v>
      </c>
      <c r="D24" s="4" t="str">
        <f ca="1">_xlfn.IFNA(_xlfn.FORMULATEXT(C24),"")</f>
        <v>=C12/((1-(1+C13)^-C14)/C13)-C7/(((1+C13)^C14-1)/C13)</v>
      </c>
    </row>
  </sheetData>
  <mergeCells count="1">
    <mergeCell ref="B17:D17"/>
  </mergeCell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F7480-0B59-4442-AA0A-FEFE9DD4C9DD}">
  <sheetPr>
    <tabColor rgb="FF0000FF"/>
  </sheetPr>
  <dimension ref="A1:Q21"/>
  <sheetViews>
    <sheetView showGridLines="0" zoomScale="145" zoomScaleNormal="145" workbookViewId="0"/>
  </sheetViews>
  <sheetFormatPr defaultColWidth="8.85546875" defaultRowHeight="15" x14ac:dyDescent="0.25"/>
  <cols>
    <col min="1" max="1" width="4.85546875" bestFit="1" customWidth="1"/>
    <col min="2" max="2" width="40.140625" customWidth="1"/>
    <col min="3" max="3" width="15.140625" customWidth="1"/>
    <col min="4" max="4" width="32.85546875" customWidth="1"/>
    <col min="5" max="5" width="17.28515625" bestFit="1" customWidth="1"/>
    <col min="6" max="6" width="13.140625" customWidth="1"/>
    <col min="7" max="7" width="3" customWidth="1"/>
  </cols>
  <sheetData>
    <row r="1" spans="1:17" ht="4.5" customHeight="1" x14ac:dyDescent="0.25"/>
    <row r="2" spans="1:17" x14ac:dyDescent="0.25">
      <c r="A2" s="1" t="s">
        <v>349</v>
      </c>
      <c r="B2" s="16" t="s">
        <v>335</v>
      </c>
      <c r="C2" s="17"/>
      <c r="D2" s="18"/>
    </row>
    <row r="3" spans="1:17" ht="4.5" customHeight="1" x14ac:dyDescent="0.25"/>
    <row r="4" spans="1:17" x14ac:dyDescent="0.25">
      <c r="B4" s="15" t="s">
        <v>280</v>
      </c>
      <c r="C4" s="15" t="s">
        <v>283</v>
      </c>
      <c r="D4" s="15" t="s">
        <v>279</v>
      </c>
      <c r="P4" t="s">
        <v>284</v>
      </c>
      <c r="Q4">
        <v>365</v>
      </c>
    </row>
    <row r="5" spans="1:17" x14ac:dyDescent="0.25">
      <c r="B5" s="5" t="s">
        <v>337</v>
      </c>
      <c r="C5" s="22">
        <v>7500</v>
      </c>
      <c r="D5" s="4" t="str">
        <f t="shared" ref="D5:D11" ca="1" si="0">_xlfn.IFNA(_xlfn.FORMULATEXT(C5),"")</f>
        <v/>
      </c>
      <c r="P5" t="s">
        <v>285</v>
      </c>
      <c r="Q5">
        <v>12</v>
      </c>
    </row>
    <row r="6" spans="1:17" x14ac:dyDescent="0.25">
      <c r="B6" s="5" t="s">
        <v>277</v>
      </c>
      <c r="C6" s="21">
        <v>0.18</v>
      </c>
      <c r="D6" s="4" t="str">
        <f t="shared" ca="1" si="0"/>
        <v/>
      </c>
      <c r="P6" t="s">
        <v>286</v>
      </c>
      <c r="Q6">
        <v>4</v>
      </c>
    </row>
    <row r="7" spans="1:17" x14ac:dyDescent="0.25">
      <c r="B7" s="5" t="s">
        <v>270</v>
      </c>
      <c r="C7" s="19">
        <v>12</v>
      </c>
      <c r="D7" s="4" t="str">
        <f t="shared" ca="1" si="0"/>
        <v/>
      </c>
    </row>
    <row r="8" spans="1:17" x14ac:dyDescent="0.25">
      <c r="B8" s="5" t="s">
        <v>336</v>
      </c>
      <c r="C8" s="19">
        <v>125</v>
      </c>
      <c r="D8" s="4"/>
    </row>
    <row r="9" spans="1:17" x14ac:dyDescent="0.25">
      <c r="B9" s="5" t="s">
        <v>314</v>
      </c>
      <c r="C9" s="19"/>
      <c r="D9" s="4" t="str">
        <f t="shared" ca="1" si="0"/>
        <v/>
      </c>
    </row>
    <row r="10" spans="1:17" x14ac:dyDescent="0.25">
      <c r="B10" s="5" t="s">
        <v>281</v>
      </c>
      <c r="C10" s="20"/>
      <c r="D10" s="4" t="str">
        <f t="shared" ca="1" si="0"/>
        <v/>
      </c>
    </row>
    <row r="11" spans="1:17" x14ac:dyDescent="0.25">
      <c r="B11" s="5" t="s">
        <v>282</v>
      </c>
      <c r="C11" s="20"/>
      <c r="D11" s="4" t="str">
        <f t="shared" ca="1" si="0"/>
        <v/>
      </c>
    </row>
    <row r="12" spans="1:17" ht="15" customHeight="1" x14ac:dyDescent="0.25">
      <c r="B12" s="5" t="s">
        <v>278</v>
      </c>
      <c r="C12" s="20"/>
      <c r="D12" s="4" t="str">
        <f ca="1">_xlfn.IFNA(_xlfn.FORMULATEXT(C12),"")</f>
        <v/>
      </c>
    </row>
    <row r="14" spans="1:17" ht="18.75" x14ac:dyDescent="0.3">
      <c r="B14" s="77" t="s">
        <v>340</v>
      </c>
      <c r="C14" s="78"/>
      <c r="D14" s="79"/>
    </row>
    <row r="21" ht="6.75" customHeight="1" x14ac:dyDescent="0.25"/>
  </sheetData>
  <mergeCells count="1">
    <mergeCell ref="B14:D14"/>
  </mergeCell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2492A-E3E6-48F7-AA36-4028BB39905A}">
  <sheetPr>
    <tabColor rgb="FFFF0000"/>
  </sheetPr>
  <dimension ref="A1:Q39"/>
  <sheetViews>
    <sheetView showGridLines="0" zoomScale="160" zoomScaleNormal="160" workbookViewId="0"/>
  </sheetViews>
  <sheetFormatPr defaultColWidth="8.85546875" defaultRowHeight="15" x14ac:dyDescent="0.25"/>
  <cols>
    <col min="1" max="1" width="4.85546875" bestFit="1" customWidth="1"/>
    <col min="2" max="2" width="40.140625" customWidth="1"/>
    <col min="3" max="3" width="15.140625" customWidth="1"/>
    <col min="4" max="4" width="32.85546875" customWidth="1"/>
    <col min="5" max="5" width="17.28515625" bestFit="1" customWidth="1"/>
    <col min="6" max="6" width="13.140625" customWidth="1"/>
    <col min="7" max="7" width="3" customWidth="1"/>
  </cols>
  <sheetData>
    <row r="1" spans="1:17" ht="4.5" customHeight="1" x14ac:dyDescent="0.25"/>
    <row r="2" spans="1:17" x14ac:dyDescent="0.25">
      <c r="A2" s="1" t="s">
        <v>349</v>
      </c>
      <c r="B2" s="16" t="s">
        <v>335</v>
      </c>
      <c r="C2" s="17"/>
      <c r="D2" s="18"/>
    </row>
    <row r="3" spans="1:17" ht="4.5" customHeight="1" x14ac:dyDescent="0.25"/>
    <row r="4" spans="1:17" x14ac:dyDescent="0.25">
      <c r="B4" s="15" t="s">
        <v>280</v>
      </c>
      <c r="C4" s="15" t="s">
        <v>283</v>
      </c>
      <c r="D4" s="15" t="s">
        <v>279</v>
      </c>
      <c r="P4" t="s">
        <v>284</v>
      </c>
      <c r="Q4">
        <v>365</v>
      </c>
    </row>
    <row r="5" spans="1:17" x14ac:dyDescent="0.25">
      <c r="B5" s="5" t="s">
        <v>337</v>
      </c>
      <c r="C5" s="22">
        <v>7500</v>
      </c>
      <c r="D5" s="4" t="str">
        <f t="shared" ref="D5:D11" ca="1" si="0">_xlfn.IFNA(_xlfn.FORMULATEXT(C5),"")</f>
        <v/>
      </c>
      <c r="P5" t="s">
        <v>285</v>
      </c>
      <c r="Q5">
        <v>12</v>
      </c>
    </row>
    <row r="6" spans="1:17" x14ac:dyDescent="0.25">
      <c r="B6" s="5" t="s">
        <v>277</v>
      </c>
      <c r="C6" s="21">
        <v>0.18</v>
      </c>
      <c r="D6" s="4" t="str">
        <f t="shared" ca="1" si="0"/>
        <v/>
      </c>
      <c r="P6" t="s">
        <v>286</v>
      </c>
      <c r="Q6">
        <v>4</v>
      </c>
    </row>
    <row r="7" spans="1:17" x14ac:dyDescent="0.25">
      <c r="B7" s="5" t="s">
        <v>270</v>
      </c>
      <c r="C7" s="19">
        <v>12</v>
      </c>
      <c r="D7" s="4" t="str">
        <f t="shared" ca="1" si="0"/>
        <v/>
      </c>
    </row>
    <row r="8" spans="1:17" x14ac:dyDescent="0.25">
      <c r="B8" s="5" t="s">
        <v>336</v>
      </c>
      <c r="C8" s="19">
        <v>125</v>
      </c>
      <c r="D8" s="4"/>
    </row>
    <row r="9" spans="1:17" x14ac:dyDescent="0.25">
      <c r="B9" s="5" t="s">
        <v>314</v>
      </c>
      <c r="C9" s="19"/>
      <c r="D9" s="4" t="str">
        <f t="shared" ca="1" si="0"/>
        <v/>
      </c>
    </row>
    <row r="10" spans="1:17" x14ac:dyDescent="0.25">
      <c r="B10" s="5" t="s">
        <v>281</v>
      </c>
      <c r="C10" s="20">
        <f>C6/C7</f>
        <v>1.4999999999999999E-2</v>
      </c>
      <c r="D10" s="4" t="str">
        <f t="shared" ca="1" si="0"/>
        <v>=C6/C7</v>
      </c>
    </row>
    <row r="11" spans="1:17" x14ac:dyDescent="0.25">
      <c r="B11" s="5" t="s">
        <v>282</v>
      </c>
      <c r="C11" s="20">
        <f>NPER(C10,-C8,C5)</f>
        <v>154.65410856522377</v>
      </c>
      <c r="D11" s="4" t="str">
        <f t="shared" ca="1" si="0"/>
        <v>=NPER(C10,-C8,C5)</v>
      </c>
    </row>
    <row r="12" spans="1:17" ht="15" customHeight="1" x14ac:dyDescent="0.25">
      <c r="B12" s="5" t="s">
        <v>278</v>
      </c>
      <c r="C12" s="20">
        <f>C11/C7</f>
        <v>12.887842380435314</v>
      </c>
      <c r="D12" s="4" t="str">
        <f ca="1">_xlfn.IFNA(_xlfn.FORMULATEXT(C12),"")</f>
        <v>=C11/C7</v>
      </c>
    </row>
    <row r="14" spans="1:17" ht="18.75" x14ac:dyDescent="0.3">
      <c r="B14" s="77" t="s">
        <v>340</v>
      </c>
      <c r="C14" s="78"/>
      <c r="D14" s="79"/>
    </row>
    <row r="21" spans="2:4" ht="6.75" customHeight="1" x14ac:dyDescent="0.25"/>
    <row r="23" spans="2:4" x14ac:dyDescent="0.25">
      <c r="B23" s="4" t="s">
        <v>371</v>
      </c>
      <c r="C23" s="20">
        <f>LOG(-(1/(C5/C8*C10-1)),1+C10)</f>
        <v>154.65410856522371</v>
      </c>
      <c r="D23" s="4" t="str">
        <f ca="1">_xlfn.IFNA(_xlfn.FORMULATEXT(C23),"")</f>
        <v>=LOG(-(1/(C5/C8*C10-1)),1+C10)</v>
      </c>
    </row>
    <row r="25" spans="2:4" x14ac:dyDescent="0.25">
      <c r="C25" t="s">
        <v>338</v>
      </c>
      <c r="D25" t="s">
        <v>339</v>
      </c>
    </row>
    <row r="27" spans="2:4" x14ac:dyDescent="0.25">
      <c r="B27" s="4"/>
      <c r="C27" s="20">
        <f>LN(-(1/(C5/C8*C10-1)))/LN(1+C10)</f>
        <v>154.65410856522371</v>
      </c>
      <c r="D27" s="4" t="str">
        <f ca="1">_xlfn.IFNA(_xlfn.FORMULATEXT(C27),"")</f>
        <v>=LN(-(1/(C5/C8*C10-1)))/LN(1+C10)</v>
      </c>
    </row>
    <row r="28" spans="2:4" x14ac:dyDescent="0.25">
      <c r="B28" s="4"/>
      <c r="C28" s="20">
        <f>LN((1-C5*C10/C8)^-1)/LN(1+C10)</f>
        <v>154.65410856522377</v>
      </c>
      <c r="D28" s="4" t="str">
        <f ca="1">_xlfn.IFNA(_xlfn.FORMULATEXT(C28),"")</f>
        <v>=LN((1-C5*C10/C8)^-1)/LN(1+C10)</v>
      </c>
    </row>
    <row r="34" spans="2:5" x14ac:dyDescent="0.25">
      <c r="B34" t="s">
        <v>377</v>
      </c>
      <c r="C34">
        <v>0.1</v>
      </c>
    </row>
    <row r="35" spans="2:5" x14ac:dyDescent="0.25">
      <c r="B35">
        <v>1</v>
      </c>
      <c r="C35">
        <v>125</v>
      </c>
    </row>
    <row r="36" spans="2:5" x14ac:dyDescent="0.25">
      <c r="B36">
        <v>2</v>
      </c>
      <c r="C36">
        <v>125</v>
      </c>
    </row>
    <row r="37" spans="2:5" x14ac:dyDescent="0.25">
      <c r="B37">
        <v>3</v>
      </c>
      <c r="C37">
        <v>125</v>
      </c>
    </row>
    <row r="38" spans="2:5" x14ac:dyDescent="0.25">
      <c r="B38" t="s">
        <v>378</v>
      </c>
      <c r="C38" s="55">
        <f>FV(C34,B37,-C35)</f>
        <v>413.75000000000051</v>
      </c>
      <c r="D38" s="55"/>
      <c r="E38" s="55"/>
    </row>
    <row r="39" spans="2:5" x14ac:dyDescent="0.25">
      <c r="B39" t="s">
        <v>212</v>
      </c>
      <c r="C39">
        <f>NPER(C34,-C35,,C38)</f>
        <v>3.0000000000000004</v>
      </c>
    </row>
  </sheetData>
  <mergeCells count="1">
    <mergeCell ref="B14:D14"/>
  </mergeCells>
  <pageMargins left="0.7" right="0.7" top="0.75" bottom="0.75" header="0.3" footer="0.3"/>
  <pageSetup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600F5-E068-4C5A-9F4F-25A7960AC8CF}">
  <sheetPr>
    <tabColor rgb="FF0000FF"/>
  </sheetPr>
  <dimension ref="A1:AA19"/>
  <sheetViews>
    <sheetView showGridLines="0" zoomScale="115" zoomScaleNormal="115" workbookViewId="0"/>
  </sheetViews>
  <sheetFormatPr defaultColWidth="9.140625" defaultRowHeight="15" x14ac:dyDescent="0.25"/>
  <cols>
    <col min="1" max="1" width="6.42578125" style="38" customWidth="1"/>
    <col min="2" max="2" width="43.42578125" style="38" customWidth="1"/>
    <col min="3" max="3" width="15.140625" style="38" customWidth="1"/>
    <col min="4" max="4" width="32.85546875" style="38" customWidth="1"/>
    <col min="5" max="5" width="17.28515625" style="38" bestFit="1" customWidth="1"/>
    <col min="6" max="15" width="17.28515625" style="38" customWidth="1"/>
    <col min="16" max="16" width="43.7109375" style="38" customWidth="1"/>
    <col min="17" max="17" width="13.42578125" style="38" bestFit="1" customWidth="1"/>
    <col min="18" max="18" width="20.85546875" style="38" customWidth="1"/>
    <col min="19" max="16384" width="9.140625" style="38"/>
  </cols>
  <sheetData>
    <row r="1" spans="1:27" ht="4.5" customHeight="1" x14ac:dyDescent="0.25"/>
    <row r="2" spans="1:27" x14ac:dyDescent="0.25">
      <c r="A2" s="1" t="s">
        <v>350</v>
      </c>
      <c r="B2" s="40" t="s">
        <v>352</v>
      </c>
      <c r="C2" s="41"/>
      <c r="D2" s="42"/>
    </row>
    <row r="3" spans="1:27" ht="4.5" customHeight="1" x14ac:dyDescent="0.25"/>
    <row r="4" spans="1:27" x14ac:dyDescent="0.25">
      <c r="B4" s="15" t="s">
        <v>280</v>
      </c>
      <c r="C4" s="15" t="s">
        <v>283</v>
      </c>
      <c r="D4" s="15" t="s">
        <v>279</v>
      </c>
      <c r="Z4" s="38" t="s">
        <v>284</v>
      </c>
      <c r="AA4" s="38">
        <v>365</v>
      </c>
    </row>
    <row r="5" spans="1:27" x14ac:dyDescent="0.25">
      <c r="B5" s="35" t="s">
        <v>321</v>
      </c>
      <c r="C5" s="43">
        <v>200000</v>
      </c>
      <c r="D5" s="37"/>
      <c r="Z5" s="38" t="s">
        <v>285</v>
      </c>
      <c r="AA5" s="38">
        <v>12</v>
      </c>
    </row>
    <row r="6" spans="1:27" x14ac:dyDescent="0.25">
      <c r="B6" s="35" t="s">
        <v>277</v>
      </c>
      <c r="C6" s="37">
        <v>0.05</v>
      </c>
      <c r="D6" s="37"/>
      <c r="Z6" s="38" t="s">
        <v>286</v>
      </c>
      <c r="AA6" s="38">
        <v>4</v>
      </c>
    </row>
    <row r="7" spans="1:27" x14ac:dyDescent="0.25">
      <c r="B7" s="35" t="s">
        <v>322</v>
      </c>
      <c r="C7" s="37">
        <v>30</v>
      </c>
      <c r="D7" s="37"/>
      <c r="P7" s="38" t="str">
        <f>"Bank takes a total fee of $"&amp;FIXED('Ch21(12an)'!C5,0)&amp;" * "&amp;TEXT('Ch21(12an)'!C9,"0.00%")&amp;" + $"&amp;FIXED('Ch21(12an)'!C10,0)&amp;" = $"&amp;FIXED('Ch21(12an)'!C5*'Ch21(12an)'!C9+'Ch21(12an)'!C10,0)</f>
        <v>Bank takes a total fee of $200,000 * 1.00% + $750 = $2,750</v>
      </c>
    </row>
    <row r="8" spans="1:27" x14ac:dyDescent="0.25">
      <c r="B8" s="35" t="s">
        <v>323</v>
      </c>
      <c r="C8" s="37">
        <v>12</v>
      </c>
      <c r="D8" s="37"/>
      <c r="P8" s="38" t="str">
        <f>"Borrower must pay back full $"&amp;FIXED('Ch21(12an)'!C5,0)&amp;", but only receives $"&amp;FIXED('Ch21(12an)'!C12,0)</f>
        <v>Borrower must pay back full $200,000, but only receives $197,250</v>
      </c>
    </row>
    <row r="9" spans="1:27" ht="30" x14ac:dyDescent="0.25">
      <c r="B9" s="35" t="s">
        <v>344</v>
      </c>
      <c r="C9" s="37">
        <v>0.01</v>
      </c>
      <c r="D9" s="37"/>
      <c r="P9" s="38" t="str">
        <f>"RATE function uses the $"&amp;FIXED('Ch21(12an)'!C12,0)&amp;" as the present value amount"</f>
        <v>RATE function uses the $197,250 as the present value amount</v>
      </c>
    </row>
    <row r="10" spans="1:27" x14ac:dyDescent="0.25">
      <c r="B10" s="35" t="s">
        <v>346</v>
      </c>
      <c r="C10" s="43">
        <v>750</v>
      </c>
      <c r="D10" s="37"/>
      <c r="P10" s="38" t="str">
        <f>"Present value is positive because money is coming into wallet / purse. The bank gives the lender the money. Borrower must pay back full "&amp;FIXED('Ch21(12an)'!C5,0)&amp;", but only receives $"&amp;FIXED('Ch21(12an)'!C12,0)&amp;", so for the adjusted rate you must use the actual cash that was received: $"&amp;FIXED('Ch21(12an)'!C12,0)&amp;"."</f>
        <v>Present value is positive because money is coming into wallet / purse. The bank gives the lender the money. Borrower must pay back full 200,000, but only receives $197,250, so for the adjusted rate you must use the actual cash that was received: $197,250.</v>
      </c>
    </row>
    <row r="11" spans="1:27" x14ac:dyDescent="0.25">
      <c r="B11" s="47" t="s">
        <v>345</v>
      </c>
      <c r="C11" s="44"/>
      <c r="D11" s="37" t="str">
        <f t="shared" ref="D11:D17" ca="1" si="0">_xlfn.IFNA(_xlfn.FORMULATEXT(C11),"")</f>
        <v/>
      </c>
    </row>
    <row r="12" spans="1:27" ht="15" customHeight="1" x14ac:dyDescent="0.25">
      <c r="B12" s="47" t="s">
        <v>348</v>
      </c>
      <c r="C12" s="45"/>
      <c r="D12" s="37" t="str">
        <f t="shared" ca="1" si="0"/>
        <v/>
      </c>
    </row>
    <row r="13" spans="1:27" x14ac:dyDescent="0.25">
      <c r="A13"/>
      <c r="B13" s="35" t="s">
        <v>281</v>
      </c>
      <c r="C13" s="39"/>
      <c r="D13" s="37" t="str">
        <f t="shared" ca="1" si="0"/>
        <v/>
      </c>
      <c r="E13"/>
      <c r="F13"/>
      <c r="G13"/>
      <c r="H13"/>
      <c r="I13"/>
      <c r="J13"/>
      <c r="K13"/>
      <c r="L13"/>
      <c r="M13"/>
      <c r="N13"/>
      <c r="O13"/>
    </row>
    <row r="14" spans="1:27" x14ac:dyDescent="0.25">
      <c r="A14"/>
      <c r="B14" s="35" t="s">
        <v>282</v>
      </c>
      <c r="C14" s="39"/>
      <c r="D14" s="37" t="str">
        <f t="shared" ca="1" si="0"/>
        <v/>
      </c>
      <c r="E14"/>
      <c r="F14"/>
      <c r="G14"/>
      <c r="H14"/>
      <c r="I14"/>
      <c r="J14"/>
      <c r="K14"/>
      <c r="L14"/>
      <c r="M14"/>
      <c r="N14"/>
      <c r="O14"/>
    </row>
    <row r="15" spans="1:27" ht="45" x14ac:dyDescent="0.25">
      <c r="A15"/>
      <c r="B15" s="35" t="s">
        <v>347</v>
      </c>
      <c r="C15" s="44"/>
      <c r="D15" s="37" t="str">
        <f t="shared" ca="1" si="0"/>
        <v/>
      </c>
      <c r="E15"/>
      <c r="F15"/>
      <c r="G15"/>
      <c r="H15"/>
      <c r="I15"/>
      <c r="J15"/>
      <c r="K15"/>
      <c r="L15"/>
      <c r="M15"/>
      <c r="N15"/>
      <c r="O15"/>
    </row>
    <row r="16" spans="1:27" x14ac:dyDescent="0.25">
      <c r="A16"/>
      <c r="B16" s="35" t="s">
        <v>343</v>
      </c>
      <c r="C16" s="46"/>
      <c r="D16" s="37" t="str">
        <f t="shared" ca="1" si="0"/>
        <v/>
      </c>
      <c r="E16"/>
      <c r="F16"/>
      <c r="G16"/>
      <c r="H16"/>
      <c r="I16"/>
      <c r="J16"/>
      <c r="K16"/>
      <c r="L16"/>
      <c r="M16"/>
      <c r="N16"/>
      <c r="O16"/>
    </row>
    <row r="17" spans="1:16" x14ac:dyDescent="0.25">
      <c r="A17"/>
      <c r="B17" s="35" t="s">
        <v>342</v>
      </c>
      <c r="C17" s="39"/>
      <c r="D17" s="37" t="str">
        <f t="shared" ca="1" si="0"/>
        <v/>
      </c>
      <c r="E17"/>
      <c r="F17"/>
      <c r="G17"/>
      <c r="H17"/>
      <c r="I17"/>
      <c r="J17"/>
      <c r="K17"/>
      <c r="L17"/>
      <c r="M17"/>
      <c r="N17"/>
      <c r="O17"/>
      <c r="P17" s="38">
        <f>'Ch21(12an)'!C15</f>
        <v>-1073.6432460242781</v>
      </c>
    </row>
    <row r="19" spans="1:16" x14ac:dyDescent="0.25">
      <c r="B19" s="80" t="s">
        <v>341</v>
      </c>
      <c r="C19" s="81"/>
      <c r="D19" s="82"/>
    </row>
  </sheetData>
  <mergeCells count="1">
    <mergeCell ref="B19:D19"/>
  </mergeCells>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BCEB4-4199-450B-A2A2-E1177CBEB785}">
  <sheetPr>
    <tabColor rgb="FFFF0000"/>
  </sheetPr>
  <dimension ref="A1:S19"/>
  <sheetViews>
    <sheetView showGridLines="0" zoomScale="130" zoomScaleNormal="130" workbookViewId="0"/>
  </sheetViews>
  <sheetFormatPr defaultColWidth="9.140625" defaultRowHeight="15" x14ac:dyDescent="0.25"/>
  <cols>
    <col min="1" max="1" width="6.140625" style="38" customWidth="1"/>
    <col min="2" max="2" width="43.42578125" style="38" customWidth="1"/>
    <col min="3" max="3" width="15.140625" style="38" customWidth="1"/>
    <col min="4" max="4" width="32.85546875" style="38" customWidth="1"/>
    <col min="5" max="5" width="17.28515625" style="38" bestFit="1" customWidth="1"/>
    <col min="6" max="7" width="17.28515625" style="38" customWidth="1"/>
    <col min="8" max="8" width="43.7109375" style="38" customWidth="1"/>
    <col min="9" max="9" width="13.42578125" style="38" bestFit="1" customWidth="1"/>
    <col min="10" max="10" width="20.85546875" style="38" customWidth="1"/>
    <col min="11" max="16384" width="9.140625" style="38"/>
  </cols>
  <sheetData>
    <row r="1" spans="1:19" ht="4.5" customHeight="1" x14ac:dyDescent="0.25"/>
    <row r="2" spans="1:19" x14ac:dyDescent="0.25">
      <c r="A2" s="1" t="s">
        <v>350</v>
      </c>
      <c r="B2" s="40" t="s">
        <v>352</v>
      </c>
      <c r="C2" s="41"/>
      <c r="D2" s="42"/>
    </row>
    <row r="3" spans="1:19" ht="4.5" customHeight="1" x14ac:dyDescent="0.25"/>
    <row r="4" spans="1:19" x14ac:dyDescent="0.25">
      <c r="B4" s="15" t="s">
        <v>280</v>
      </c>
      <c r="C4" s="15" t="s">
        <v>283</v>
      </c>
      <c r="D4" s="15" t="s">
        <v>279</v>
      </c>
      <c r="R4" s="38" t="s">
        <v>284</v>
      </c>
      <c r="S4" s="38">
        <v>365</v>
      </c>
    </row>
    <row r="5" spans="1:19" x14ac:dyDescent="0.25">
      <c r="B5" s="35" t="s">
        <v>321</v>
      </c>
      <c r="C5" s="43">
        <v>200000</v>
      </c>
      <c r="D5" s="37"/>
      <c r="R5" s="38" t="s">
        <v>285</v>
      </c>
      <c r="S5" s="38">
        <v>12</v>
      </c>
    </row>
    <row r="6" spans="1:19" x14ac:dyDescent="0.25">
      <c r="B6" s="35" t="s">
        <v>277</v>
      </c>
      <c r="C6" s="37">
        <v>0.05</v>
      </c>
      <c r="D6" s="37"/>
      <c r="R6" s="38" t="s">
        <v>286</v>
      </c>
      <c r="S6" s="38">
        <v>4</v>
      </c>
    </row>
    <row r="7" spans="1:19" x14ac:dyDescent="0.25">
      <c r="B7" s="35" t="s">
        <v>322</v>
      </c>
      <c r="C7" s="37">
        <v>30</v>
      </c>
      <c r="D7" s="37"/>
      <c r="H7" s="38" t="str">
        <f>"Bank takes a total fee of $"&amp;FIXED(C5,0)&amp;" * "&amp;TEXT(C9,"0.00%")&amp;" + $"&amp;FIXED(C10,0)&amp;" = $"&amp;FIXED(C5*C9+C10,0)</f>
        <v>Bank takes a total fee of $200,000 * 1.00% + $750 = $2,750</v>
      </c>
    </row>
    <row r="8" spans="1:19" x14ac:dyDescent="0.25">
      <c r="B8" s="35" t="s">
        <v>323</v>
      </c>
      <c r="C8" s="37">
        <v>12</v>
      </c>
      <c r="D8" s="37"/>
      <c r="H8" s="38" t="str">
        <f>"Borrower must pay back full $"&amp;FIXED(C5,0)&amp;", but only receives $"&amp;FIXED(C12,0)</f>
        <v>Borrower must pay back full $200,000, but only receives $197,250</v>
      </c>
    </row>
    <row r="9" spans="1:19" ht="30" x14ac:dyDescent="0.25">
      <c r="B9" s="35" t="s">
        <v>344</v>
      </c>
      <c r="C9" s="37">
        <v>0.01</v>
      </c>
      <c r="D9" s="37"/>
      <c r="H9" s="38" t="str">
        <f>"RATE function uses the $"&amp;FIXED(C12,0)&amp;" as the present value amount"</f>
        <v>RATE function uses the $197,250 as the present value amount</v>
      </c>
    </row>
    <row r="10" spans="1:19" x14ac:dyDescent="0.25">
      <c r="B10" s="35" t="s">
        <v>346</v>
      </c>
      <c r="C10" s="43">
        <v>750</v>
      </c>
      <c r="D10" s="37"/>
      <c r="H10" s="38" t="str">
        <f>"Present value is positive because money is coming into wallet / purse. The bank gives the lender the money. Borrower must pay back full "&amp;FIXED(C5,0)&amp;", but only receives $"&amp;FIXED(C12,0)&amp;", so for the adjusted rate you must use the actual cash that was received: $"&amp;FIXED(C12,0)&amp;"."</f>
        <v>Present value is positive because money is coming into wallet / purse. The bank gives the lender the money. Borrower must pay back full 200,000, but only receives $197,250, so for the adjusted rate you must use the actual cash that was received: $197,250.</v>
      </c>
    </row>
    <row r="11" spans="1:19" x14ac:dyDescent="0.25">
      <c r="B11" s="47" t="s">
        <v>345</v>
      </c>
      <c r="C11" s="44">
        <f>C5*C9+C10</f>
        <v>2750</v>
      </c>
      <c r="D11" s="37" t="str">
        <f t="shared" ref="D11:D17" ca="1" si="0">_xlfn.IFNA(_xlfn.FORMULATEXT(C11),"")</f>
        <v>=C5*C9+C10</v>
      </c>
    </row>
    <row r="12" spans="1:19" ht="15" customHeight="1" x14ac:dyDescent="0.25">
      <c r="B12" s="47" t="s">
        <v>348</v>
      </c>
      <c r="C12" s="45">
        <f>C5-C11</f>
        <v>197250</v>
      </c>
      <c r="D12" s="37" t="str">
        <f t="shared" ca="1" si="0"/>
        <v>=C5-C11</v>
      </c>
    </row>
    <row r="13" spans="1:19" x14ac:dyDescent="0.25">
      <c r="A13"/>
      <c r="B13" s="35" t="s">
        <v>281</v>
      </c>
      <c r="C13" s="39">
        <f>C6/C8</f>
        <v>4.1666666666666666E-3</v>
      </c>
      <c r="D13" s="37" t="str">
        <f t="shared" ca="1" si="0"/>
        <v>=C6/C8</v>
      </c>
      <c r="E13"/>
      <c r="F13"/>
      <c r="G13"/>
    </row>
    <row r="14" spans="1:19" x14ac:dyDescent="0.25">
      <c r="A14"/>
      <c r="B14" s="35" t="s">
        <v>282</v>
      </c>
      <c r="C14" s="39">
        <f>C7*C8</f>
        <v>360</v>
      </c>
      <c r="D14" s="37" t="str">
        <f t="shared" ca="1" si="0"/>
        <v>=C7*C8</v>
      </c>
      <c r="E14"/>
      <c r="F14"/>
      <c r="G14"/>
    </row>
    <row r="15" spans="1:19" ht="45" x14ac:dyDescent="0.25">
      <c r="A15"/>
      <c r="B15" s="35" t="s">
        <v>347</v>
      </c>
      <c r="C15" s="44">
        <f>PMT(C13,C14,C5)</f>
        <v>-1073.6432460242781</v>
      </c>
      <c r="D15" s="37" t="str">
        <f t="shared" ca="1" si="0"/>
        <v>=PMT(C13,C14,C5)</v>
      </c>
      <c r="E15"/>
      <c r="F15"/>
      <c r="G15"/>
    </row>
    <row r="16" spans="1:19" x14ac:dyDescent="0.25">
      <c r="A16"/>
      <c r="B16" s="35" t="s">
        <v>343</v>
      </c>
      <c r="C16" s="46">
        <f>RATE(C14,C15,C12)</f>
        <v>4.2683797768953086E-3</v>
      </c>
      <c r="D16" s="37" t="str">
        <f t="shared" ca="1" si="0"/>
        <v>=RATE(C14,C15,C12)</v>
      </c>
      <c r="E16"/>
      <c r="F16"/>
      <c r="G16"/>
    </row>
    <row r="17" spans="1:7" x14ac:dyDescent="0.25">
      <c r="A17"/>
      <c r="B17" s="35" t="s">
        <v>342</v>
      </c>
      <c r="C17" s="39">
        <f>C16*C8</f>
        <v>5.1220557322743707E-2</v>
      </c>
      <c r="D17" s="37" t="str">
        <f t="shared" ca="1" si="0"/>
        <v>=C16*C8</v>
      </c>
      <c r="E17"/>
      <c r="F17"/>
      <c r="G17"/>
    </row>
    <row r="19" spans="1:7" x14ac:dyDescent="0.25">
      <c r="B19" s="80" t="s">
        <v>341</v>
      </c>
      <c r="C19" s="81"/>
      <c r="D19" s="82"/>
    </row>
  </sheetData>
  <mergeCells count="1">
    <mergeCell ref="B19:D19"/>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81356-2D8F-4F6A-8021-BB0EE4CFDB6E}">
  <sheetPr>
    <tabColor rgb="FF0000FF"/>
  </sheetPr>
  <dimension ref="A1:H19"/>
  <sheetViews>
    <sheetView showGridLines="0" zoomScale="145" zoomScaleNormal="145" workbookViewId="0"/>
  </sheetViews>
  <sheetFormatPr defaultColWidth="8.85546875" defaultRowHeight="15" x14ac:dyDescent="0.25"/>
  <cols>
    <col min="1" max="1" width="6" bestFit="1" customWidth="1"/>
    <col min="2" max="2" width="36" customWidth="1"/>
    <col min="3" max="3" width="19.42578125" customWidth="1"/>
    <col min="4" max="4" width="21" customWidth="1"/>
    <col min="5" max="6" width="10.28515625" customWidth="1"/>
    <col min="7" max="7" width="16.42578125" customWidth="1"/>
    <col min="8" max="8" width="30.7109375" customWidth="1"/>
  </cols>
  <sheetData>
    <row r="1" spans="1:8" ht="6" customHeight="1" x14ac:dyDescent="0.25"/>
    <row r="2" spans="1:8" x14ac:dyDescent="0.25">
      <c r="A2" s="1" t="s">
        <v>353</v>
      </c>
      <c r="B2" s="40" t="s">
        <v>354</v>
      </c>
      <c r="C2" s="41"/>
      <c r="D2" s="42"/>
    </row>
    <row r="3" spans="1:8" ht="6" customHeight="1" x14ac:dyDescent="0.25"/>
    <row r="4" spans="1:8" x14ac:dyDescent="0.25">
      <c r="B4" s="27" t="s">
        <v>280</v>
      </c>
      <c r="C4" s="27" t="s">
        <v>283</v>
      </c>
    </row>
    <row r="5" spans="1:8" x14ac:dyDescent="0.25">
      <c r="B5" s="4" t="s">
        <v>368</v>
      </c>
      <c r="C5" s="4" t="s">
        <v>369</v>
      </c>
      <c r="D5" s="50"/>
      <c r="E5" s="50"/>
    </row>
    <row r="6" spans="1:8" x14ac:dyDescent="0.25">
      <c r="B6" s="4" t="s">
        <v>370</v>
      </c>
      <c r="C6" s="4">
        <v>0.15</v>
      </c>
      <c r="D6" s="50"/>
      <c r="E6" s="50"/>
    </row>
    <row r="7" spans="1:8" x14ac:dyDescent="0.25">
      <c r="B7" s="4" t="s">
        <v>361</v>
      </c>
      <c r="C7" s="4" t="s">
        <v>357</v>
      </c>
      <c r="D7" s="50"/>
      <c r="E7" s="50"/>
    </row>
    <row r="8" spans="1:8" x14ac:dyDescent="0.25">
      <c r="B8" s="4" t="s">
        <v>367</v>
      </c>
      <c r="C8" s="48">
        <v>285000</v>
      </c>
      <c r="D8" s="52"/>
      <c r="E8" s="52"/>
    </row>
    <row r="9" spans="1:8" x14ac:dyDescent="0.25">
      <c r="B9" s="33" t="s">
        <v>362</v>
      </c>
      <c r="C9" s="4"/>
      <c r="D9" s="52"/>
      <c r="E9" s="52"/>
      <c r="G9" s="27" t="s">
        <v>366</v>
      </c>
      <c r="H9" s="27" t="s">
        <v>279</v>
      </c>
    </row>
    <row r="10" spans="1:8" x14ac:dyDescent="0.25">
      <c r="B10" s="4" t="s">
        <v>356</v>
      </c>
      <c r="C10" s="48">
        <v>100000</v>
      </c>
      <c r="D10" s="52"/>
      <c r="E10" s="52"/>
      <c r="G10" s="48">
        <f>PV($C$6,ROWS(G$10:G10),,C10)</f>
        <v>-86956.521739130447</v>
      </c>
      <c r="H10" s="4" t="str">
        <f ca="1">_xlfn.IFNA(_xlfn.FORMULATEXT(G10),"")</f>
        <v>=PV($C$6,ROWS(G$10:G10),,C10)</v>
      </c>
    </row>
    <row r="11" spans="1:8" x14ac:dyDescent="0.25">
      <c r="B11" s="4" t="s">
        <v>358</v>
      </c>
      <c r="C11" s="48">
        <v>90000</v>
      </c>
      <c r="D11" s="52"/>
      <c r="E11" s="52"/>
      <c r="G11" s="48">
        <f>PV($C$6,ROWS(G$10:G11),,C11)</f>
        <v>-68052.930056710786</v>
      </c>
      <c r="H11" s="4" t="str">
        <f t="shared" ref="H11:H15" ca="1" si="0">_xlfn.IFNA(_xlfn.FORMULATEXT(G11),"")</f>
        <v>=PV($C$6,ROWS(G$10:G11),,C11)</v>
      </c>
    </row>
    <row r="12" spans="1:8" x14ac:dyDescent="0.25">
      <c r="B12" s="4" t="s">
        <v>359</v>
      </c>
      <c r="C12" s="48">
        <v>85000</v>
      </c>
      <c r="D12" s="52"/>
      <c r="E12" s="52"/>
      <c r="G12" s="48">
        <f>PV($C$6,ROWS(G$10:G12),,C12)</f>
        <v>-55888.879756719012</v>
      </c>
      <c r="H12" s="4" t="str">
        <f t="shared" ca="1" si="0"/>
        <v>=PV($C$6,ROWS(G$10:G12),,C12)</v>
      </c>
    </row>
    <row r="13" spans="1:8" x14ac:dyDescent="0.25">
      <c r="B13" s="4" t="s">
        <v>363</v>
      </c>
      <c r="C13" s="48">
        <v>75000</v>
      </c>
      <c r="D13" s="52"/>
      <c r="E13" s="52"/>
      <c r="G13" s="48">
        <f>PV($C$6,ROWS(G$10:G13),,C13)</f>
        <v>-42881.493419477505</v>
      </c>
      <c r="H13" s="4" t="str">
        <f t="shared" ca="1" si="0"/>
        <v>=PV($C$6,ROWS(G$10:G13),,C13)</v>
      </c>
    </row>
    <row r="14" spans="1:8" x14ac:dyDescent="0.25">
      <c r="B14" s="4" t="s">
        <v>364</v>
      </c>
      <c r="C14" s="48">
        <v>70000</v>
      </c>
      <c r="D14" s="52"/>
      <c r="E14" s="52"/>
      <c r="G14" s="48">
        <f>PV($C$6,ROWS(G$10:G14),,C14)</f>
        <v>-34802.371470880295</v>
      </c>
      <c r="H14" s="4" t="str">
        <f t="shared" ca="1" si="0"/>
        <v>=PV($C$6,ROWS(G$10:G14),,C14)</v>
      </c>
    </row>
    <row r="15" spans="1:8" x14ac:dyDescent="0.25">
      <c r="B15" s="4" t="s">
        <v>365</v>
      </c>
      <c r="C15" s="49"/>
      <c r="D15" s="51" t="str">
        <f ca="1">_xlfn.IFNA(_xlfn.FORMULATEXT(C15),"")</f>
        <v/>
      </c>
      <c r="E15" s="50"/>
      <c r="G15" s="48">
        <f>SUM(G10:G14)</f>
        <v>-288582.19644291804</v>
      </c>
      <c r="H15" s="4" t="str">
        <f t="shared" ca="1" si="0"/>
        <v>=SUM(G10:G14)</v>
      </c>
    </row>
    <row r="16" spans="1:8" x14ac:dyDescent="0.25">
      <c r="B16" s="4" t="s">
        <v>360</v>
      </c>
      <c r="C16" s="49"/>
      <c r="D16" s="51" t="str">
        <f ca="1">_xlfn.IFNA(_xlfn.FORMULATEXT(C16),"")</f>
        <v/>
      </c>
      <c r="E16" s="50"/>
    </row>
    <row r="17" spans="2:7" x14ac:dyDescent="0.25">
      <c r="G17" t="str">
        <f t="shared" ref="G17:G19" ca="1" si="1">_xlfn.IFNA(_xlfn.FORMULATEXT(F17),"")</f>
        <v/>
      </c>
    </row>
    <row r="18" spans="2:7" ht="18.75" x14ac:dyDescent="0.3">
      <c r="B18" s="77" t="s">
        <v>355</v>
      </c>
      <c r="C18" s="79"/>
    </row>
    <row r="19" spans="2:7" x14ac:dyDescent="0.25">
      <c r="G19" t="str">
        <f t="shared" ca="1" si="1"/>
        <v/>
      </c>
    </row>
  </sheetData>
  <mergeCells count="1">
    <mergeCell ref="B18:C18"/>
  </mergeCells>
  <phoneticPr fontId="10"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219AF-04BB-4CE5-9B01-E48ADE004AAA}">
  <sheetPr>
    <tabColor rgb="FFFF0000"/>
  </sheetPr>
  <dimension ref="A1:H25"/>
  <sheetViews>
    <sheetView showGridLines="0" zoomScale="130" zoomScaleNormal="130" workbookViewId="0"/>
  </sheetViews>
  <sheetFormatPr defaultColWidth="8.85546875" defaultRowHeight="15" x14ac:dyDescent="0.25"/>
  <cols>
    <col min="1" max="1" width="6" bestFit="1" customWidth="1"/>
    <col min="2" max="2" width="36" customWidth="1"/>
    <col min="3" max="3" width="19.42578125" customWidth="1"/>
    <col min="4" max="4" width="21" customWidth="1"/>
    <col min="5" max="5" width="27.42578125" customWidth="1"/>
    <col min="6" max="6" width="12.7109375" bestFit="1" customWidth="1"/>
    <col min="7" max="7" width="16.42578125" customWidth="1"/>
    <col min="8" max="8" width="28.85546875" bestFit="1" customWidth="1"/>
  </cols>
  <sheetData>
    <row r="1" spans="1:8" ht="6" customHeight="1" x14ac:dyDescent="0.25"/>
    <row r="2" spans="1:8" x14ac:dyDescent="0.25">
      <c r="A2" s="1" t="s">
        <v>353</v>
      </c>
      <c r="B2" s="40" t="s">
        <v>354</v>
      </c>
      <c r="C2" s="41"/>
      <c r="D2" s="42"/>
    </row>
    <row r="3" spans="1:8" ht="6" customHeight="1" x14ac:dyDescent="0.25"/>
    <row r="4" spans="1:8" x14ac:dyDescent="0.25">
      <c r="B4" s="27" t="s">
        <v>280</v>
      </c>
      <c r="C4" s="27" t="s">
        <v>283</v>
      </c>
    </row>
    <row r="5" spans="1:8" x14ac:dyDescent="0.25">
      <c r="B5" s="4" t="s">
        <v>368</v>
      </c>
      <c r="C5" s="4" t="s">
        <v>369</v>
      </c>
      <c r="D5" s="50"/>
      <c r="E5" s="50"/>
    </row>
    <row r="6" spans="1:8" x14ac:dyDescent="0.25">
      <c r="B6" s="4" t="s">
        <v>370</v>
      </c>
      <c r="C6" s="4">
        <v>0.15</v>
      </c>
      <c r="D6" s="50"/>
      <c r="E6" s="50"/>
    </row>
    <row r="7" spans="1:8" x14ac:dyDescent="0.25">
      <c r="B7" s="4" t="s">
        <v>361</v>
      </c>
      <c r="C7" s="4" t="s">
        <v>357</v>
      </c>
      <c r="D7" s="50"/>
      <c r="E7" s="50"/>
    </row>
    <row r="8" spans="1:8" x14ac:dyDescent="0.25">
      <c r="B8" s="4" t="s">
        <v>367</v>
      </c>
      <c r="C8" s="48">
        <v>285000</v>
      </c>
      <c r="D8" s="52"/>
      <c r="E8" s="52"/>
    </row>
    <row r="9" spans="1:8" x14ac:dyDescent="0.25">
      <c r="B9" s="33" t="s">
        <v>362</v>
      </c>
      <c r="C9" s="4"/>
      <c r="D9" s="52"/>
      <c r="E9" s="52"/>
      <c r="G9" s="27" t="s">
        <v>366</v>
      </c>
      <c r="H9" s="27" t="s">
        <v>279</v>
      </c>
    </row>
    <row r="10" spans="1:8" x14ac:dyDescent="0.25">
      <c r="B10" s="4" t="s">
        <v>356</v>
      </c>
      <c r="C10" s="48">
        <v>100000</v>
      </c>
      <c r="D10" s="52"/>
      <c r="E10" s="52"/>
      <c r="G10" s="48">
        <f>PV($C$6,ROWS(G$10:G10),,C10)</f>
        <v>-86956.521739130447</v>
      </c>
      <c r="H10" s="4" t="str">
        <f ca="1">_xlfn.IFNA(_xlfn.FORMULATEXT(G10),"")</f>
        <v>=PV($C$6,ROWS(G$10:G10),,C10)</v>
      </c>
    </row>
    <row r="11" spans="1:8" x14ac:dyDescent="0.25">
      <c r="B11" s="4" t="s">
        <v>358</v>
      </c>
      <c r="C11" s="48">
        <v>90000</v>
      </c>
      <c r="D11" s="52"/>
      <c r="E11" s="52"/>
      <c r="G11" s="48">
        <f>PV($C$6,ROWS(G$10:G11),,C11)</f>
        <v>-68052.930056710786</v>
      </c>
      <c r="H11" s="4" t="str">
        <f t="shared" ref="H11:H15" ca="1" si="0">_xlfn.IFNA(_xlfn.FORMULATEXT(G11),"")</f>
        <v>=PV($C$6,ROWS(G$10:G11),,C11)</v>
      </c>
    </row>
    <row r="12" spans="1:8" x14ac:dyDescent="0.25">
      <c r="B12" s="4" t="s">
        <v>359</v>
      </c>
      <c r="C12" s="48">
        <v>85000</v>
      </c>
      <c r="D12" s="52"/>
      <c r="E12" s="52"/>
      <c r="G12" s="48">
        <f>PV($C$6,ROWS(G$10:G12),,C12)</f>
        <v>-55888.879756719012</v>
      </c>
      <c r="H12" s="4" t="str">
        <f t="shared" ca="1" si="0"/>
        <v>=PV($C$6,ROWS(G$10:G12),,C12)</v>
      </c>
    </row>
    <row r="13" spans="1:8" x14ac:dyDescent="0.25">
      <c r="B13" s="4" t="s">
        <v>363</v>
      </c>
      <c r="C13" s="48">
        <v>75000</v>
      </c>
      <c r="D13" s="52"/>
      <c r="E13" s="52"/>
      <c r="G13" s="48">
        <f>PV($C$6,ROWS(G$10:G13),,C13)</f>
        <v>-42881.493419477505</v>
      </c>
      <c r="H13" s="4" t="str">
        <f t="shared" ca="1" si="0"/>
        <v>=PV($C$6,ROWS(G$10:G13),,C13)</v>
      </c>
    </row>
    <row r="14" spans="1:8" x14ac:dyDescent="0.25">
      <c r="B14" s="4" t="s">
        <v>364</v>
      </c>
      <c r="C14" s="48">
        <v>70000</v>
      </c>
      <c r="D14" s="52"/>
      <c r="E14" s="52"/>
      <c r="G14" s="48">
        <f>PV($C$6,ROWS(G$10:G14),,C14)</f>
        <v>-34802.371470880295</v>
      </c>
      <c r="H14" s="4" t="str">
        <f t="shared" ca="1" si="0"/>
        <v>=PV($C$6,ROWS(G$10:G14),,C14)</v>
      </c>
    </row>
    <row r="15" spans="1:8" x14ac:dyDescent="0.25">
      <c r="B15" s="4" t="s">
        <v>365</v>
      </c>
      <c r="C15" s="49">
        <f>NPV(C6,C10:C14)</f>
        <v>288582.19644291804</v>
      </c>
      <c r="D15" s="51" t="str">
        <f ca="1">_xlfn.IFNA(_xlfn.FORMULATEXT(C15),"")</f>
        <v>=NPV(C6,C10:C14)</v>
      </c>
      <c r="E15" s="50"/>
      <c r="G15" s="48">
        <f>SUM(G10:G14)</f>
        <v>-288582.19644291804</v>
      </c>
      <c r="H15" s="4" t="str">
        <f t="shared" ca="1" si="0"/>
        <v>=SUM(G10:G14)</v>
      </c>
    </row>
    <row r="16" spans="1:8" x14ac:dyDescent="0.25">
      <c r="B16" s="4" t="s">
        <v>360</v>
      </c>
      <c r="C16" s="49">
        <f>C15-C8</f>
        <v>3582.1964429180371</v>
      </c>
      <c r="D16" s="51" t="str">
        <f ca="1">_xlfn.IFNA(_xlfn.FORMULATEXT(C16),"")</f>
        <v>=C15-C8</v>
      </c>
      <c r="E16" s="50"/>
    </row>
    <row r="17" spans="2:7" x14ac:dyDescent="0.25">
      <c r="G17" t="str">
        <f t="shared" ref="G17:G19" ca="1" si="1">_xlfn.IFNA(_xlfn.FORMULATEXT(F17),"")</f>
        <v/>
      </c>
    </row>
    <row r="18" spans="2:7" ht="18.75" x14ac:dyDescent="0.3">
      <c r="B18" s="77" t="s">
        <v>355</v>
      </c>
      <c r="C18" s="79"/>
    </row>
    <row r="19" spans="2:7" x14ac:dyDescent="0.25">
      <c r="G19" t="str">
        <f t="shared" ca="1" si="1"/>
        <v/>
      </c>
    </row>
    <row r="22" spans="2:7" x14ac:dyDescent="0.25">
      <c r="G22" t="str">
        <f>"Value - Cost = $"&amp;FIXED(C15)&amp;" - $"&amp;FIXED(C8,0)&amp;" = "&amp;FIXED(C15-C8)</f>
        <v>Value - Cost = $288,582.20 - $285,000 = 3,582.20</v>
      </c>
    </row>
    <row r="25" spans="2:7" ht="30" x14ac:dyDescent="0.25">
      <c r="B25" s="4" t="s">
        <v>372</v>
      </c>
      <c r="C25" s="23" cm="1">
        <f t="array" ref="C25">SUM(C10:C14/(1+C6)^RIGHT(B10:B14))</f>
        <v>288582.19644291804</v>
      </c>
      <c r="D25" s="5" t="str">
        <f ca="1">_xlfn.IFNA(_xlfn.FORMULATEXT(C25),"")</f>
        <v>=SUM(C10:C14/(1+C6)^RIGHT(B10:B14))</v>
      </c>
    </row>
  </sheetData>
  <mergeCells count="1">
    <mergeCell ref="B18:C18"/>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8150-D84D-43FC-B592-2246E5DFEC84}">
  <sheetPr>
    <tabColor rgb="FF0000FF"/>
  </sheetPr>
  <dimension ref="A1:H19"/>
  <sheetViews>
    <sheetView showGridLines="0" zoomScale="145" zoomScaleNormal="145" workbookViewId="0"/>
  </sheetViews>
  <sheetFormatPr defaultColWidth="8.85546875" defaultRowHeight="15" x14ac:dyDescent="0.25"/>
  <cols>
    <col min="1" max="1" width="6" bestFit="1" customWidth="1"/>
    <col min="2" max="2" width="30.7109375" customWidth="1"/>
    <col min="3" max="3" width="19.42578125" customWidth="1"/>
    <col min="4" max="4" width="38" customWidth="1"/>
    <col min="5" max="6" width="9.28515625" customWidth="1"/>
    <col min="7" max="7" width="16.42578125" customWidth="1"/>
    <col min="8" max="8" width="30.7109375" customWidth="1"/>
  </cols>
  <sheetData>
    <row r="1" spans="1:8" ht="6" customHeight="1" x14ac:dyDescent="0.25"/>
    <row r="2" spans="1:8" x14ac:dyDescent="0.25">
      <c r="A2" s="1" t="s">
        <v>375</v>
      </c>
      <c r="B2" s="40" t="s">
        <v>376</v>
      </c>
      <c r="C2" s="41"/>
      <c r="D2" s="42"/>
    </row>
    <row r="3" spans="1:8" ht="6" customHeight="1" x14ac:dyDescent="0.25"/>
    <row r="4" spans="1:8" x14ac:dyDescent="0.25">
      <c r="B4" s="27" t="s">
        <v>280</v>
      </c>
      <c r="C4" s="27" t="s">
        <v>283</v>
      </c>
    </row>
    <row r="5" spans="1:8" x14ac:dyDescent="0.25">
      <c r="B5" s="4" t="s">
        <v>368</v>
      </c>
      <c r="C5" s="4" t="s">
        <v>369</v>
      </c>
      <c r="D5" s="50"/>
      <c r="E5" s="50"/>
    </row>
    <row r="6" spans="1:8" x14ac:dyDescent="0.25">
      <c r="B6" s="4" t="s">
        <v>370</v>
      </c>
      <c r="C6" s="4">
        <v>0.15</v>
      </c>
      <c r="D6" s="50"/>
      <c r="E6" s="50"/>
    </row>
    <row r="7" spans="1:8" x14ac:dyDescent="0.25">
      <c r="B7" s="33" t="s">
        <v>362</v>
      </c>
      <c r="C7" s="4"/>
      <c r="D7" s="52"/>
      <c r="E7" s="52"/>
    </row>
    <row r="8" spans="1:8" x14ac:dyDescent="0.25">
      <c r="B8" s="27" t="s">
        <v>373</v>
      </c>
      <c r="C8" s="27" t="s">
        <v>351</v>
      </c>
      <c r="D8" s="52"/>
      <c r="E8" s="52"/>
      <c r="G8" s="27" t="s">
        <v>366</v>
      </c>
      <c r="H8" s="27" t="s">
        <v>279</v>
      </c>
    </row>
    <row r="9" spans="1:8" x14ac:dyDescent="0.25">
      <c r="B9" s="53">
        <v>44713</v>
      </c>
      <c r="C9" s="48">
        <v>-285000</v>
      </c>
      <c r="D9" s="52"/>
      <c r="G9" s="4">
        <f>C9/(1+$C$6)^((B9-$B$9)/365)</f>
        <v>-285000</v>
      </c>
      <c r="H9" s="4" t="str">
        <f ca="1">_xlfn.IFNA(_xlfn.FORMULATEXT(G9),"")</f>
        <v>=C9/(1+$C$6)^((B9-$B$9)/365)</v>
      </c>
    </row>
    <row r="10" spans="1:8" x14ac:dyDescent="0.25">
      <c r="B10" s="53">
        <f>EDATE(B9,9)</f>
        <v>44986</v>
      </c>
      <c r="C10" s="48">
        <v>100000</v>
      </c>
      <c r="D10" s="52"/>
      <c r="G10" s="4">
        <f t="shared" ref="G10:G14" si="0">C10/(1+$C$6)^((B10-$B$9)/365)</f>
        <v>90074.392414282163</v>
      </c>
      <c r="H10" s="4" t="str">
        <f t="shared" ref="H10:H15" ca="1" si="1">_xlfn.IFNA(_xlfn.FORMULATEXT(G10),"")</f>
        <v>=C10/(1+$C$6)^((B10-$B$9)/365)</v>
      </c>
    </row>
    <row r="11" spans="1:8" x14ac:dyDescent="0.25">
      <c r="B11" s="53">
        <f>EDATE(B10,12)</f>
        <v>45352</v>
      </c>
      <c r="C11" s="48">
        <v>90000</v>
      </c>
      <c r="D11" s="52"/>
      <c r="G11" s="4">
        <f t="shared" si="0"/>
        <v>70466.015490585414</v>
      </c>
      <c r="H11" s="4" t="str">
        <f t="shared" ca="1" si="1"/>
        <v>=C11/(1+$C$6)^((B11-$B$9)/365)</v>
      </c>
    </row>
    <row r="12" spans="1:8" x14ac:dyDescent="0.25">
      <c r="B12" s="53">
        <f>EDATE(B11,14)</f>
        <v>45778</v>
      </c>
      <c r="C12" s="48">
        <v>85000</v>
      </c>
      <c r="D12" s="52"/>
      <c r="G12" s="4">
        <f t="shared" si="0"/>
        <v>56534.592774919161</v>
      </c>
      <c r="H12" s="4" t="str">
        <f t="shared" ca="1" si="1"/>
        <v>=C12/(1+$C$6)^((B12-$B$9)/365)</v>
      </c>
    </row>
    <row r="13" spans="1:8" x14ac:dyDescent="0.25">
      <c r="B13" s="53">
        <f>EDATE(B12,14)</f>
        <v>46204</v>
      </c>
      <c r="C13" s="48">
        <v>75000</v>
      </c>
      <c r="D13" s="52"/>
      <c r="G13" s="4">
        <f t="shared" si="0"/>
        <v>42375.49095827846</v>
      </c>
      <c r="H13" s="4" t="str">
        <f t="shared" ca="1" si="1"/>
        <v>=C13/(1+$C$6)^((B13-$B$9)/365)</v>
      </c>
    </row>
    <row r="14" spans="1:8" x14ac:dyDescent="0.25">
      <c r="B14" s="53">
        <f>EDATE(B13,24)</f>
        <v>46935</v>
      </c>
      <c r="C14" s="48">
        <v>70000</v>
      </c>
      <c r="D14" s="52"/>
      <c r="G14" s="4">
        <f t="shared" si="0"/>
        <v>29894.379495902507</v>
      </c>
      <c r="H14" s="4" t="str">
        <f t="shared" ca="1" si="1"/>
        <v>=C14/(1+$C$6)^((B14-$B$9)/365)</v>
      </c>
    </row>
    <row r="15" spans="1:8" x14ac:dyDescent="0.25">
      <c r="B15" s="4" t="s">
        <v>360</v>
      </c>
      <c r="C15" s="49"/>
      <c r="D15" s="51" t="str">
        <f ca="1">_xlfn.IFNA(_xlfn.FORMULATEXT(C15),"")</f>
        <v/>
      </c>
      <c r="G15">
        <f>SUM(G9:G14)</f>
        <v>4344.8711339677066</v>
      </c>
      <c r="H15" s="4" t="str">
        <f t="shared" ca="1" si="1"/>
        <v>=SUM(G9:G14)</v>
      </c>
    </row>
    <row r="17" spans="2:7" ht="18.75" x14ac:dyDescent="0.3">
      <c r="B17" s="77" t="s">
        <v>374</v>
      </c>
      <c r="C17" s="79"/>
      <c r="G17" t="str">
        <f t="shared" ref="G17:G19" ca="1" si="2">_xlfn.IFNA(_xlfn.FORMULATEXT(F17),"")</f>
        <v/>
      </c>
    </row>
    <row r="19" spans="2:7" ht="16.5" x14ac:dyDescent="0.3">
      <c r="D19" s="54"/>
      <c r="G19" t="str">
        <f t="shared" ca="1" si="2"/>
        <v/>
      </c>
    </row>
  </sheetData>
  <mergeCells count="1">
    <mergeCell ref="B17:C17"/>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1B1C-D3B3-46CD-A946-0F19701E472F}">
  <sheetPr>
    <tabColor rgb="FFFF0000"/>
  </sheetPr>
  <dimension ref="A1:H23"/>
  <sheetViews>
    <sheetView showGridLines="0" zoomScale="145" zoomScaleNormal="145" workbookViewId="0"/>
  </sheetViews>
  <sheetFormatPr defaultColWidth="8.85546875" defaultRowHeight="15" x14ac:dyDescent="0.25"/>
  <cols>
    <col min="1" max="1" width="6" bestFit="1" customWidth="1"/>
    <col min="2" max="2" width="30.7109375" customWidth="1"/>
    <col min="3" max="3" width="19.42578125" customWidth="1"/>
    <col min="4" max="4" width="38" customWidth="1"/>
    <col min="5" max="6" width="9.28515625" customWidth="1"/>
    <col min="7" max="7" width="16.42578125" customWidth="1"/>
    <col min="8" max="8" width="30.7109375" customWidth="1"/>
  </cols>
  <sheetData>
    <row r="1" spans="1:8" ht="6" customHeight="1" x14ac:dyDescent="0.25"/>
    <row r="2" spans="1:8" x14ac:dyDescent="0.25">
      <c r="A2" s="1" t="s">
        <v>375</v>
      </c>
      <c r="B2" s="40" t="s">
        <v>376</v>
      </c>
      <c r="C2" s="41"/>
      <c r="D2" s="42"/>
    </row>
    <row r="3" spans="1:8" ht="6" customHeight="1" x14ac:dyDescent="0.25"/>
    <row r="4" spans="1:8" x14ac:dyDescent="0.25">
      <c r="B4" s="27" t="s">
        <v>280</v>
      </c>
      <c r="C4" s="27" t="s">
        <v>283</v>
      </c>
    </row>
    <row r="5" spans="1:8" x14ac:dyDescent="0.25">
      <c r="B5" s="4" t="s">
        <v>368</v>
      </c>
      <c r="C5" s="4" t="s">
        <v>369</v>
      </c>
      <c r="D5" s="50"/>
      <c r="E5" s="50"/>
    </row>
    <row r="6" spans="1:8" x14ac:dyDescent="0.25">
      <c r="B6" s="4" t="s">
        <v>370</v>
      </c>
      <c r="C6" s="4">
        <v>0.15</v>
      </c>
      <c r="D6" s="50"/>
      <c r="E6" s="50"/>
    </row>
    <row r="7" spans="1:8" x14ac:dyDescent="0.25">
      <c r="B7" s="33" t="s">
        <v>362</v>
      </c>
      <c r="C7" s="4"/>
      <c r="D7" s="52"/>
      <c r="E7" s="52"/>
    </row>
    <row r="8" spans="1:8" x14ac:dyDescent="0.25">
      <c r="B8" s="27" t="s">
        <v>373</v>
      </c>
      <c r="C8" s="27" t="s">
        <v>351</v>
      </c>
      <c r="D8" s="52"/>
      <c r="E8" s="52"/>
      <c r="G8" s="27" t="s">
        <v>366</v>
      </c>
      <c r="H8" s="27" t="s">
        <v>279</v>
      </c>
    </row>
    <row r="9" spans="1:8" x14ac:dyDescent="0.25">
      <c r="B9" s="53">
        <v>44713</v>
      </c>
      <c r="C9" s="48">
        <v>-285000</v>
      </c>
      <c r="D9" s="52"/>
      <c r="G9" s="4">
        <f>C9/(1+$C$6)^((B9-$B$9)/365)</f>
        <v>-285000</v>
      </c>
      <c r="H9" s="4" t="str">
        <f ca="1">_xlfn.IFNA(_xlfn.FORMULATEXT(G9),"")</f>
        <v>=C9/(1+$C$6)^((B9-$B$9)/365)</v>
      </c>
    </row>
    <row r="10" spans="1:8" x14ac:dyDescent="0.25">
      <c r="B10" s="53">
        <f>EDATE(B9,9)</f>
        <v>44986</v>
      </c>
      <c r="C10" s="48">
        <v>100000</v>
      </c>
      <c r="D10" s="52"/>
      <c r="G10" s="4">
        <f t="shared" ref="G10:G14" si="0">C10/(1+$C$6)^((B10-$B$9)/365)</f>
        <v>90074.392414282163</v>
      </c>
      <c r="H10" s="4" t="str">
        <f t="shared" ref="H10:H15" ca="1" si="1">_xlfn.IFNA(_xlfn.FORMULATEXT(G10),"")</f>
        <v>=C10/(1+$C$6)^((B10-$B$9)/365)</v>
      </c>
    </row>
    <row r="11" spans="1:8" x14ac:dyDescent="0.25">
      <c r="B11" s="53">
        <f>EDATE(B10,12)</f>
        <v>45352</v>
      </c>
      <c r="C11" s="48">
        <v>90000</v>
      </c>
      <c r="D11" s="52"/>
      <c r="G11" s="4">
        <f t="shared" si="0"/>
        <v>70466.015490585414</v>
      </c>
      <c r="H11" s="4" t="str">
        <f t="shared" ca="1" si="1"/>
        <v>=C11/(1+$C$6)^((B11-$B$9)/365)</v>
      </c>
    </row>
    <row r="12" spans="1:8" x14ac:dyDescent="0.25">
      <c r="B12" s="53">
        <f>EDATE(B11,14)</f>
        <v>45778</v>
      </c>
      <c r="C12" s="48">
        <v>85000</v>
      </c>
      <c r="D12" s="52"/>
      <c r="G12" s="4">
        <f t="shared" si="0"/>
        <v>56534.592774919161</v>
      </c>
      <c r="H12" s="4" t="str">
        <f t="shared" ca="1" si="1"/>
        <v>=C12/(1+$C$6)^((B12-$B$9)/365)</v>
      </c>
    </row>
    <row r="13" spans="1:8" x14ac:dyDescent="0.25">
      <c r="B13" s="53">
        <f>EDATE(B12,14)</f>
        <v>46204</v>
      </c>
      <c r="C13" s="48">
        <v>75000</v>
      </c>
      <c r="D13" s="52"/>
      <c r="G13" s="4">
        <f t="shared" si="0"/>
        <v>42375.49095827846</v>
      </c>
      <c r="H13" s="4" t="str">
        <f t="shared" ca="1" si="1"/>
        <v>=C13/(1+$C$6)^((B13-$B$9)/365)</v>
      </c>
    </row>
    <row r="14" spans="1:8" x14ac:dyDescent="0.25">
      <c r="B14" s="53">
        <f>EDATE(B13,24)</f>
        <v>46935</v>
      </c>
      <c r="C14" s="48">
        <v>70000</v>
      </c>
      <c r="D14" s="52"/>
      <c r="G14" s="4">
        <f t="shared" si="0"/>
        <v>29894.379495902507</v>
      </c>
      <c r="H14" s="4" t="str">
        <f t="shared" ca="1" si="1"/>
        <v>=C14/(1+$C$6)^((B14-$B$9)/365)</v>
      </c>
    </row>
    <row r="15" spans="1:8" x14ac:dyDescent="0.25">
      <c r="B15" s="4" t="s">
        <v>360</v>
      </c>
      <c r="C15" s="49">
        <f>XNPV(C6,C9:C14,B9:B14)</f>
        <v>4344.8711339677066</v>
      </c>
      <c r="D15" s="51" t="str">
        <f ca="1">_xlfn.IFNA(_xlfn.FORMULATEXT(C15),"")</f>
        <v>=XNPV(C6,C9:C14,B9:B14)</v>
      </c>
      <c r="G15">
        <f>SUM(G9:G14)</f>
        <v>4344.8711339677066</v>
      </c>
      <c r="H15" s="4" t="str">
        <f t="shared" ca="1" si="1"/>
        <v>=SUM(G9:G14)</v>
      </c>
    </row>
    <row r="17" spans="2:7" ht="18.75" x14ac:dyDescent="0.3">
      <c r="B17" s="77" t="s">
        <v>374</v>
      </c>
      <c r="C17" s="79"/>
      <c r="G17" t="str">
        <f t="shared" ref="G17:G19" ca="1" si="2">_xlfn.IFNA(_xlfn.FORMULATEXT(F17),"")</f>
        <v/>
      </c>
    </row>
    <row r="19" spans="2:7" ht="16.5" x14ac:dyDescent="0.3">
      <c r="D19" s="54"/>
      <c r="G19" t="str">
        <f t="shared" ca="1" si="2"/>
        <v/>
      </c>
    </row>
    <row r="23" spans="2:7" x14ac:dyDescent="0.25">
      <c r="B23" s="4" t="s">
        <v>372</v>
      </c>
      <c r="C23" s="23" cm="1">
        <f t="array" ref="C23">SUM(C9:C14/(1+C6)^((B9:B14-B9)/365))</f>
        <v>4344.8711339677066</v>
      </c>
      <c r="D23" s="5" t="str">
        <f ca="1">_xlfn.IFNA(_xlfn.FORMULATEXT(C23),"")</f>
        <v>=SUM(C9:C14/(1+C6)^((B9:B14-B9)/365))</v>
      </c>
    </row>
  </sheetData>
  <mergeCells count="1">
    <mergeCell ref="B17:C17"/>
  </mergeCells>
  <pageMargins left="0.7" right="0.7" top="0.75" bottom="0.75" header="0.3" footer="0.3"/>
  <pageSetup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CFF34-DD78-4F08-857B-1669CA0B42A9}">
  <sheetPr>
    <tabColor theme="1"/>
  </sheetPr>
  <dimension ref="A1"/>
  <sheetViews>
    <sheetView workbookViewId="0"/>
  </sheetViews>
  <sheetFormatPr defaultColWidth="8.85546875" defaultRowHeight="15" x14ac:dyDescent="0.2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86765-BCC9-46F2-94F3-BA4A517AE92B}">
  <sheetPr>
    <tabColor rgb="FF0000FF"/>
  </sheetPr>
  <dimension ref="A1:Q7"/>
  <sheetViews>
    <sheetView showGridLines="0" zoomScale="160" zoomScaleNormal="160" workbookViewId="0"/>
  </sheetViews>
  <sheetFormatPr defaultColWidth="8.85546875" defaultRowHeight="15" x14ac:dyDescent="0.25"/>
  <cols>
    <col min="1" max="1" width="4.85546875" bestFit="1" customWidth="1"/>
    <col min="2" max="2" width="30.7109375" customWidth="1"/>
    <col min="3" max="3" width="19.42578125" customWidth="1"/>
    <col min="4" max="4" width="37.28515625" customWidth="1"/>
    <col min="5" max="5" width="10.42578125" bestFit="1" customWidth="1"/>
  </cols>
  <sheetData>
    <row r="1" spans="1:17" ht="6" customHeight="1" x14ac:dyDescent="0.25"/>
    <row r="2" spans="1:17" x14ac:dyDescent="0.25">
      <c r="A2" s="1"/>
      <c r="B2" s="16" t="s">
        <v>379</v>
      </c>
      <c r="C2" s="17"/>
      <c r="D2" s="18"/>
    </row>
    <row r="3" spans="1:17" ht="6" customHeight="1" x14ac:dyDescent="0.25"/>
    <row r="4" spans="1:17" x14ac:dyDescent="0.25">
      <c r="P4" t="s">
        <v>284</v>
      </c>
      <c r="Q4">
        <v>365</v>
      </c>
    </row>
    <row r="5" spans="1:17" x14ac:dyDescent="0.25">
      <c r="P5" t="s">
        <v>285</v>
      </c>
      <c r="Q5">
        <v>12</v>
      </c>
    </row>
    <row r="6" spans="1:17" x14ac:dyDescent="0.25">
      <c r="P6" t="s">
        <v>286</v>
      </c>
      <c r="Q6">
        <v>4</v>
      </c>
    </row>
    <row r="7" spans="1:17" x14ac:dyDescent="0.25">
      <c r="P7" t="s">
        <v>287</v>
      </c>
      <c r="Q7">
        <v>1</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3A838-4C90-44AD-B887-DD2F90C8A5B9}">
  <sheetPr>
    <tabColor rgb="FFFF0000"/>
  </sheetPr>
  <dimension ref="A1:Q13"/>
  <sheetViews>
    <sheetView showGridLines="0" zoomScale="160" zoomScaleNormal="160" workbookViewId="0"/>
  </sheetViews>
  <sheetFormatPr defaultColWidth="8.85546875" defaultRowHeight="15" x14ac:dyDescent="0.25"/>
  <cols>
    <col min="1" max="1" width="4.85546875" bestFit="1" customWidth="1"/>
    <col min="2" max="2" width="30.7109375" customWidth="1"/>
    <col min="3" max="3" width="19.42578125" customWidth="1"/>
    <col min="4" max="4" width="37.28515625" customWidth="1"/>
    <col min="5" max="5" width="10.42578125" bestFit="1" customWidth="1"/>
  </cols>
  <sheetData>
    <row r="1" spans="1:17" ht="6" customHeight="1" x14ac:dyDescent="0.25"/>
    <row r="2" spans="1:17" x14ac:dyDescent="0.25">
      <c r="A2" s="1"/>
      <c r="B2" s="16" t="str">
        <f>"How much will $"&amp;FIXED(C5,0)&amp;" invested today be worth in "&amp;C7&amp;" years at an APR of "&amp;TEXT(C6,"0.00%")&amp;", compounded "&amp;_xlfn.XLOOKUP(C8,Q4:Q7,P4:P7)&amp;"?"</f>
        <v>How much will $25,000 invested today be worth in 15 years at an APR of 6.75%, compounded daily?</v>
      </c>
      <c r="C2" s="17"/>
      <c r="D2" s="18"/>
    </row>
    <row r="3" spans="1:17" ht="6" customHeight="1" x14ac:dyDescent="0.25"/>
    <row r="4" spans="1:17" x14ac:dyDescent="0.25">
      <c r="B4" s="15" t="s">
        <v>280</v>
      </c>
      <c r="C4" s="15" t="s">
        <v>283</v>
      </c>
      <c r="D4" s="15" t="s">
        <v>279</v>
      </c>
      <c r="P4" t="s">
        <v>284</v>
      </c>
      <c r="Q4">
        <v>365</v>
      </c>
    </row>
    <row r="5" spans="1:17" x14ac:dyDescent="0.25">
      <c r="B5" s="4" t="s">
        <v>276</v>
      </c>
      <c r="C5" s="22">
        <v>25000</v>
      </c>
      <c r="D5" s="4"/>
      <c r="P5" t="s">
        <v>285</v>
      </c>
      <c r="Q5">
        <v>12</v>
      </c>
    </row>
    <row r="6" spans="1:17" x14ac:dyDescent="0.25">
      <c r="B6" s="4" t="s">
        <v>277</v>
      </c>
      <c r="C6" s="21">
        <v>6.7500000000000004E-2</v>
      </c>
      <c r="D6" s="4"/>
      <c r="P6" t="s">
        <v>286</v>
      </c>
      <c r="Q6">
        <v>4</v>
      </c>
    </row>
    <row r="7" spans="1:17" x14ac:dyDescent="0.25">
      <c r="B7" s="4" t="s">
        <v>278</v>
      </c>
      <c r="C7" s="19">
        <v>15</v>
      </c>
      <c r="D7" s="4"/>
      <c r="P7" t="s">
        <v>287</v>
      </c>
      <c r="Q7">
        <v>1</v>
      </c>
    </row>
    <row r="8" spans="1:17" x14ac:dyDescent="0.25">
      <c r="B8" s="4" t="s">
        <v>270</v>
      </c>
      <c r="C8" s="19">
        <v>365</v>
      </c>
      <c r="D8" s="4"/>
    </row>
    <row r="9" spans="1:17" x14ac:dyDescent="0.25">
      <c r="B9" s="4" t="s">
        <v>281</v>
      </c>
      <c r="C9" s="20">
        <f>C6/C8</f>
        <v>1.8493150684931509E-4</v>
      </c>
      <c r="D9" s="4" t="str">
        <f ca="1">_xlfn.IFNA(_xlfn.FORMULATEXT(C9),"")</f>
        <v>=C6/C8</v>
      </c>
    </row>
    <row r="10" spans="1:17" x14ac:dyDescent="0.25">
      <c r="B10" s="4" t="s">
        <v>282</v>
      </c>
      <c r="C10" s="20">
        <f>C7*C8</f>
        <v>5475</v>
      </c>
      <c r="D10" s="4" t="str">
        <f ca="1">_xlfn.IFNA(_xlfn.FORMULATEXT(C10),"")</f>
        <v>=C7*C8</v>
      </c>
    </row>
    <row r="11" spans="1:17" x14ac:dyDescent="0.25">
      <c r="B11" s="4" t="s">
        <v>288</v>
      </c>
      <c r="C11" s="23">
        <f>FV(C9,C10,,-C5)</f>
        <v>68805.39894057301</v>
      </c>
      <c r="D11" s="4" t="str">
        <f ca="1">_xlfn.IFNA(_xlfn.FORMULATEXT(C11),"")</f>
        <v>=FV(C9,C10,,-C5)</v>
      </c>
    </row>
    <row r="13" spans="1:17" x14ac:dyDescent="0.25">
      <c r="B13" s="4" t="s">
        <v>298</v>
      </c>
      <c r="C13" s="23">
        <f>C5*(1+C9)^C10</f>
        <v>68805.39894057301</v>
      </c>
      <c r="D13" s="4" t="str">
        <f ca="1">_xlfn.IFNA(_xlfn.FORMULATEXT(C13),"")</f>
        <v>=C5*(1+C9)^C10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C0FCB-5E37-4444-B062-2737DA9A89DE}">
  <sheetPr>
    <tabColor rgb="FF0000FF"/>
  </sheetPr>
  <dimension ref="A1:F5"/>
  <sheetViews>
    <sheetView showGridLines="0" zoomScale="145" zoomScaleNormal="145" workbookViewId="0"/>
  </sheetViews>
  <sheetFormatPr defaultColWidth="8.85546875" defaultRowHeight="15" x14ac:dyDescent="0.25"/>
  <cols>
    <col min="1" max="1" width="4.85546875" bestFit="1" customWidth="1"/>
    <col min="2" max="2" width="37.42578125" customWidth="1"/>
    <col min="3" max="3" width="19.42578125" customWidth="1"/>
    <col min="4" max="4" width="39.42578125" customWidth="1"/>
    <col min="5" max="5" width="10.42578125" bestFit="1" customWidth="1"/>
    <col min="6" max="6" width="31.85546875" customWidth="1"/>
  </cols>
  <sheetData>
    <row r="1" spans="1:6" ht="6" customHeight="1" x14ac:dyDescent="0.25"/>
    <row r="2" spans="1:6" x14ac:dyDescent="0.25">
      <c r="A2" s="1"/>
      <c r="B2" s="56" t="s">
        <v>382</v>
      </c>
      <c r="C2" s="57"/>
      <c r="D2" s="57"/>
      <c r="E2" s="57"/>
      <c r="F2" s="58"/>
    </row>
    <row r="3" spans="1:6" x14ac:dyDescent="0.25">
      <c r="B3" s="59" t="s">
        <v>380</v>
      </c>
      <c r="C3" s="60"/>
      <c r="D3" s="60"/>
      <c r="E3" s="60"/>
      <c r="F3" s="61"/>
    </row>
    <row r="4" spans="1:6" x14ac:dyDescent="0.25">
      <c r="B4" s="62" t="s">
        <v>381</v>
      </c>
      <c r="C4" s="63"/>
      <c r="D4" s="63"/>
      <c r="E4" s="63"/>
      <c r="F4" s="64"/>
    </row>
    <row r="5" spans="1:6" ht="5.25" customHeight="1" x14ac:dyDescent="0.25"/>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A8839-8899-4DB4-BEB0-F696A6B85F13}">
  <sheetPr>
    <tabColor rgb="FFFF0000"/>
  </sheetPr>
  <dimension ref="A1:Q17"/>
  <sheetViews>
    <sheetView showGridLines="0" zoomScale="145" zoomScaleNormal="145" workbookViewId="0"/>
  </sheetViews>
  <sheetFormatPr defaultColWidth="8.85546875" defaultRowHeight="15" x14ac:dyDescent="0.25"/>
  <cols>
    <col min="1" max="1" width="4.85546875" bestFit="1" customWidth="1"/>
    <col min="2" max="2" width="37.42578125" customWidth="1"/>
    <col min="3" max="3" width="19.42578125" customWidth="1"/>
    <col min="4" max="4" width="39.42578125" customWidth="1"/>
    <col min="5" max="5" width="10.42578125" bestFit="1" customWidth="1"/>
    <col min="6" max="6" width="31.85546875" customWidth="1"/>
  </cols>
  <sheetData>
    <row r="1" spans="1:17" ht="6" customHeight="1" x14ac:dyDescent="0.25"/>
    <row r="2" spans="1:17" x14ac:dyDescent="0.25">
      <c r="A2" s="1"/>
      <c r="B2" s="16" t="str">
        <f>"If you invest $"&amp;FIXED(C6,0)&amp;" at the end of each month with an estimated APR of "&amp;TEXT(C7,"0.00%")&amp;", how much will you have in "&amp;C8&amp;" years, if the starting balance in the account is $"&amp;FIXED(C5,0)&amp;"?"</f>
        <v>If you invest $25 at the end of each month with an estimated APR of 12.00%, how much will you have in 35 years, if the starting balance in the account is $10,000?</v>
      </c>
      <c r="C2" s="17"/>
      <c r="D2" s="17"/>
      <c r="E2" s="17"/>
      <c r="F2" s="18"/>
    </row>
    <row r="3" spans="1:17" ht="6" customHeight="1" x14ac:dyDescent="0.25"/>
    <row r="4" spans="1:17" x14ac:dyDescent="0.25">
      <c r="B4" s="15" t="s">
        <v>280</v>
      </c>
      <c r="C4" s="15" t="s">
        <v>283</v>
      </c>
      <c r="D4" s="15" t="s">
        <v>279</v>
      </c>
      <c r="P4" t="s">
        <v>284</v>
      </c>
      <c r="Q4">
        <v>365</v>
      </c>
    </row>
    <row r="5" spans="1:17" x14ac:dyDescent="0.25">
      <c r="B5" s="4" t="s">
        <v>295</v>
      </c>
      <c r="C5" s="24">
        <v>10000</v>
      </c>
      <c r="D5" s="25"/>
    </row>
    <row r="6" spans="1:17" x14ac:dyDescent="0.25">
      <c r="B6" s="4" t="s">
        <v>296</v>
      </c>
      <c r="C6" s="24">
        <v>25</v>
      </c>
      <c r="D6" s="4"/>
      <c r="P6" t="s">
        <v>285</v>
      </c>
      <c r="Q6">
        <v>12</v>
      </c>
    </row>
    <row r="7" spans="1:17" x14ac:dyDescent="0.25">
      <c r="B7" s="4" t="s">
        <v>277</v>
      </c>
      <c r="C7" s="21">
        <v>0.12</v>
      </c>
      <c r="D7" s="4"/>
      <c r="P7" t="s">
        <v>286</v>
      </c>
      <c r="Q7">
        <v>4</v>
      </c>
    </row>
    <row r="8" spans="1:17" x14ac:dyDescent="0.25">
      <c r="B8" s="4" t="s">
        <v>278</v>
      </c>
      <c r="C8" s="19">
        <v>35</v>
      </c>
      <c r="D8" s="4"/>
      <c r="P8" t="s">
        <v>287</v>
      </c>
      <c r="Q8">
        <v>1</v>
      </c>
    </row>
    <row r="9" spans="1:17" x14ac:dyDescent="0.25">
      <c r="B9" s="4" t="s">
        <v>270</v>
      </c>
      <c r="C9" s="19">
        <v>12</v>
      </c>
      <c r="D9" s="4"/>
    </row>
    <row r="10" spans="1:17" x14ac:dyDescent="0.25">
      <c r="B10" s="4" t="s">
        <v>294</v>
      </c>
      <c r="C10" s="19"/>
      <c r="D10" s="4"/>
    </row>
    <row r="11" spans="1:17" x14ac:dyDescent="0.25">
      <c r="B11" s="4" t="s">
        <v>281</v>
      </c>
      <c r="C11" s="20">
        <f>C7/C9</f>
        <v>0.01</v>
      </c>
      <c r="D11" s="4" t="str">
        <f ca="1">_xlfn.IFNA(_xlfn.FORMULATEXT(C11),"")</f>
        <v>=C7/C9</v>
      </c>
    </row>
    <row r="12" spans="1:17" x14ac:dyDescent="0.25">
      <c r="B12" s="4" t="s">
        <v>282</v>
      </c>
      <c r="C12" s="20">
        <f>C8*C9</f>
        <v>420</v>
      </c>
      <c r="D12" s="4" t="str">
        <f ca="1">_xlfn.IFNA(_xlfn.FORMULATEXT(C12),"")</f>
        <v>=C8*C9</v>
      </c>
    </row>
    <row r="13" spans="1:17" x14ac:dyDescent="0.25">
      <c r="B13" s="4" t="s">
        <v>288</v>
      </c>
      <c r="C13" s="23">
        <f>FV(C11,C12,-C6,-C5)</f>
        <v>813869.93393210869</v>
      </c>
      <c r="D13" s="4" t="str">
        <f ca="1">_xlfn.IFNA(_xlfn.FORMULATEXT(C13),"")</f>
        <v>=FV(C11,C12,-C6,-C5)</v>
      </c>
    </row>
    <row r="14" spans="1:17" x14ac:dyDescent="0.25">
      <c r="B14" s="4" t="s">
        <v>324</v>
      </c>
      <c r="C14" s="23">
        <f>C6*C12+C5</f>
        <v>20500</v>
      </c>
      <c r="D14" s="4" t="str">
        <f t="shared" ref="D14:D15" ca="1" si="0">_xlfn.IFNA(_xlfn.FORMULATEXT(C14),"")</f>
        <v>=C6*C12+C5</v>
      </c>
    </row>
    <row r="15" spans="1:17" x14ac:dyDescent="0.25">
      <c r="B15" s="4" t="s">
        <v>305</v>
      </c>
      <c r="C15" s="23">
        <f>C13-C14</f>
        <v>793369.93393210869</v>
      </c>
      <c r="D15" s="4" t="str">
        <f t="shared" ca="1" si="0"/>
        <v>=C13-C14</v>
      </c>
    </row>
    <row r="17" spans="2:4" x14ac:dyDescent="0.25">
      <c r="B17" s="4" t="s">
        <v>298</v>
      </c>
      <c r="C17" s="23">
        <f>C6*(((1+C11)^C12-1)/C11)+C5*(1+C11)^C12</f>
        <v>813869.93393210869</v>
      </c>
      <c r="D17" s="4" t="str">
        <f ca="1">_xlfn.IFNA(_xlfn.FORMULATEXT(C17),"")</f>
        <v>=C6*(((1+C11)^C12-1)/C11)+C5*(1+C11)^C12</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F072B-62D9-4611-8EDA-690DD98F7260}">
  <sheetPr>
    <tabColor rgb="FF0000FF"/>
  </sheetPr>
  <dimension ref="A1:Q23"/>
  <sheetViews>
    <sheetView showGridLines="0" zoomScale="160" zoomScaleNormal="160" workbookViewId="0"/>
  </sheetViews>
  <sheetFormatPr defaultColWidth="8.85546875" defaultRowHeight="15" x14ac:dyDescent="0.25"/>
  <cols>
    <col min="1" max="1" width="4.85546875" bestFit="1" customWidth="1"/>
    <col min="2" max="2" width="32.140625" customWidth="1"/>
    <col min="3" max="3" width="20.7109375" customWidth="1"/>
    <col min="4" max="4" width="43.28515625" customWidth="1"/>
    <col min="5" max="5" width="10.42578125" bestFit="1" customWidth="1"/>
    <col min="7" max="7" width="3" customWidth="1"/>
  </cols>
  <sheetData>
    <row r="1" spans="1:17" ht="6" customHeight="1" x14ac:dyDescent="0.25"/>
    <row r="2" spans="1:17" x14ac:dyDescent="0.25">
      <c r="A2" s="1"/>
      <c r="B2" s="16" t="s">
        <v>400</v>
      </c>
      <c r="C2" s="17"/>
      <c r="D2" s="18"/>
    </row>
    <row r="3" spans="1:17" ht="6" customHeight="1" x14ac:dyDescent="0.25"/>
    <row r="4" spans="1:17" x14ac:dyDescent="0.25">
      <c r="P4" t="s">
        <v>284</v>
      </c>
      <c r="Q4">
        <v>365</v>
      </c>
    </row>
    <row r="5" spans="1:17" x14ac:dyDescent="0.25">
      <c r="P5" t="s">
        <v>285</v>
      </c>
      <c r="Q5">
        <v>12</v>
      </c>
    </row>
    <row r="6" spans="1:17" x14ac:dyDescent="0.25">
      <c r="P6" t="s">
        <v>286</v>
      </c>
      <c r="Q6">
        <v>4</v>
      </c>
    </row>
    <row r="7" spans="1:17" x14ac:dyDescent="0.25">
      <c r="P7" t="s">
        <v>287</v>
      </c>
      <c r="Q7">
        <v>1</v>
      </c>
    </row>
    <row r="23" spans="7:7" x14ac:dyDescent="0.25">
      <c r="G23" s="1"/>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574D5-80F8-4EA4-A770-2D7A194C2DBC}">
  <sheetPr>
    <tabColor rgb="FFFF0000"/>
  </sheetPr>
  <dimension ref="A1:Q16"/>
  <sheetViews>
    <sheetView showGridLines="0" zoomScale="160" zoomScaleNormal="160" workbookViewId="0"/>
  </sheetViews>
  <sheetFormatPr defaultColWidth="8.85546875" defaultRowHeight="15" x14ac:dyDescent="0.25"/>
  <cols>
    <col min="1" max="1" width="4.85546875" bestFit="1" customWidth="1"/>
    <col min="2" max="2" width="32.140625" customWidth="1"/>
    <col min="3" max="3" width="20.7109375" customWidth="1"/>
    <col min="4" max="4" width="45" customWidth="1"/>
    <col min="5" max="5" width="10.42578125" bestFit="1" customWidth="1"/>
    <col min="7" max="7" width="3" customWidth="1"/>
  </cols>
  <sheetData>
    <row r="1" spans="1:17" ht="6" customHeight="1" x14ac:dyDescent="0.25"/>
    <row r="2" spans="1:17" x14ac:dyDescent="0.25">
      <c r="A2" s="1"/>
      <c r="B2" s="16" t="s">
        <v>400</v>
      </c>
      <c r="C2" s="17"/>
      <c r="D2" s="18"/>
    </row>
    <row r="3" spans="1:17" ht="6" customHeight="1" x14ac:dyDescent="0.25"/>
    <row r="4" spans="1:17" x14ac:dyDescent="0.25">
      <c r="B4" s="15" t="s">
        <v>280</v>
      </c>
      <c r="C4" s="15" t="s">
        <v>283</v>
      </c>
      <c r="D4" s="15" t="s">
        <v>279</v>
      </c>
      <c r="P4" t="s">
        <v>284</v>
      </c>
      <c r="Q4">
        <v>365</v>
      </c>
    </row>
    <row r="5" spans="1:17" x14ac:dyDescent="0.25">
      <c r="B5" s="4" t="str">
        <f>"Amount needed in "&amp;C7&amp;" years = fv"</f>
        <v>Amount needed in 15 years = fv</v>
      </c>
      <c r="C5" s="22">
        <v>100000</v>
      </c>
      <c r="D5" s="4"/>
      <c r="P5" t="s">
        <v>285</v>
      </c>
      <c r="Q5">
        <v>12</v>
      </c>
    </row>
    <row r="6" spans="1:17" x14ac:dyDescent="0.25">
      <c r="B6" s="4" t="s">
        <v>277</v>
      </c>
      <c r="C6" s="21">
        <v>0.125</v>
      </c>
      <c r="D6" s="4"/>
      <c r="P6" t="s">
        <v>286</v>
      </c>
      <c r="Q6">
        <v>4</v>
      </c>
    </row>
    <row r="7" spans="1:17" x14ac:dyDescent="0.25">
      <c r="B7" s="4" t="s">
        <v>278</v>
      </c>
      <c r="C7" s="19">
        <v>15</v>
      </c>
      <c r="D7" s="4"/>
      <c r="P7" t="s">
        <v>287</v>
      </c>
      <c r="Q7">
        <v>1</v>
      </c>
    </row>
    <row r="8" spans="1:17" x14ac:dyDescent="0.25">
      <c r="B8" s="4" t="s">
        <v>270</v>
      </c>
      <c r="C8" s="19">
        <v>4</v>
      </c>
      <c r="D8" s="4"/>
    </row>
    <row r="9" spans="1:17" x14ac:dyDescent="0.25">
      <c r="B9" s="4" t="s">
        <v>281</v>
      </c>
      <c r="C9" s="20">
        <f>C6/C8</f>
        <v>3.125E-2</v>
      </c>
      <c r="D9" s="4" t="str">
        <f ca="1">_xlfn.IFNA(_xlfn.FORMULATEXT(C9),"")</f>
        <v>=C6/C8</v>
      </c>
    </row>
    <row r="10" spans="1:17" x14ac:dyDescent="0.25">
      <c r="B10" s="4" t="s">
        <v>282</v>
      </c>
      <c r="C10" s="20">
        <f>C7*C8</f>
        <v>60</v>
      </c>
      <c r="D10" s="4" t="str">
        <f ca="1">_xlfn.IFNA(_xlfn.FORMULATEXT(C10),"")</f>
        <v>=C7*C8</v>
      </c>
    </row>
    <row r="11" spans="1:17" x14ac:dyDescent="0.25">
      <c r="B11" s="4" t="s">
        <v>289</v>
      </c>
      <c r="C11" s="23">
        <f>PV(C9,C10,,C5)</f>
        <v>-15782.009719884707</v>
      </c>
      <c r="D11" s="4" t="str">
        <f ca="1">_xlfn.IFNA(_xlfn.FORMULATEXT(C11),"")</f>
        <v>=PV(C9,C10,,C5)</v>
      </c>
    </row>
    <row r="13" spans="1:17" x14ac:dyDescent="0.25">
      <c r="B13" s="4" t="s">
        <v>299</v>
      </c>
      <c r="C13" s="23">
        <f>-C5/(1+C9)^C10</f>
        <v>-15782.009719884707</v>
      </c>
      <c r="D13" s="4" t="str">
        <f ca="1">_xlfn.IFNA(_xlfn.FORMULATEXT(C13),"")</f>
        <v>=-C5/(1+C9)^C10</v>
      </c>
    </row>
    <row r="16" spans="1:17" x14ac:dyDescent="0.25">
      <c r="G16" s="1"/>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0C1D1-E709-41C1-99B5-84DD3C265B26}">
  <sheetPr>
    <tabColor rgb="FF0000FF"/>
  </sheetPr>
  <dimension ref="A1:Q6"/>
  <sheetViews>
    <sheetView showGridLines="0" zoomScale="160" zoomScaleNormal="160" workbookViewId="0"/>
  </sheetViews>
  <sheetFormatPr defaultColWidth="8.85546875" defaultRowHeight="15" x14ac:dyDescent="0.25"/>
  <cols>
    <col min="1" max="1" width="4.85546875" bestFit="1" customWidth="1"/>
    <col min="2" max="2" width="51.85546875" customWidth="1"/>
    <col min="3" max="3" width="20.7109375" customWidth="1"/>
    <col min="4" max="4" width="37.28515625" customWidth="1"/>
    <col min="5" max="5" width="10.42578125" bestFit="1" customWidth="1"/>
    <col min="7" max="7" width="3" customWidth="1"/>
  </cols>
  <sheetData>
    <row r="1" spans="1:17" ht="6" customHeight="1" x14ac:dyDescent="0.25"/>
    <row r="2" spans="1:17" x14ac:dyDescent="0.25">
      <c r="A2" s="1"/>
      <c r="B2" s="56" t="s">
        <v>401</v>
      </c>
      <c r="C2" s="57"/>
      <c r="D2" s="58"/>
    </row>
    <row r="3" spans="1:17" x14ac:dyDescent="0.25">
      <c r="B3" s="59" t="s">
        <v>383</v>
      </c>
      <c r="C3" s="60"/>
      <c r="D3" s="61"/>
      <c r="P3" t="s">
        <v>284</v>
      </c>
      <c r="Q3">
        <v>365</v>
      </c>
    </row>
    <row r="4" spans="1:17" x14ac:dyDescent="0.25">
      <c r="B4" s="62" t="s">
        <v>384</v>
      </c>
      <c r="C4" s="63"/>
      <c r="D4" s="64"/>
      <c r="P4" t="s">
        <v>285</v>
      </c>
      <c r="Q4">
        <v>12</v>
      </c>
    </row>
    <row r="5" spans="1:17" x14ac:dyDescent="0.25">
      <c r="P5" t="s">
        <v>286</v>
      </c>
      <c r="Q5">
        <v>4</v>
      </c>
    </row>
    <row r="6" spans="1:17" x14ac:dyDescent="0.25">
      <c r="P6" t="s">
        <v>287</v>
      </c>
      <c r="Q6">
        <v>1</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A350-0525-439B-8DDA-666F979C819C}">
  <sheetPr>
    <tabColor rgb="FFFF0000"/>
  </sheetPr>
  <dimension ref="A1:Q18"/>
  <sheetViews>
    <sheetView showGridLines="0" zoomScale="160" zoomScaleNormal="160" workbookViewId="0"/>
  </sheetViews>
  <sheetFormatPr defaultColWidth="8.85546875" defaultRowHeight="15" x14ac:dyDescent="0.25"/>
  <cols>
    <col min="1" max="1" width="4.85546875" bestFit="1" customWidth="1"/>
    <col min="2" max="2" width="51.85546875" customWidth="1"/>
    <col min="3" max="3" width="20.7109375" customWidth="1"/>
    <col min="4" max="4" width="37.28515625" customWidth="1"/>
    <col min="5" max="5" width="10.42578125" bestFit="1" customWidth="1"/>
    <col min="7" max="7" width="3" customWidth="1"/>
  </cols>
  <sheetData>
    <row r="1" spans="1:17" ht="6" customHeight="1" x14ac:dyDescent="0.25"/>
    <row r="2" spans="1:17" x14ac:dyDescent="0.25">
      <c r="A2" s="1"/>
      <c r="B2" s="16" t="s">
        <v>401</v>
      </c>
      <c r="C2" s="17"/>
      <c r="D2" s="18"/>
    </row>
    <row r="3" spans="1:17" ht="6" customHeight="1" x14ac:dyDescent="0.25"/>
    <row r="4" spans="1:17" x14ac:dyDescent="0.25">
      <c r="B4" s="15" t="s">
        <v>280</v>
      </c>
      <c r="C4" s="15" t="s">
        <v>283</v>
      </c>
      <c r="D4" s="15" t="s">
        <v>279</v>
      </c>
      <c r="P4" t="s">
        <v>284</v>
      </c>
      <c r="Q4">
        <v>365</v>
      </c>
    </row>
    <row r="5" spans="1:17" x14ac:dyDescent="0.25">
      <c r="B5" s="4" t="s">
        <v>292</v>
      </c>
      <c r="C5" s="22">
        <v>5000</v>
      </c>
      <c r="D5" s="4"/>
      <c r="P5" t="s">
        <v>285</v>
      </c>
      <c r="Q5">
        <v>12</v>
      </c>
    </row>
    <row r="6" spans="1:17" x14ac:dyDescent="0.25">
      <c r="B6" s="4" t="s">
        <v>277</v>
      </c>
      <c r="C6" s="21">
        <v>0.05</v>
      </c>
      <c r="D6" s="4"/>
      <c r="P6" t="s">
        <v>286</v>
      </c>
      <c r="Q6">
        <v>4</v>
      </c>
    </row>
    <row r="7" spans="1:17" x14ac:dyDescent="0.25">
      <c r="B7" s="4" t="s">
        <v>278</v>
      </c>
      <c r="C7" s="19">
        <v>30</v>
      </c>
      <c r="D7" s="4"/>
      <c r="P7" t="s">
        <v>287</v>
      </c>
      <c r="Q7">
        <v>1</v>
      </c>
    </row>
    <row r="8" spans="1:17" x14ac:dyDescent="0.25">
      <c r="B8" s="4" t="s">
        <v>270</v>
      </c>
      <c r="C8" s="19">
        <v>12</v>
      </c>
      <c r="D8" s="4"/>
    </row>
    <row r="9" spans="1:17" x14ac:dyDescent="0.25">
      <c r="B9" s="4" t="s">
        <v>294</v>
      </c>
      <c r="C9" s="19">
        <v>1</v>
      </c>
      <c r="D9" s="4"/>
    </row>
    <row r="10" spans="1:17" x14ac:dyDescent="0.25">
      <c r="B10" s="4" t="s">
        <v>281</v>
      </c>
      <c r="C10" s="20">
        <f>C6/C8</f>
        <v>4.1666666666666666E-3</v>
      </c>
      <c r="D10" s="4" t="str">
        <f ca="1">_xlfn.IFNA(_xlfn.FORMULATEXT(C10),"")</f>
        <v>=C6/C8</v>
      </c>
    </row>
    <row r="11" spans="1:17" x14ac:dyDescent="0.25">
      <c r="B11" s="4" t="s">
        <v>282</v>
      </c>
      <c r="C11" s="20">
        <f>C7*C8</f>
        <v>360</v>
      </c>
      <c r="D11" s="4" t="str">
        <f ca="1">_xlfn.IFNA(_xlfn.FORMULATEXT(C11),"")</f>
        <v>=C7*C8</v>
      </c>
    </row>
    <row r="12" spans="1:17" x14ac:dyDescent="0.25">
      <c r="B12" s="4" t="s">
        <v>289</v>
      </c>
      <c r="C12" s="23">
        <f>PV(C10,C11,C5,,C9)</f>
        <v>-935288.9522521724</v>
      </c>
      <c r="D12" s="4" t="str">
        <f ca="1">_xlfn.IFNA(_xlfn.FORMULATEXT(C12),"")</f>
        <v>=PV(C10,C11,C5,,C9)</v>
      </c>
    </row>
    <row r="13" spans="1:17" x14ac:dyDescent="0.25">
      <c r="B13" s="4" t="str">
        <f>"Total withdrawn over "&amp;C7&amp;" years"</f>
        <v>Total withdrawn over 30 years</v>
      </c>
      <c r="C13" s="23">
        <f>C11*C5</f>
        <v>1800000</v>
      </c>
      <c r="D13" s="4" t="str">
        <f t="shared" ref="D13:D14" ca="1" si="0">_xlfn.IFNA(_xlfn.FORMULATEXT(C13),"")</f>
        <v>=C11*C5</v>
      </c>
    </row>
    <row r="14" spans="1:17" x14ac:dyDescent="0.25">
      <c r="B14" s="4" t="s">
        <v>306</v>
      </c>
      <c r="C14" s="23">
        <f>C13+C12</f>
        <v>864711.0477478276</v>
      </c>
      <c r="D14" s="4" t="str">
        <f t="shared" ca="1" si="0"/>
        <v>=C13+C12</v>
      </c>
    </row>
    <row r="16" spans="1:17" x14ac:dyDescent="0.25">
      <c r="B16" s="4" t="s">
        <v>300</v>
      </c>
      <c r="C16" s="23">
        <f>-C5*((1-(1+C10)^-(C11-1))/C10)-C5</f>
        <v>-935288.9522521724</v>
      </c>
      <c r="D16" s="4" t="str">
        <f ca="1">_xlfn.IFNA(_xlfn.FORMULATEXT(C16),"")</f>
        <v>=-C5*((1-(1+C10)^-(C11-1))/C10)-C5</v>
      </c>
    </row>
    <row r="18" spans="7:7" x14ac:dyDescent="0.25">
      <c r="G18" s="1"/>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6758E-A401-405C-80BF-22A5E9A1AB94}">
  <sheetPr>
    <tabColor rgb="FF0000FF"/>
  </sheetPr>
  <dimension ref="A1:Q23"/>
  <sheetViews>
    <sheetView showGridLines="0" zoomScale="145" zoomScaleNormal="145" workbookViewId="0"/>
  </sheetViews>
  <sheetFormatPr defaultColWidth="8.85546875" defaultRowHeight="15" x14ac:dyDescent="0.25"/>
  <cols>
    <col min="1" max="1" width="4.85546875" bestFit="1" customWidth="1"/>
    <col min="2" max="2" width="40.140625" customWidth="1"/>
    <col min="3" max="3" width="15.140625" customWidth="1"/>
    <col min="4" max="4" width="48.28515625" customWidth="1"/>
    <col min="5" max="5" width="17.28515625" bestFit="1" customWidth="1"/>
    <col min="6" max="6" width="13.140625" customWidth="1"/>
    <col min="7" max="7" width="3" customWidth="1"/>
  </cols>
  <sheetData>
    <row r="1" spans="1:17" ht="4.5" customHeight="1" x14ac:dyDescent="0.25"/>
    <row r="2" spans="1:17" x14ac:dyDescent="0.25">
      <c r="A2" s="1"/>
      <c r="B2" s="16" t="s">
        <v>385</v>
      </c>
      <c r="C2" s="17"/>
      <c r="D2" s="18"/>
    </row>
    <row r="3" spans="1:17" ht="4.5" customHeight="1" x14ac:dyDescent="0.25"/>
    <row r="4" spans="1:17" x14ac:dyDescent="0.25">
      <c r="P4" t="s">
        <v>284</v>
      </c>
      <c r="Q4">
        <v>365</v>
      </c>
    </row>
    <row r="5" spans="1:17" x14ac:dyDescent="0.25">
      <c r="P5" t="s">
        <v>285</v>
      </c>
      <c r="Q5">
        <v>12</v>
      </c>
    </row>
    <row r="7" spans="1:17" x14ac:dyDescent="0.25">
      <c r="A7" s="1"/>
    </row>
    <row r="8" spans="1:17" x14ac:dyDescent="0.25">
      <c r="P8" t="s">
        <v>286</v>
      </c>
      <c r="Q8">
        <v>4</v>
      </c>
    </row>
    <row r="9" spans="1:17" x14ac:dyDescent="0.25">
      <c r="P9" t="s">
        <v>287</v>
      </c>
      <c r="Q9">
        <v>1</v>
      </c>
    </row>
    <row r="15" spans="1:17" ht="15" customHeight="1" x14ac:dyDescent="0.25"/>
    <row r="23" ht="4.5" customHeight="1" x14ac:dyDescent="0.25"/>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5976B-D639-459F-9CFD-3828B1862776}">
  <sheetPr>
    <tabColor rgb="FFFF0000"/>
  </sheetPr>
  <dimension ref="A1:Q16"/>
  <sheetViews>
    <sheetView showGridLines="0" zoomScale="145" zoomScaleNormal="145" workbookViewId="0"/>
  </sheetViews>
  <sheetFormatPr defaultColWidth="8.85546875" defaultRowHeight="15" x14ac:dyDescent="0.25"/>
  <cols>
    <col min="1" max="1" width="4.85546875" bestFit="1" customWidth="1"/>
    <col min="2" max="2" width="40.140625" customWidth="1"/>
    <col min="3" max="3" width="15.140625" customWidth="1"/>
    <col min="4" max="4" width="48.28515625" customWidth="1"/>
    <col min="5" max="5" width="17.28515625" bestFit="1" customWidth="1"/>
    <col min="6" max="6" width="13.140625" customWidth="1"/>
    <col min="7" max="7" width="3" customWidth="1"/>
  </cols>
  <sheetData>
    <row r="1" spans="1:17" ht="4.5" customHeight="1" x14ac:dyDescent="0.25"/>
    <row r="2" spans="1:17" x14ac:dyDescent="0.25">
      <c r="A2" s="1"/>
      <c r="B2" s="16" t="str">
        <f>"What is the monthly payment for a "&amp;C8&amp;"-year, $"&amp;FIXED(C5,0)&amp;" car loan with a $"&amp;FIXED(C6,0)&amp;" balloon payment and a "&amp;TEXT(C7,"0.00%")&amp;" APR?"</f>
        <v>What is the monthly payment for a 5-year, $40,000 car loan with a $10,000 balloon payment and a 3.75% APR?</v>
      </c>
      <c r="C2" s="17"/>
      <c r="D2" s="18"/>
    </row>
    <row r="3" spans="1:17" ht="4.5" customHeight="1" x14ac:dyDescent="0.25"/>
    <row r="4" spans="1:17" x14ac:dyDescent="0.25">
      <c r="B4" s="15" t="s">
        <v>280</v>
      </c>
      <c r="C4" s="15" t="s">
        <v>283</v>
      </c>
      <c r="D4" s="15" t="s">
        <v>279</v>
      </c>
      <c r="P4" t="s">
        <v>284</v>
      </c>
      <c r="Q4">
        <v>365</v>
      </c>
    </row>
    <row r="5" spans="1:17" x14ac:dyDescent="0.25">
      <c r="A5" s="1"/>
      <c r="B5" s="5" t="s">
        <v>329</v>
      </c>
      <c r="C5" s="22">
        <v>40000</v>
      </c>
      <c r="D5" s="4" t="str">
        <f ca="1">_xlfn.IFNA(_xlfn.FORMULATEXT(C5),"")</f>
        <v/>
      </c>
    </row>
    <row r="6" spans="1:17" x14ac:dyDescent="0.25">
      <c r="B6" s="35" t="s">
        <v>334</v>
      </c>
      <c r="C6" s="22">
        <v>10000</v>
      </c>
      <c r="D6" s="4" t="str">
        <f t="shared" ref="D6:D12" ca="1" si="0">_xlfn.IFNA(_xlfn.FORMULATEXT(C6),"")</f>
        <v/>
      </c>
      <c r="P6" t="s">
        <v>286</v>
      </c>
      <c r="Q6">
        <v>4</v>
      </c>
    </row>
    <row r="7" spans="1:17" x14ac:dyDescent="0.25">
      <c r="B7" s="5" t="s">
        <v>277</v>
      </c>
      <c r="C7" s="21">
        <v>3.7499999999999999E-2</v>
      </c>
      <c r="D7" s="4" t="str">
        <f t="shared" ca="1" si="0"/>
        <v/>
      </c>
      <c r="P7" t="s">
        <v>287</v>
      </c>
      <c r="Q7">
        <v>1</v>
      </c>
    </row>
    <row r="8" spans="1:17" x14ac:dyDescent="0.25">
      <c r="B8" s="5" t="s">
        <v>278</v>
      </c>
      <c r="C8" s="19">
        <v>5</v>
      </c>
      <c r="D8" s="4" t="str">
        <f t="shared" ca="1" si="0"/>
        <v/>
      </c>
    </row>
    <row r="9" spans="1:17" x14ac:dyDescent="0.25">
      <c r="B9" s="5" t="s">
        <v>270</v>
      </c>
      <c r="C9" s="19">
        <v>12</v>
      </c>
      <c r="D9" s="4" t="str">
        <f t="shared" ca="1" si="0"/>
        <v/>
      </c>
    </row>
    <row r="10" spans="1:17" x14ac:dyDescent="0.25">
      <c r="B10" s="5" t="s">
        <v>314</v>
      </c>
      <c r="C10" s="19"/>
      <c r="D10" s="4" t="str">
        <f t="shared" ca="1" si="0"/>
        <v/>
      </c>
    </row>
    <row r="11" spans="1:17" x14ac:dyDescent="0.25">
      <c r="B11" s="5" t="s">
        <v>281</v>
      </c>
      <c r="C11" s="20">
        <f>C7/C9</f>
        <v>3.1249999999999997E-3</v>
      </c>
      <c r="D11" s="4" t="str">
        <f t="shared" ca="1" si="0"/>
        <v>=C7/C9</v>
      </c>
    </row>
    <row r="12" spans="1:17" x14ac:dyDescent="0.25">
      <c r="B12" s="5" t="s">
        <v>282</v>
      </c>
      <c r="C12" s="20">
        <f>C9*C8</f>
        <v>60</v>
      </c>
      <c r="D12" s="4" t="str">
        <f t="shared" ca="1" si="0"/>
        <v>=C9*C8</v>
      </c>
    </row>
    <row r="13" spans="1:17" ht="15" customHeight="1" x14ac:dyDescent="0.25">
      <c r="B13" s="5" t="s">
        <v>333</v>
      </c>
      <c r="C13" s="23">
        <f>PMT(C11,C12,C5,-C6)</f>
        <v>-580.36754983640026</v>
      </c>
      <c r="D13" s="4" t="str">
        <f ca="1">_xlfn.IFNA(_xlfn.FORMULATEXT(C13),"")</f>
        <v>=PMT(C11,C12,C5,-C6)</v>
      </c>
    </row>
    <row r="15" spans="1:17" ht="4.5" customHeight="1" x14ac:dyDescent="0.25"/>
    <row r="16" spans="1:17" x14ac:dyDescent="0.25">
      <c r="B16" s="4" t="s">
        <v>302</v>
      </c>
      <c r="C16" s="31">
        <f>C5/((1-(1+C11)^-C12)/C11)-C6/(((1+C11)^C12-1)/C11)</f>
        <v>580.36754983639287</v>
      </c>
      <c r="D16" s="4" t="str">
        <f ca="1">_xlfn.IFNA(_xlfn.FORMULATEXT(C16),"")</f>
        <v>=C5/((1-(1+C11)^-C12)/C11)-C6/(((1+C11)^C12-1)/C11)</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9D849-B4D2-441E-82BB-9C11A59BFD19}">
  <sheetPr>
    <tabColor rgb="FF0000FF"/>
  </sheetPr>
  <dimension ref="A1:F21"/>
  <sheetViews>
    <sheetView showGridLines="0" zoomScale="160" zoomScaleNormal="160" workbookViewId="0"/>
  </sheetViews>
  <sheetFormatPr defaultColWidth="8.85546875" defaultRowHeight="15" x14ac:dyDescent="0.25"/>
  <cols>
    <col min="1" max="1" width="4.85546875" bestFit="1" customWidth="1"/>
    <col min="2" max="2" width="40.140625" customWidth="1"/>
    <col min="3" max="3" width="15.140625" customWidth="1"/>
    <col min="4" max="4" width="32.85546875" customWidth="1"/>
    <col min="5" max="5" width="17.28515625" bestFit="1" customWidth="1"/>
    <col min="6" max="6" width="26.140625" customWidth="1"/>
    <col min="7" max="7" width="3" customWidth="1"/>
  </cols>
  <sheetData>
    <row r="1" spans="1:6" ht="4.5" customHeight="1" x14ac:dyDescent="0.25"/>
    <row r="2" spans="1:6" x14ac:dyDescent="0.25">
      <c r="A2" s="1"/>
      <c r="B2" s="16" t="s">
        <v>402</v>
      </c>
      <c r="C2" s="17"/>
      <c r="D2" s="17"/>
      <c r="E2" s="17"/>
      <c r="F2" s="18"/>
    </row>
    <row r="3" spans="1:6" ht="4.5" customHeight="1" x14ac:dyDescent="0.25"/>
    <row r="12" spans="1:6" ht="15" customHeight="1" x14ac:dyDescent="0.25"/>
    <row r="21" ht="6.75" customHeight="1" x14ac:dyDescent="0.25"/>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82423-4788-44A3-953A-25D069DF6DD6}">
  <sheetPr>
    <tabColor rgb="FFFF0000"/>
  </sheetPr>
  <dimension ref="A1:Q26"/>
  <sheetViews>
    <sheetView showGridLines="0" zoomScale="160" zoomScaleNormal="160" workbookViewId="0"/>
  </sheetViews>
  <sheetFormatPr defaultColWidth="8.85546875" defaultRowHeight="15" x14ac:dyDescent="0.25"/>
  <cols>
    <col min="1" max="1" width="4.85546875" bestFit="1" customWidth="1"/>
    <col min="2" max="2" width="40.140625" customWidth="1"/>
    <col min="3" max="3" width="15.140625" customWidth="1"/>
    <col min="4" max="4" width="32.85546875" customWidth="1"/>
    <col min="5" max="5" width="17.28515625" bestFit="1" customWidth="1"/>
    <col min="6" max="6" width="26.140625" customWidth="1"/>
    <col min="7" max="7" width="3" customWidth="1"/>
  </cols>
  <sheetData>
    <row r="1" spans="1:17" ht="4.5" customHeight="1" x14ac:dyDescent="0.25"/>
    <row r="2" spans="1:17" x14ac:dyDescent="0.25">
      <c r="A2" s="1"/>
      <c r="B2" s="16" t="s">
        <v>402</v>
      </c>
      <c r="C2" s="17"/>
      <c r="D2" s="17"/>
      <c r="E2" s="17"/>
      <c r="F2" s="18"/>
    </row>
    <row r="3" spans="1:17" ht="4.5" customHeight="1" x14ac:dyDescent="0.25"/>
    <row r="4" spans="1:17" x14ac:dyDescent="0.25">
      <c r="B4" s="15" t="s">
        <v>280</v>
      </c>
      <c r="C4" s="15" t="s">
        <v>283</v>
      </c>
      <c r="D4" s="15" t="s">
        <v>279</v>
      </c>
      <c r="P4" t="s">
        <v>284</v>
      </c>
      <c r="Q4">
        <v>365</v>
      </c>
    </row>
    <row r="5" spans="1:17" x14ac:dyDescent="0.25">
      <c r="B5" s="5" t="s">
        <v>337</v>
      </c>
      <c r="C5" s="22">
        <v>5000</v>
      </c>
      <c r="D5" s="4" t="str">
        <f t="shared" ref="D5:D11" ca="1" si="0">_xlfn.IFNA(_xlfn.FORMULATEXT(C5),"")</f>
        <v/>
      </c>
      <c r="P5" t="s">
        <v>285</v>
      </c>
      <c r="Q5">
        <v>12</v>
      </c>
    </row>
    <row r="6" spans="1:17" x14ac:dyDescent="0.25">
      <c r="B6" s="5" t="s">
        <v>277</v>
      </c>
      <c r="C6" s="21">
        <v>0.16750000000000001</v>
      </c>
      <c r="D6" s="4" t="str">
        <f t="shared" ca="1" si="0"/>
        <v/>
      </c>
      <c r="P6" t="s">
        <v>286</v>
      </c>
      <c r="Q6">
        <v>4</v>
      </c>
    </row>
    <row r="7" spans="1:17" x14ac:dyDescent="0.25">
      <c r="B7" s="5" t="s">
        <v>270</v>
      </c>
      <c r="C7" s="19">
        <v>12</v>
      </c>
      <c r="D7" s="4" t="str">
        <f t="shared" ca="1" si="0"/>
        <v/>
      </c>
    </row>
    <row r="8" spans="1:17" x14ac:dyDescent="0.25">
      <c r="B8" s="5" t="s">
        <v>336</v>
      </c>
      <c r="C8" s="22">
        <v>75</v>
      </c>
      <c r="D8" s="4"/>
    </row>
    <row r="9" spans="1:17" x14ac:dyDescent="0.25">
      <c r="B9" s="5" t="s">
        <v>314</v>
      </c>
      <c r="C9" s="19"/>
      <c r="D9" s="4" t="str">
        <f t="shared" ca="1" si="0"/>
        <v/>
      </c>
    </row>
    <row r="10" spans="1:17" x14ac:dyDescent="0.25">
      <c r="B10" s="5" t="s">
        <v>281</v>
      </c>
      <c r="C10" s="20">
        <f>C6/C7</f>
        <v>1.3958333333333335E-2</v>
      </c>
      <c r="D10" s="4" t="str">
        <f t="shared" ca="1" si="0"/>
        <v>=C6/C7</v>
      </c>
    </row>
    <row r="11" spans="1:17" x14ac:dyDescent="0.25">
      <c r="B11" s="5" t="s">
        <v>282</v>
      </c>
      <c r="C11" s="20">
        <f>NPER(C10,-C8,C5)</f>
        <v>192.41553890629751</v>
      </c>
      <c r="D11" s="4" t="str">
        <f t="shared" ca="1" si="0"/>
        <v>=NPER(C10,-C8,C5)</v>
      </c>
    </row>
    <row r="12" spans="1:17" ht="15" customHeight="1" x14ac:dyDescent="0.25">
      <c r="B12" s="5" t="s">
        <v>278</v>
      </c>
      <c r="C12" s="20">
        <f>C11/C7</f>
        <v>16.034628242191459</v>
      </c>
      <c r="D12" s="4" t="str">
        <f ca="1">_xlfn.IFNA(_xlfn.FORMULATEXT(C12),"")</f>
        <v>=C11/C7</v>
      </c>
    </row>
    <row r="14" spans="1:17" x14ac:dyDescent="0.25">
      <c r="B14" s="4" t="s">
        <v>371</v>
      </c>
      <c r="C14" s="20">
        <f>LOG(-(1/(C5/C8*C10-1)),1+C10)</f>
        <v>192.41553890629763</v>
      </c>
      <c r="D14" s="4" t="str">
        <f ca="1">_xlfn.IFNA(_xlfn.FORMULATEXT(C14),"")</f>
        <v>=LOG(-(1/(C5/C8*C10-1)),1+C10)</v>
      </c>
    </row>
    <row r="26" spans="5:5" x14ac:dyDescent="0.25">
      <c r="E26" s="55"/>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B6AB4-E832-461F-A52D-5C42BD53C04D}">
  <sheetPr>
    <tabColor rgb="FF0000FF"/>
  </sheetPr>
  <dimension ref="A1:F3"/>
  <sheetViews>
    <sheetView showGridLines="0" zoomScale="130" zoomScaleNormal="130" workbookViewId="0"/>
  </sheetViews>
  <sheetFormatPr defaultColWidth="8.85546875" defaultRowHeight="15" x14ac:dyDescent="0.25"/>
  <cols>
    <col min="1" max="1" width="6" bestFit="1" customWidth="1"/>
    <col min="2" max="2" width="36" customWidth="1"/>
    <col min="3" max="3" width="19.42578125" customWidth="1"/>
    <col min="4" max="4" width="21" customWidth="1"/>
    <col min="5" max="5" width="27.42578125" customWidth="1"/>
    <col min="6" max="6" width="12.7109375" bestFit="1" customWidth="1"/>
    <col min="7" max="7" width="16.42578125" customWidth="1"/>
    <col min="8" max="8" width="28.85546875" bestFit="1" customWidth="1"/>
  </cols>
  <sheetData>
    <row r="1" spans="1:6" ht="6" customHeight="1" x14ac:dyDescent="0.25"/>
    <row r="2" spans="1:6" ht="30" x14ac:dyDescent="0.25">
      <c r="A2" s="1"/>
      <c r="B2" s="65" t="s">
        <v>403</v>
      </c>
      <c r="C2" s="66"/>
      <c r="D2" s="66"/>
      <c r="E2" s="67"/>
      <c r="F2" s="68"/>
    </row>
    <row r="3" spans="1:6" ht="6" customHeight="1" x14ac:dyDescent="0.25"/>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B012E-93C0-4320-AF93-F7BFCBCA3D30}">
  <sheetPr>
    <tabColor rgb="FFFF0000"/>
  </sheetPr>
  <dimension ref="A1:G19"/>
  <sheetViews>
    <sheetView showGridLines="0" zoomScale="130" zoomScaleNormal="130" workbookViewId="0"/>
  </sheetViews>
  <sheetFormatPr defaultColWidth="8.85546875" defaultRowHeight="15" x14ac:dyDescent="0.25"/>
  <cols>
    <col min="1" max="1" width="6" bestFit="1" customWidth="1"/>
    <col min="2" max="2" width="36" customWidth="1"/>
    <col min="3" max="3" width="19.42578125" customWidth="1"/>
    <col min="4" max="4" width="21" customWidth="1"/>
    <col min="5" max="5" width="27.42578125" customWidth="1"/>
    <col min="6" max="6" width="12.7109375" bestFit="1" customWidth="1"/>
    <col min="7" max="7" width="31.42578125" customWidth="1"/>
    <col min="8" max="8" width="28.85546875" bestFit="1" customWidth="1"/>
  </cols>
  <sheetData>
    <row r="1" spans="1:7" ht="6" customHeight="1" x14ac:dyDescent="0.25"/>
    <row r="2" spans="1:7" ht="30" x14ac:dyDescent="0.25">
      <c r="A2" s="1"/>
      <c r="B2" s="65" t="s">
        <v>403</v>
      </c>
      <c r="C2" s="66"/>
      <c r="D2" s="66"/>
      <c r="E2" s="67"/>
      <c r="F2" s="68"/>
    </row>
    <row r="3" spans="1:7" ht="6" customHeight="1" x14ac:dyDescent="0.25"/>
    <row r="4" spans="1:7" x14ac:dyDescent="0.25">
      <c r="B4" s="27" t="s">
        <v>280</v>
      </c>
      <c r="C4" s="27" t="s">
        <v>283</v>
      </c>
    </row>
    <row r="5" spans="1:7" x14ac:dyDescent="0.25">
      <c r="B5" s="4" t="s">
        <v>368</v>
      </c>
      <c r="C5" s="4" t="s">
        <v>369</v>
      </c>
      <c r="D5" s="50"/>
      <c r="E5" s="50"/>
    </row>
    <row r="6" spans="1:7" x14ac:dyDescent="0.25">
      <c r="B6" s="4" t="s">
        <v>370</v>
      </c>
      <c r="C6" s="4">
        <v>0.17</v>
      </c>
      <c r="D6" s="50"/>
      <c r="E6" s="50"/>
    </row>
    <row r="7" spans="1:7" x14ac:dyDescent="0.25">
      <c r="B7" s="4" t="s">
        <v>361</v>
      </c>
      <c r="C7" s="4" t="s">
        <v>357</v>
      </c>
      <c r="D7" s="50"/>
      <c r="E7" s="50"/>
    </row>
    <row r="8" spans="1:7" x14ac:dyDescent="0.25">
      <c r="B8" s="4" t="s">
        <v>367</v>
      </c>
      <c r="C8" s="48">
        <v>310000</v>
      </c>
      <c r="D8" s="52"/>
      <c r="E8" s="52"/>
    </row>
    <row r="9" spans="1:7" x14ac:dyDescent="0.25">
      <c r="B9" s="33" t="s">
        <v>362</v>
      </c>
      <c r="C9" s="4"/>
      <c r="D9" s="52"/>
      <c r="E9" s="52"/>
      <c r="F9" s="27" t="s">
        <v>366</v>
      </c>
      <c r="G9" s="27" t="s">
        <v>279</v>
      </c>
    </row>
    <row r="10" spans="1:7" x14ac:dyDescent="0.25">
      <c r="B10" s="4" t="s">
        <v>356</v>
      </c>
      <c r="C10" s="48">
        <v>90000</v>
      </c>
      <c r="D10" s="52"/>
      <c r="E10" s="52"/>
      <c r="F10" s="48">
        <f>PV($C$6,ROWS(F$10:F10),,C10)</f>
        <v>-76923.076923076922</v>
      </c>
      <c r="G10" s="4" t="str">
        <f ca="1">_xlfn.IFNA(_xlfn.FORMULATEXT(F10),"")</f>
        <v>=PV($C$6,ROWS(F$10:F10),,C10)</v>
      </c>
    </row>
    <row r="11" spans="1:7" x14ac:dyDescent="0.25">
      <c r="B11" s="4" t="s">
        <v>358</v>
      </c>
      <c r="C11" s="48">
        <v>100000</v>
      </c>
      <c r="D11" s="52"/>
      <c r="E11" s="52"/>
      <c r="F11" s="48">
        <f>PV($C$6,ROWS(F$10:F11),,C11)</f>
        <v>-73051.355102637172</v>
      </c>
      <c r="G11" s="4" t="str">
        <f t="shared" ref="G11:G15" ca="1" si="0">_xlfn.IFNA(_xlfn.FORMULATEXT(F11),"")</f>
        <v>=PV($C$6,ROWS(F$10:F11),,C11)</v>
      </c>
    </row>
    <row r="12" spans="1:7" x14ac:dyDescent="0.25">
      <c r="B12" s="4" t="s">
        <v>359</v>
      </c>
      <c r="C12" s="48">
        <v>90000</v>
      </c>
      <c r="D12" s="52"/>
      <c r="E12" s="52"/>
      <c r="F12" s="48">
        <f>PV($C$6,ROWS(F$10:F12),,C12)</f>
        <v>-56193.350078951669</v>
      </c>
      <c r="G12" s="4" t="str">
        <f t="shared" ca="1" si="0"/>
        <v>=PV($C$6,ROWS(F$10:F12),,C12)</v>
      </c>
    </row>
    <row r="13" spans="1:7" x14ac:dyDescent="0.25">
      <c r="B13" s="4" t="s">
        <v>363</v>
      </c>
      <c r="C13" s="48">
        <v>80000</v>
      </c>
      <c r="D13" s="52"/>
      <c r="E13" s="52"/>
      <c r="F13" s="48">
        <f>PV($C$6,ROWS(F$10:F13),,C13)</f>
        <v>-42692.003858652744</v>
      </c>
      <c r="G13" s="4" t="str">
        <f t="shared" ca="1" si="0"/>
        <v>=PV($C$6,ROWS(F$10:F13),,C13)</v>
      </c>
    </row>
    <row r="14" spans="1:7" x14ac:dyDescent="0.25">
      <c r="B14" s="4" t="s">
        <v>364</v>
      </c>
      <c r="C14" s="48">
        <v>125000</v>
      </c>
      <c r="D14" s="52"/>
      <c r="E14" s="52"/>
      <c r="F14" s="48">
        <f>PV($C$6,ROWS(F$10:F14),,C14)</f>
        <v>-57013.894042004205</v>
      </c>
      <c r="G14" s="4" t="str">
        <f t="shared" ca="1" si="0"/>
        <v>=PV($C$6,ROWS(F$10:F14),,C14)</v>
      </c>
    </row>
    <row r="15" spans="1:7" x14ac:dyDescent="0.25">
      <c r="B15" s="4" t="s">
        <v>365</v>
      </c>
      <c r="C15" s="49">
        <f>NPV(C6,C10:C14)</f>
        <v>305873.68000532268</v>
      </c>
      <c r="D15" s="51" t="str">
        <f ca="1">_xlfn.IFNA(_xlfn.FORMULATEXT(C15),"")</f>
        <v>=NPV(C6,C10:C14)</v>
      </c>
      <c r="E15" s="50"/>
      <c r="F15" s="48">
        <f>SUM(F10:F14)</f>
        <v>-305873.68000532273</v>
      </c>
      <c r="G15" s="4" t="str">
        <f t="shared" ca="1" si="0"/>
        <v>=SUM(F10:F14)</v>
      </c>
    </row>
    <row r="16" spans="1:7" x14ac:dyDescent="0.25">
      <c r="B16" s="4" t="s">
        <v>360</v>
      </c>
      <c r="C16" s="49">
        <f>C15-C8</f>
        <v>-4126.3199946773238</v>
      </c>
      <c r="D16" s="51" t="str">
        <f ca="1">_xlfn.IFNA(_xlfn.FORMULATEXT(C16),"")</f>
        <v>=C15-C8</v>
      </c>
      <c r="E16" s="50"/>
    </row>
    <row r="17" spans="2:7" x14ac:dyDescent="0.25">
      <c r="G17" t="str">
        <f t="shared" ref="G17:G19" ca="1" si="1">_xlfn.IFNA(_xlfn.FORMULATEXT(F17),"")</f>
        <v/>
      </c>
    </row>
    <row r="18" spans="2:7" ht="30" x14ac:dyDescent="0.25">
      <c r="B18" s="4" t="s">
        <v>372</v>
      </c>
      <c r="C18" s="23" cm="1">
        <f t="array" ref="C18">SUM(C10:C14/(1+C6)^RIGHT(B10:B14))</f>
        <v>305873.68000532273</v>
      </c>
      <c r="D18" s="5" t="str">
        <f ca="1">_xlfn.IFNA(_xlfn.FORMULATEXT(C18),"")</f>
        <v>=SUM(C10:C14/(1+C6)^RIGHT(B10:B14))</v>
      </c>
    </row>
    <row r="19" spans="2:7" x14ac:dyDescent="0.25">
      <c r="G19" t="str">
        <f t="shared" ca="1" si="1"/>
        <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80F6B-9E91-44DE-A4FA-165FD17B249C}">
  <sheetPr>
    <tabColor rgb="FF0000FF"/>
  </sheetPr>
  <dimension ref="A1:F3"/>
  <sheetViews>
    <sheetView showGridLines="0" zoomScale="145" zoomScaleNormal="145" workbookViewId="0"/>
  </sheetViews>
  <sheetFormatPr defaultColWidth="8.85546875" defaultRowHeight="15" x14ac:dyDescent="0.25"/>
  <cols>
    <col min="1" max="1" width="6" bestFit="1" customWidth="1"/>
    <col min="2" max="2" width="30.7109375" customWidth="1"/>
    <col min="3" max="3" width="19.42578125" customWidth="1"/>
    <col min="4" max="4" width="38" customWidth="1"/>
    <col min="5" max="6" width="9.28515625" customWidth="1"/>
    <col min="7" max="7" width="18.28515625" customWidth="1"/>
    <col min="8" max="8" width="30.7109375" customWidth="1"/>
  </cols>
  <sheetData>
    <row r="1" spans="1:6" ht="6" customHeight="1" x14ac:dyDescent="0.25"/>
    <row r="2" spans="1:6" ht="45" x14ac:dyDescent="0.25">
      <c r="A2" s="1"/>
      <c r="B2" s="65" t="s">
        <v>404</v>
      </c>
      <c r="C2" s="66"/>
      <c r="D2" s="66"/>
      <c r="E2" s="67"/>
      <c r="F2" s="68"/>
    </row>
    <row r="3" spans="1:6" ht="6" customHeight="1" x14ac:dyDescent="0.25"/>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4B4DC-2350-4562-9637-33420F211829}">
  <sheetPr>
    <tabColor rgb="FFFF0000"/>
  </sheetPr>
  <dimension ref="A1:H19"/>
  <sheetViews>
    <sheetView showGridLines="0" zoomScale="145" zoomScaleNormal="145" workbookViewId="0"/>
  </sheetViews>
  <sheetFormatPr defaultColWidth="8.85546875" defaultRowHeight="15" x14ac:dyDescent="0.25"/>
  <cols>
    <col min="1" max="1" width="6" bestFit="1" customWidth="1"/>
    <col min="2" max="2" width="30.7109375" customWidth="1"/>
    <col min="3" max="3" width="19.42578125" customWidth="1"/>
    <col min="4" max="4" width="38" customWidth="1"/>
    <col min="5" max="6" width="9.28515625" customWidth="1"/>
    <col min="7" max="7" width="16.42578125" customWidth="1"/>
    <col min="8" max="8" width="30.7109375" customWidth="1"/>
  </cols>
  <sheetData>
    <row r="1" spans="1:8" ht="6" customHeight="1" x14ac:dyDescent="0.25"/>
    <row r="2" spans="1:8" ht="45" x14ac:dyDescent="0.25">
      <c r="A2" s="1"/>
      <c r="B2" s="65" t="s">
        <v>404</v>
      </c>
      <c r="C2" s="66"/>
      <c r="D2" s="66"/>
      <c r="E2" s="67"/>
      <c r="F2" s="68"/>
    </row>
    <row r="3" spans="1:8" ht="6" customHeight="1" x14ac:dyDescent="0.25"/>
    <row r="4" spans="1:8" x14ac:dyDescent="0.25">
      <c r="B4" s="27" t="s">
        <v>280</v>
      </c>
      <c r="C4" s="27" t="s">
        <v>283</v>
      </c>
    </row>
    <row r="5" spans="1:8" x14ac:dyDescent="0.25">
      <c r="B5" s="4" t="s">
        <v>368</v>
      </c>
      <c r="C5" s="4" t="s">
        <v>369</v>
      </c>
      <c r="D5" s="50"/>
      <c r="E5" s="50"/>
    </row>
    <row r="6" spans="1:8" x14ac:dyDescent="0.25">
      <c r="B6" s="4" t="s">
        <v>370</v>
      </c>
      <c r="C6" s="4">
        <v>0.17</v>
      </c>
      <c r="D6" s="50"/>
      <c r="E6" s="50"/>
    </row>
    <row r="7" spans="1:8" x14ac:dyDescent="0.25">
      <c r="B7" s="33" t="s">
        <v>362</v>
      </c>
      <c r="C7" s="4"/>
      <c r="D7" s="52"/>
      <c r="E7" s="52"/>
    </row>
    <row r="8" spans="1:8" x14ac:dyDescent="0.25">
      <c r="B8" s="27" t="s">
        <v>373</v>
      </c>
      <c r="C8" s="27" t="s">
        <v>351</v>
      </c>
      <c r="D8" s="52"/>
      <c r="E8" s="52"/>
      <c r="G8" s="27" t="s">
        <v>366</v>
      </c>
      <c r="H8" s="27" t="s">
        <v>279</v>
      </c>
    </row>
    <row r="9" spans="1:8" x14ac:dyDescent="0.25">
      <c r="B9" s="53">
        <v>44713</v>
      </c>
      <c r="C9" s="48">
        <f>-'PPCh21(7an)'!C8</f>
        <v>-310000</v>
      </c>
      <c r="D9" s="52"/>
      <c r="G9" s="4">
        <f>C9/(1+$C$6)^((B9-$B$9)/365)</f>
        <v>-310000</v>
      </c>
      <c r="H9" s="4" t="str">
        <f ca="1">_xlfn.IFNA(_xlfn.FORMULATEXT(G9),"")</f>
        <v>=C9/(1+$C$6)^((B9-$B$9)/365)</v>
      </c>
    </row>
    <row r="10" spans="1:8" x14ac:dyDescent="0.25">
      <c r="B10" s="53">
        <f>EDATE(B9,9)</f>
        <v>44986</v>
      </c>
      <c r="C10" s="48">
        <f>'PPCh21(7an)'!C10</f>
        <v>90000</v>
      </c>
      <c r="D10" s="52"/>
      <c r="G10" s="4">
        <f t="shared" ref="G10:G14" si="0">C10/(1+$C$6)^((B10-$B$9)/365)</f>
        <v>80028.231739624418</v>
      </c>
      <c r="H10" s="4" t="str">
        <f t="shared" ref="H10:H15" ca="1" si="1">_xlfn.IFNA(_xlfn.FORMULATEXT(G10),"")</f>
        <v>=C10/(1+$C$6)^((B10-$B$9)/365)</v>
      </c>
    </row>
    <row r="11" spans="1:8" x14ac:dyDescent="0.25">
      <c r="B11" s="53">
        <f>EDATE(B10,12)</f>
        <v>45352</v>
      </c>
      <c r="C11" s="48">
        <f>'PPCh21(7an)'!C11</f>
        <v>100000</v>
      </c>
      <c r="D11" s="52"/>
      <c r="G11" s="4">
        <f t="shared" si="0"/>
        <v>75967.535819444383</v>
      </c>
      <c r="H11" s="4" t="str">
        <f t="shared" ca="1" si="1"/>
        <v>=C11/(1+$C$6)^((B11-$B$9)/365)</v>
      </c>
    </row>
    <row r="12" spans="1:8" x14ac:dyDescent="0.25">
      <c r="B12" s="53">
        <f>EDATE(B11,14)</f>
        <v>45778</v>
      </c>
      <c r="C12" s="48">
        <f>'PPCh21(7an)'!C12</f>
        <v>90000</v>
      </c>
      <c r="D12" s="52"/>
      <c r="G12" s="4">
        <f t="shared" si="0"/>
        <v>56923.191502229318</v>
      </c>
      <c r="H12" s="4" t="str">
        <f t="shared" ca="1" si="1"/>
        <v>=C12/(1+$C$6)^((B12-$B$9)/365)</v>
      </c>
    </row>
    <row r="13" spans="1:8" x14ac:dyDescent="0.25">
      <c r="B13" s="53">
        <f>EDATE(B12,14)</f>
        <v>46204</v>
      </c>
      <c r="C13" s="48">
        <f>'PPCh21(7an)'!C13</f>
        <v>80000</v>
      </c>
      <c r="D13" s="52"/>
      <c r="G13" s="4">
        <f t="shared" si="0"/>
        <v>42126.50329094995</v>
      </c>
      <c r="H13" s="4" t="str">
        <f t="shared" ca="1" si="1"/>
        <v>=C13/(1+$C$6)^((B13-$B$9)/365)</v>
      </c>
    </row>
    <row r="14" spans="1:8" x14ac:dyDescent="0.25">
      <c r="B14" s="53">
        <f>EDATE(B13,24)</f>
        <v>46935</v>
      </c>
      <c r="C14" s="48">
        <f>'PPCh21(7an)'!C14</f>
        <v>125000</v>
      </c>
      <c r="D14" s="52"/>
      <c r="G14" s="4">
        <f t="shared" si="0"/>
        <v>48063.667209776373</v>
      </c>
      <c r="H14" s="4" t="str">
        <f t="shared" ca="1" si="1"/>
        <v>=C14/(1+$C$6)^((B14-$B$9)/365)</v>
      </c>
    </row>
    <row r="15" spans="1:8" x14ac:dyDescent="0.25">
      <c r="B15" s="4" t="s">
        <v>360</v>
      </c>
      <c r="C15" s="49">
        <f>XNPV(C6,C9:C14,B9:B14)</f>
        <v>-6890.8704379755654</v>
      </c>
      <c r="D15" s="51" t="str">
        <f ca="1">_xlfn.IFNA(_xlfn.FORMULATEXT(C15),"")</f>
        <v>=XNPV(C6,C9:C14,B9:B14)</v>
      </c>
      <c r="G15">
        <f>SUM(G9:G14)</f>
        <v>-6890.8704379755654</v>
      </c>
      <c r="H15" s="4" t="str">
        <f t="shared" ca="1" si="1"/>
        <v>=SUM(G9:G14)</v>
      </c>
    </row>
    <row r="17" spans="2:7" x14ac:dyDescent="0.25">
      <c r="B17" s="4" t="s">
        <v>372</v>
      </c>
      <c r="C17" s="23" cm="1">
        <f t="array" ref="C17">SUM(C9:C14/(1+C6)^((B9:B14-B9)/365))</f>
        <v>-6890.8704379755654</v>
      </c>
      <c r="D17" s="5" t="str">
        <f ca="1">_xlfn.IFNA(_xlfn.FORMULATEXT(C17),"")</f>
        <v>=SUM(C9:C14/(1+C6)^((B9:B14-B9)/365))</v>
      </c>
      <c r="G17" t="str">
        <f t="shared" ref="G17:G19" ca="1" si="2">_xlfn.IFNA(_xlfn.FORMULATEXT(F17),"")</f>
        <v/>
      </c>
    </row>
    <row r="19" spans="2:7" x14ac:dyDescent="0.25">
      <c r="G19" t="str">
        <f t="shared" ca="1" si="2"/>
        <v/>
      </c>
    </row>
  </sheetData>
  <pageMargins left="0.7" right="0.7" top="0.75" bottom="0.75" header="0.3" footer="0.3"/>
  <pageSetup orientation="portrait" r:id="rId1"/>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C6795-8832-4B7F-9049-B280F6F064AF}">
  <sheetPr>
    <tabColor rgb="FF0000FF"/>
  </sheetPr>
  <dimension ref="A1:U382"/>
  <sheetViews>
    <sheetView showGridLines="0" zoomScale="115" zoomScaleNormal="115" workbookViewId="0"/>
  </sheetViews>
  <sheetFormatPr defaultColWidth="8.85546875" defaultRowHeight="15" x14ac:dyDescent="0.25"/>
  <cols>
    <col min="1" max="1" width="4.85546875" bestFit="1" customWidth="1"/>
    <col min="2" max="2" width="33.140625" customWidth="1"/>
    <col min="3" max="3" width="12.140625" customWidth="1"/>
    <col min="4" max="4" width="18" customWidth="1"/>
    <col min="5" max="5" width="17.28515625" bestFit="1" customWidth="1"/>
    <col min="6" max="6" width="13.140625" customWidth="1"/>
    <col min="7" max="7" width="5.7109375" customWidth="1"/>
  </cols>
  <sheetData>
    <row r="1" spans="1:21" ht="4.5" customHeight="1" x14ac:dyDescent="0.25"/>
    <row r="2" spans="1:21" x14ac:dyDescent="0.25">
      <c r="A2" s="1"/>
      <c r="B2" s="16" t="s">
        <v>405</v>
      </c>
      <c r="C2" s="17"/>
      <c r="D2" s="17"/>
      <c r="E2" s="17"/>
      <c r="F2" s="17"/>
      <c r="G2" s="18"/>
    </row>
    <row r="3" spans="1:21" ht="4.5" customHeight="1" x14ac:dyDescent="0.25"/>
    <row r="4" spans="1:21" ht="30" x14ac:dyDescent="0.25">
      <c r="B4" s="15" t="s">
        <v>280</v>
      </c>
      <c r="C4" s="36" t="s">
        <v>283</v>
      </c>
      <c r="D4" s="15" t="s">
        <v>279</v>
      </c>
      <c r="T4" t="s">
        <v>284</v>
      </c>
      <c r="U4">
        <v>365</v>
      </c>
    </row>
    <row r="5" spans="1:21" ht="15" customHeight="1" x14ac:dyDescent="0.25">
      <c r="B5" s="5" t="s">
        <v>327</v>
      </c>
      <c r="C5" s="22">
        <v>525000</v>
      </c>
      <c r="D5" s="4"/>
      <c r="T5" t="s">
        <v>285</v>
      </c>
      <c r="U5">
        <v>12</v>
      </c>
    </row>
    <row r="6" spans="1:21" x14ac:dyDescent="0.25">
      <c r="B6" s="5" t="s">
        <v>277</v>
      </c>
      <c r="C6" s="21">
        <v>0.04</v>
      </c>
      <c r="D6" s="4"/>
      <c r="T6" t="s">
        <v>286</v>
      </c>
      <c r="U6">
        <v>4</v>
      </c>
    </row>
    <row r="7" spans="1:21" x14ac:dyDescent="0.25">
      <c r="B7" s="5" t="s">
        <v>278</v>
      </c>
      <c r="C7" s="19">
        <v>30</v>
      </c>
      <c r="D7" s="4"/>
      <c r="T7" t="s">
        <v>287</v>
      </c>
      <c r="U7">
        <v>1</v>
      </c>
    </row>
    <row r="8" spans="1:21" x14ac:dyDescent="0.25">
      <c r="B8" s="5" t="s">
        <v>270</v>
      </c>
      <c r="C8" s="19">
        <v>12</v>
      </c>
      <c r="D8" s="4"/>
    </row>
    <row r="9" spans="1:21" x14ac:dyDescent="0.25">
      <c r="B9" s="5" t="s">
        <v>314</v>
      </c>
      <c r="C9" s="19"/>
      <c r="D9" s="4"/>
    </row>
    <row r="10" spans="1:21" x14ac:dyDescent="0.25">
      <c r="B10" s="5" t="s">
        <v>281</v>
      </c>
      <c r="C10" s="20"/>
      <c r="D10" s="4" t="str">
        <f ca="1">_xlfn.IFNA(_xlfn.FORMULATEXT(C10),"")</f>
        <v/>
      </c>
    </row>
    <row r="11" spans="1:21" x14ac:dyDescent="0.25">
      <c r="B11" s="5" t="s">
        <v>282</v>
      </c>
      <c r="C11" s="20"/>
      <c r="D11" s="4" t="str">
        <f ca="1">_xlfn.IFNA(_xlfn.FORMULATEXT(C11),"")</f>
        <v/>
      </c>
    </row>
    <row r="12" spans="1:21" ht="15" customHeight="1" x14ac:dyDescent="0.25">
      <c r="B12" s="5" t="s">
        <v>325</v>
      </c>
      <c r="C12" s="23"/>
      <c r="D12" s="4" t="str">
        <f ca="1">_xlfn.IFNA(_xlfn.FORMULATEXT(C12),"")</f>
        <v/>
      </c>
    </row>
    <row r="13" spans="1:21" ht="5.25" customHeight="1" x14ac:dyDescent="0.25"/>
    <row r="14" spans="1:21" ht="5.25" customHeight="1" x14ac:dyDescent="0.25"/>
    <row r="15" spans="1:21" ht="5.25" customHeight="1" x14ac:dyDescent="0.25"/>
    <row r="16" spans="1:21" ht="5.25" customHeight="1" x14ac:dyDescent="0.25"/>
    <row r="17" spans="2:20" ht="5.25" customHeight="1" x14ac:dyDescent="0.25"/>
    <row r="18" spans="2:20" ht="5.25" customHeight="1" x14ac:dyDescent="0.25"/>
    <row r="19" spans="2:20" ht="5.25" customHeight="1" x14ac:dyDescent="0.25"/>
    <row r="20" spans="2:20" x14ac:dyDescent="0.25">
      <c r="B20" s="32" t="s">
        <v>317</v>
      </c>
      <c r="C20" s="32"/>
      <c r="D20" s="32"/>
      <c r="E20" s="32"/>
      <c r="F20" s="32"/>
    </row>
    <row r="21" spans="2:20" x14ac:dyDescent="0.25">
      <c r="B21" s="26" t="s">
        <v>319</v>
      </c>
      <c r="C21" s="27" t="s">
        <v>224</v>
      </c>
      <c r="D21" s="27" t="s">
        <v>311</v>
      </c>
      <c r="E21" s="27" t="s">
        <v>312</v>
      </c>
      <c r="F21" s="27" t="s">
        <v>313</v>
      </c>
      <c r="T21" t="str">
        <f>"Interest for month "&amp;B23&amp;" is the balance from previous month*period rate = $"&amp;FIXED(F22)&amp;"*"&amp;TEXT($C$10,"0.0000%")&amp;" = $"&amp;FIXED(F22*$C$10)</f>
        <v>Interest for month 1 is the balance from previous month*period rate = $0.00*0.0000% = $0.00</v>
      </c>
    </row>
    <row r="22" spans="2:20" x14ac:dyDescent="0.25">
      <c r="B22" s="4">
        <v>0</v>
      </c>
      <c r="C22" s="4"/>
      <c r="D22" s="4"/>
      <c r="E22" s="4"/>
      <c r="F22" s="31"/>
      <c r="T22" t="str">
        <f>"Interest for month "&amp;B262&amp;" is the balance from previous month*period rate = $"&amp;FIXED(F261)&amp;"*"&amp;TEXT($C$10,"0.0000%")&amp;" = $"&amp;FIXED(F261*$C$10)</f>
        <v>Interest for month 240 is the balance from previous month*period rate = $0.00*0.0000% = $0.00</v>
      </c>
    </row>
    <row r="23" spans="2:20" x14ac:dyDescent="0.25">
      <c r="B23" s="4">
        <v>1</v>
      </c>
      <c r="C23" s="31"/>
      <c r="D23" s="31"/>
      <c r="E23" s="31"/>
      <c r="F23" s="31"/>
    </row>
    <row r="24" spans="2:20" x14ac:dyDescent="0.25">
      <c r="B24" s="4">
        <v>2</v>
      </c>
      <c r="C24" s="31"/>
      <c r="D24" s="31"/>
      <c r="E24" s="31"/>
      <c r="F24" s="31"/>
    </row>
    <row r="25" spans="2:20" x14ac:dyDescent="0.25">
      <c r="B25" s="4">
        <v>3</v>
      </c>
      <c r="C25" s="31"/>
      <c r="D25" s="31"/>
      <c r="E25" s="31"/>
      <c r="F25" s="31"/>
    </row>
    <row r="26" spans="2:20" x14ac:dyDescent="0.25">
      <c r="B26" s="4">
        <v>4</v>
      </c>
      <c r="C26" s="31"/>
      <c r="D26" s="31"/>
      <c r="E26" s="31"/>
      <c r="F26" s="31"/>
    </row>
    <row r="27" spans="2:20" x14ac:dyDescent="0.25">
      <c r="B27" s="4">
        <v>5</v>
      </c>
      <c r="C27" s="31"/>
      <c r="D27" s="31"/>
      <c r="E27" s="31"/>
      <c r="F27" s="31"/>
    </row>
    <row r="28" spans="2:20" x14ac:dyDescent="0.25">
      <c r="B28" s="4">
        <v>6</v>
      </c>
      <c r="C28" s="31"/>
      <c r="D28" s="31"/>
      <c r="E28" s="31"/>
      <c r="F28" s="31"/>
    </row>
    <row r="29" spans="2:20" x14ac:dyDescent="0.25">
      <c r="B29" s="4">
        <v>7</v>
      </c>
      <c r="C29" s="31"/>
      <c r="D29" s="31"/>
      <c r="E29" s="31"/>
      <c r="F29" s="31"/>
      <c r="G29" s="1"/>
    </row>
    <row r="30" spans="2:20" x14ac:dyDescent="0.25">
      <c r="B30" s="4">
        <v>8</v>
      </c>
      <c r="C30" s="31"/>
      <c r="D30" s="31"/>
      <c r="E30" s="31"/>
      <c r="F30" s="31"/>
    </row>
    <row r="31" spans="2:20" x14ac:dyDescent="0.25">
      <c r="B31" s="4">
        <v>9</v>
      </c>
      <c r="C31" s="31"/>
      <c r="D31" s="31"/>
      <c r="E31" s="31"/>
      <c r="F31" s="31"/>
    </row>
    <row r="32" spans="2:20" x14ac:dyDescent="0.25">
      <c r="B32" s="4">
        <v>10</v>
      </c>
      <c r="C32" s="31"/>
      <c r="D32" s="31"/>
      <c r="E32" s="31"/>
      <c r="F32" s="31"/>
    </row>
    <row r="33" spans="2:6" hidden="1" x14ac:dyDescent="0.25">
      <c r="B33" s="4">
        <v>11</v>
      </c>
      <c r="C33" s="31"/>
      <c r="D33" s="31"/>
      <c r="E33" s="31"/>
      <c r="F33" s="31"/>
    </row>
    <row r="34" spans="2:6" hidden="1" x14ac:dyDescent="0.25">
      <c r="B34" s="4">
        <v>12</v>
      </c>
      <c r="C34" s="31"/>
      <c r="D34" s="31"/>
      <c r="E34" s="31"/>
      <c r="F34" s="31"/>
    </row>
    <row r="35" spans="2:6" hidden="1" x14ac:dyDescent="0.25">
      <c r="B35" s="4">
        <v>13</v>
      </c>
      <c r="C35" s="31"/>
      <c r="D35" s="31"/>
      <c r="E35" s="31"/>
      <c r="F35" s="31"/>
    </row>
    <row r="36" spans="2:6" hidden="1" x14ac:dyDescent="0.25">
      <c r="B36" s="4">
        <v>14</v>
      </c>
      <c r="C36" s="31"/>
      <c r="D36" s="31"/>
      <c r="E36" s="31"/>
      <c r="F36" s="31"/>
    </row>
    <row r="37" spans="2:6" hidden="1" x14ac:dyDescent="0.25">
      <c r="B37" s="4">
        <v>15</v>
      </c>
      <c r="C37" s="31"/>
      <c r="D37" s="31"/>
      <c r="E37" s="31"/>
      <c r="F37" s="31"/>
    </row>
    <row r="38" spans="2:6" hidden="1" x14ac:dyDescent="0.25">
      <c r="B38" s="4">
        <v>16</v>
      </c>
      <c r="C38" s="31"/>
      <c r="D38" s="31"/>
      <c r="E38" s="31"/>
      <c r="F38" s="31"/>
    </row>
    <row r="39" spans="2:6" hidden="1" x14ac:dyDescent="0.25">
      <c r="B39" s="4">
        <v>17</v>
      </c>
      <c r="C39" s="31"/>
      <c r="D39" s="31"/>
      <c r="E39" s="31"/>
      <c r="F39" s="31"/>
    </row>
    <row r="40" spans="2:6" hidden="1" x14ac:dyDescent="0.25">
      <c r="B40" s="4">
        <v>18</v>
      </c>
      <c r="C40" s="31"/>
      <c r="D40" s="31"/>
      <c r="E40" s="31"/>
      <c r="F40" s="31"/>
    </row>
    <row r="41" spans="2:6" hidden="1" x14ac:dyDescent="0.25">
      <c r="B41" s="4">
        <v>19</v>
      </c>
      <c r="C41" s="31"/>
      <c r="D41" s="31"/>
      <c r="E41" s="31"/>
      <c r="F41" s="31"/>
    </row>
    <row r="42" spans="2:6" hidden="1" x14ac:dyDescent="0.25">
      <c r="B42" s="4">
        <v>20</v>
      </c>
      <c r="C42" s="31"/>
      <c r="D42" s="31"/>
      <c r="E42" s="31"/>
      <c r="F42" s="31"/>
    </row>
    <row r="43" spans="2:6" hidden="1" x14ac:dyDescent="0.25">
      <c r="B43" s="4">
        <v>21</v>
      </c>
      <c r="C43" s="31"/>
      <c r="D43" s="31"/>
      <c r="E43" s="31"/>
      <c r="F43" s="31"/>
    </row>
    <row r="44" spans="2:6" hidden="1" x14ac:dyDescent="0.25">
      <c r="B44" s="4">
        <v>22</v>
      </c>
      <c r="C44" s="31"/>
      <c r="D44" s="31"/>
      <c r="E44" s="31"/>
      <c r="F44" s="31"/>
    </row>
    <row r="45" spans="2:6" hidden="1" x14ac:dyDescent="0.25">
      <c r="B45" s="4">
        <v>23</v>
      </c>
      <c r="C45" s="31"/>
      <c r="D45" s="31"/>
      <c r="E45" s="31"/>
      <c r="F45" s="31"/>
    </row>
    <row r="46" spans="2:6" hidden="1" x14ac:dyDescent="0.25">
      <c r="B46" s="4">
        <v>24</v>
      </c>
      <c r="C46" s="31"/>
      <c r="D46" s="31"/>
      <c r="E46" s="31"/>
      <c r="F46" s="31"/>
    </row>
    <row r="47" spans="2:6" hidden="1" x14ac:dyDescent="0.25">
      <c r="B47" s="4">
        <v>25</v>
      </c>
      <c r="C47" s="31"/>
      <c r="D47" s="31"/>
      <c r="E47" s="31"/>
      <c r="F47" s="31"/>
    </row>
    <row r="48" spans="2:6" hidden="1" x14ac:dyDescent="0.25">
      <c r="B48" s="4">
        <v>26</v>
      </c>
      <c r="C48" s="31"/>
      <c r="D48" s="31"/>
      <c r="E48" s="31"/>
      <c r="F48" s="31"/>
    </row>
    <row r="49" spans="2:6" hidden="1" x14ac:dyDescent="0.25">
      <c r="B49" s="4">
        <v>27</v>
      </c>
      <c r="C49" s="31"/>
      <c r="D49" s="31"/>
      <c r="E49" s="31"/>
      <c r="F49" s="31"/>
    </row>
    <row r="50" spans="2:6" hidden="1" x14ac:dyDescent="0.25">
      <c r="B50" s="4">
        <v>28</v>
      </c>
      <c r="C50" s="31"/>
      <c r="D50" s="31"/>
      <c r="E50" s="31"/>
      <c r="F50" s="31"/>
    </row>
    <row r="51" spans="2:6" hidden="1" x14ac:dyDescent="0.25">
      <c r="B51" s="4">
        <v>29</v>
      </c>
      <c r="C51" s="31"/>
      <c r="D51" s="31"/>
      <c r="E51" s="31"/>
      <c r="F51" s="31"/>
    </row>
    <row r="52" spans="2:6" hidden="1" x14ac:dyDescent="0.25">
      <c r="B52" s="4">
        <v>30</v>
      </c>
      <c r="C52" s="31"/>
      <c r="D52" s="31"/>
      <c r="E52" s="31"/>
      <c r="F52" s="31"/>
    </row>
    <row r="53" spans="2:6" hidden="1" x14ac:dyDescent="0.25">
      <c r="B53" s="4">
        <v>31</v>
      </c>
      <c r="C53" s="31"/>
      <c r="D53" s="31"/>
      <c r="E53" s="31"/>
      <c r="F53" s="31"/>
    </row>
    <row r="54" spans="2:6" hidden="1" x14ac:dyDescent="0.25">
      <c r="B54" s="4">
        <v>32</v>
      </c>
      <c r="C54" s="31"/>
      <c r="D54" s="31"/>
      <c r="E54" s="31"/>
      <c r="F54" s="31"/>
    </row>
    <row r="55" spans="2:6" hidden="1" x14ac:dyDescent="0.25">
      <c r="B55" s="4">
        <v>33</v>
      </c>
      <c r="C55" s="31"/>
      <c r="D55" s="31"/>
      <c r="E55" s="31"/>
      <c r="F55" s="31"/>
    </row>
    <row r="56" spans="2:6" hidden="1" x14ac:dyDescent="0.25">
      <c r="B56" s="4">
        <v>34</v>
      </c>
      <c r="C56" s="31"/>
      <c r="D56" s="31"/>
      <c r="E56" s="31"/>
      <c r="F56" s="31"/>
    </row>
    <row r="57" spans="2:6" hidden="1" x14ac:dyDescent="0.25">
      <c r="B57" s="4">
        <v>35</v>
      </c>
      <c r="C57" s="31"/>
      <c r="D57" s="31"/>
      <c r="E57" s="31"/>
      <c r="F57" s="31"/>
    </row>
    <row r="58" spans="2:6" hidden="1" x14ac:dyDescent="0.25">
      <c r="B58" s="4">
        <v>36</v>
      </c>
      <c r="C58" s="31"/>
      <c r="D58" s="31"/>
      <c r="E58" s="31"/>
      <c r="F58" s="31"/>
    </row>
    <row r="59" spans="2:6" hidden="1" x14ac:dyDescent="0.25">
      <c r="B59" s="4">
        <v>37</v>
      </c>
      <c r="C59" s="31"/>
      <c r="D59" s="31"/>
      <c r="E59" s="31"/>
      <c r="F59" s="31"/>
    </row>
    <row r="60" spans="2:6" hidden="1" x14ac:dyDescent="0.25">
      <c r="B60" s="4">
        <v>38</v>
      </c>
      <c r="C60" s="31"/>
      <c r="D60" s="31"/>
      <c r="E60" s="31"/>
      <c r="F60" s="31"/>
    </row>
    <row r="61" spans="2:6" hidden="1" x14ac:dyDescent="0.25">
      <c r="B61" s="4">
        <v>39</v>
      </c>
      <c r="C61" s="31"/>
      <c r="D61" s="31"/>
      <c r="E61" s="31"/>
      <c r="F61" s="31"/>
    </row>
    <row r="62" spans="2:6" hidden="1" x14ac:dyDescent="0.25">
      <c r="B62" s="4">
        <v>40</v>
      </c>
      <c r="C62" s="31"/>
      <c r="D62" s="31"/>
      <c r="E62" s="31"/>
      <c r="F62" s="31"/>
    </row>
    <row r="63" spans="2:6" hidden="1" x14ac:dyDescent="0.25">
      <c r="B63" s="4">
        <v>41</v>
      </c>
      <c r="C63" s="31"/>
      <c r="D63" s="31"/>
      <c r="E63" s="31"/>
      <c r="F63" s="31"/>
    </row>
    <row r="64" spans="2:6" hidden="1" x14ac:dyDescent="0.25">
      <c r="B64" s="4">
        <v>42</v>
      </c>
      <c r="C64" s="31"/>
      <c r="D64" s="31"/>
      <c r="E64" s="31"/>
      <c r="F64" s="31"/>
    </row>
    <row r="65" spans="2:6" hidden="1" x14ac:dyDescent="0.25">
      <c r="B65" s="4">
        <v>43</v>
      </c>
      <c r="C65" s="31"/>
      <c r="D65" s="31"/>
      <c r="E65" s="31"/>
      <c r="F65" s="31"/>
    </row>
    <row r="66" spans="2:6" hidden="1" x14ac:dyDescent="0.25">
      <c r="B66" s="4">
        <v>44</v>
      </c>
      <c r="C66" s="31"/>
      <c r="D66" s="31"/>
      <c r="E66" s="31"/>
      <c r="F66" s="31"/>
    </row>
    <row r="67" spans="2:6" hidden="1" x14ac:dyDescent="0.25">
      <c r="B67" s="4">
        <v>45</v>
      </c>
      <c r="C67" s="31"/>
      <c r="D67" s="31"/>
      <c r="E67" s="31"/>
      <c r="F67" s="31"/>
    </row>
    <row r="68" spans="2:6" hidden="1" x14ac:dyDescent="0.25">
      <c r="B68" s="4">
        <v>46</v>
      </c>
      <c r="C68" s="31"/>
      <c r="D68" s="31"/>
      <c r="E68" s="31"/>
      <c r="F68" s="31"/>
    </row>
    <row r="69" spans="2:6" hidden="1" x14ac:dyDescent="0.25">
      <c r="B69" s="4">
        <v>47</v>
      </c>
      <c r="C69" s="31"/>
      <c r="D69" s="31"/>
      <c r="E69" s="31"/>
      <c r="F69" s="31"/>
    </row>
    <row r="70" spans="2:6" hidden="1" x14ac:dyDescent="0.25">
      <c r="B70" s="4">
        <v>48</v>
      </c>
      <c r="C70" s="31"/>
      <c r="D70" s="31"/>
      <c r="E70" s="31"/>
      <c r="F70" s="31"/>
    </row>
    <row r="71" spans="2:6" hidden="1" x14ac:dyDescent="0.25">
      <c r="B71" s="4">
        <v>49</v>
      </c>
      <c r="C71" s="31"/>
      <c r="D71" s="31"/>
      <c r="E71" s="31"/>
      <c r="F71" s="31"/>
    </row>
    <row r="72" spans="2:6" hidden="1" x14ac:dyDescent="0.25">
      <c r="B72" s="4">
        <v>50</v>
      </c>
      <c r="C72" s="31"/>
      <c r="D72" s="31"/>
      <c r="E72" s="31"/>
      <c r="F72" s="31"/>
    </row>
    <row r="73" spans="2:6" hidden="1" x14ac:dyDescent="0.25">
      <c r="B73" s="4">
        <v>51</v>
      </c>
      <c r="C73" s="31"/>
      <c r="D73" s="31"/>
      <c r="E73" s="31"/>
      <c r="F73" s="31"/>
    </row>
    <row r="74" spans="2:6" hidden="1" x14ac:dyDescent="0.25">
      <c r="B74" s="4">
        <v>52</v>
      </c>
      <c r="C74" s="31"/>
      <c r="D74" s="31"/>
      <c r="E74" s="31"/>
      <c r="F74" s="31"/>
    </row>
    <row r="75" spans="2:6" hidden="1" x14ac:dyDescent="0.25">
      <c r="B75" s="4">
        <v>53</v>
      </c>
      <c r="C75" s="31"/>
      <c r="D75" s="31"/>
      <c r="E75" s="31"/>
      <c r="F75" s="31"/>
    </row>
    <row r="76" spans="2:6" hidden="1" x14ac:dyDescent="0.25">
      <c r="B76" s="4">
        <v>54</v>
      </c>
      <c r="C76" s="31"/>
      <c r="D76" s="31"/>
      <c r="E76" s="31"/>
      <c r="F76" s="31"/>
    </row>
    <row r="77" spans="2:6" hidden="1" x14ac:dyDescent="0.25">
      <c r="B77" s="4">
        <v>55</v>
      </c>
      <c r="C77" s="31"/>
      <c r="D77" s="31"/>
      <c r="E77" s="31"/>
      <c r="F77" s="31"/>
    </row>
    <row r="78" spans="2:6" hidden="1" x14ac:dyDescent="0.25">
      <c r="B78" s="4">
        <v>56</v>
      </c>
      <c r="C78" s="31"/>
      <c r="D78" s="31"/>
      <c r="E78" s="31"/>
      <c r="F78" s="31"/>
    </row>
    <row r="79" spans="2:6" hidden="1" x14ac:dyDescent="0.25">
      <c r="B79" s="4">
        <v>57</v>
      </c>
      <c r="C79" s="31"/>
      <c r="D79" s="31"/>
      <c r="E79" s="31"/>
      <c r="F79" s="31"/>
    </row>
    <row r="80" spans="2:6" hidden="1" x14ac:dyDescent="0.25">
      <c r="B80" s="4">
        <v>58</v>
      </c>
      <c r="C80" s="31"/>
      <c r="D80" s="31"/>
      <c r="E80" s="31"/>
      <c r="F80" s="31"/>
    </row>
    <row r="81" spans="2:6" hidden="1" x14ac:dyDescent="0.25">
      <c r="B81" s="4">
        <v>59</v>
      </c>
      <c r="C81" s="31"/>
      <c r="D81" s="31"/>
      <c r="E81" s="31"/>
      <c r="F81" s="31"/>
    </row>
    <row r="82" spans="2:6" hidden="1" x14ac:dyDescent="0.25">
      <c r="B82" s="4">
        <v>60</v>
      </c>
      <c r="C82" s="31"/>
      <c r="D82" s="31"/>
      <c r="E82" s="31"/>
      <c r="F82" s="31"/>
    </row>
    <row r="83" spans="2:6" hidden="1" x14ac:dyDescent="0.25">
      <c r="B83" s="4">
        <v>61</v>
      </c>
      <c r="C83" s="31"/>
      <c r="D83" s="31"/>
      <c r="E83" s="31"/>
      <c r="F83" s="31"/>
    </row>
    <row r="84" spans="2:6" hidden="1" x14ac:dyDescent="0.25">
      <c r="B84" s="4">
        <v>62</v>
      </c>
      <c r="C84" s="31"/>
      <c r="D84" s="31"/>
      <c r="E84" s="31"/>
      <c r="F84" s="31"/>
    </row>
    <row r="85" spans="2:6" hidden="1" x14ac:dyDescent="0.25">
      <c r="B85" s="4">
        <v>63</v>
      </c>
      <c r="C85" s="31"/>
      <c r="D85" s="31"/>
      <c r="E85" s="31"/>
      <c r="F85" s="31"/>
    </row>
    <row r="86" spans="2:6" hidden="1" x14ac:dyDescent="0.25">
      <c r="B86" s="4">
        <v>64</v>
      </c>
      <c r="C86" s="31"/>
      <c r="D86" s="31"/>
      <c r="E86" s="31"/>
      <c r="F86" s="31"/>
    </row>
    <row r="87" spans="2:6" hidden="1" x14ac:dyDescent="0.25">
      <c r="B87" s="4">
        <v>65</v>
      </c>
      <c r="C87" s="31"/>
      <c r="D87" s="31"/>
      <c r="E87" s="31"/>
      <c r="F87" s="31"/>
    </row>
    <row r="88" spans="2:6" hidden="1" x14ac:dyDescent="0.25">
      <c r="B88" s="4">
        <v>66</v>
      </c>
      <c r="C88" s="31"/>
      <c r="D88" s="31"/>
      <c r="E88" s="31"/>
      <c r="F88" s="31"/>
    </row>
    <row r="89" spans="2:6" hidden="1" x14ac:dyDescent="0.25">
      <c r="B89" s="4">
        <v>67</v>
      </c>
      <c r="C89" s="31"/>
      <c r="D89" s="31"/>
      <c r="E89" s="31"/>
      <c r="F89" s="31"/>
    </row>
    <row r="90" spans="2:6" hidden="1" x14ac:dyDescent="0.25">
      <c r="B90" s="4">
        <v>68</v>
      </c>
      <c r="C90" s="31"/>
      <c r="D90" s="31"/>
      <c r="E90" s="31"/>
      <c r="F90" s="31"/>
    </row>
    <row r="91" spans="2:6" hidden="1" x14ac:dyDescent="0.25">
      <c r="B91" s="4">
        <v>69</v>
      </c>
      <c r="C91" s="31"/>
      <c r="D91" s="31"/>
      <c r="E91" s="31"/>
      <c r="F91" s="31"/>
    </row>
    <row r="92" spans="2:6" hidden="1" x14ac:dyDescent="0.25">
      <c r="B92" s="4">
        <v>70</v>
      </c>
      <c r="C92" s="31"/>
      <c r="D92" s="31"/>
      <c r="E92" s="31"/>
      <c r="F92" s="31"/>
    </row>
    <row r="93" spans="2:6" hidden="1" x14ac:dyDescent="0.25">
      <c r="B93" s="4">
        <v>71</v>
      </c>
      <c r="C93" s="31"/>
      <c r="D93" s="31"/>
      <c r="E93" s="31"/>
      <c r="F93" s="31"/>
    </row>
    <row r="94" spans="2:6" hidden="1" x14ac:dyDescent="0.25">
      <c r="B94" s="4">
        <v>72</v>
      </c>
      <c r="C94" s="31"/>
      <c r="D94" s="31"/>
      <c r="E94" s="31"/>
      <c r="F94" s="31"/>
    </row>
    <row r="95" spans="2:6" hidden="1" x14ac:dyDescent="0.25">
      <c r="B95" s="4">
        <v>73</v>
      </c>
      <c r="C95" s="31"/>
      <c r="D95" s="31"/>
      <c r="E95" s="31"/>
      <c r="F95" s="31"/>
    </row>
    <row r="96" spans="2:6" hidden="1" x14ac:dyDescent="0.25">
      <c r="B96" s="4">
        <v>74</v>
      </c>
      <c r="C96" s="31"/>
      <c r="D96" s="31"/>
      <c r="E96" s="31"/>
      <c r="F96" s="31"/>
    </row>
    <row r="97" spans="2:6" hidden="1" x14ac:dyDescent="0.25">
      <c r="B97" s="4">
        <v>75</v>
      </c>
      <c r="C97" s="31"/>
      <c r="D97" s="31"/>
      <c r="E97" s="31"/>
      <c r="F97" s="31"/>
    </row>
    <row r="98" spans="2:6" hidden="1" x14ac:dyDescent="0.25">
      <c r="B98" s="4">
        <v>76</v>
      </c>
      <c r="C98" s="31"/>
      <c r="D98" s="31"/>
      <c r="E98" s="31"/>
      <c r="F98" s="31"/>
    </row>
    <row r="99" spans="2:6" hidden="1" x14ac:dyDescent="0.25">
      <c r="B99" s="4">
        <v>77</v>
      </c>
      <c r="C99" s="31"/>
      <c r="D99" s="31"/>
      <c r="E99" s="31"/>
      <c r="F99" s="31"/>
    </row>
    <row r="100" spans="2:6" hidden="1" x14ac:dyDescent="0.25">
      <c r="B100" s="4">
        <v>78</v>
      </c>
      <c r="C100" s="31"/>
      <c r="D100" s="31"/>
      <c r="E100" s="31"/>
      <c r="F100" s="31"/>
    </row>
    <row r="101" spans="2:6" hidden="1" x14ac:dyDescent="0.25">
      <c r="B101" s="4">
        <v>79</v>
      </c>
      <c r="C101" s="31"/>
      <c r="D101" s="31"/>
      <c r="E101" s="31"/>
      <c r="F101" s="31"/>
    </row>
    <row r="102" spans="2:6" hidden="1" x14ac:dyDescent="0.25">
      <c r="B102" s="4">
        <v>80</v>
      </c>
      <c r="C102" s="31"/>
      <c r="D102" s="31"/>
      <c r="E102" s="31"/>
      <c r="F102" s="31"/>
    </row>
    <row r="103" spans="2:6" hidden="1" x14ac:dyDescent="0.25">
      <c r="B103" s="4">
        <v>81</v>
      </c>
      <c r="C103" s="31"/>
      <c r="D103" s="31"/>
      <c r="E103" s="31"/>
      <c r="F103" s="31"/>
    </row>
    <row r="104" spans="2:6" hidden="1" x14ac:dyDescent="0.25">
      <c r="B104" s="4">
        <v>82</v>
      </c>
      <c r="C104" s="31"/>
      <c r="D104" s="31"/>
      <c r="E104" s="31"/>
      <c r="F104" s="31"/>
    </row>
    <row r="105" spans="2:6" hidden="1" x14ac:dyDescent="0.25">
      <c r="B105" s="4">
        <v>83</v>
      </c>
      <c r="C105" s="31"/>
      <c r="D105" s="31"/>
      <c r="E105" s="31"/>
      <c r="F105" s="31"/>
    </row>
    <row r="106" spans="2:6" hidden="1" x14ac:dyDescent="0.25">
      <c r="B106" s="4">
        <v>84</v>
      </c>
      <c r="C106" s="31"/>
      <c r="D106" s="31"/>
      <c r="E106" s="31"/>
      <c r="F106" s="31"/>
    </row>
    <row r="107" spans="2:6" hidden="1" x14ac:dyDescent="0.25">
      <c r="B107" s="4">
        <v>85</v>
      </c>
      <c r="C107" s="31"/>
      <c r="D107" s="31"/>
      <c r="E107" s="31"/>
      <c r="F107" s="31"/>
    </row>
    <row r="108" spans="2:6" hidden="1" x14ac:dyDescent="0.25">
      <c r="B108" s="4">
        <v>86</v>
      </c>
      <c r="C108" s="31"/>
      <c r="D108" s="31"/>
      <c r="E108" s="31"/>
      <c r="F108" s="31"/>
    </row>
    <row r="109" spans="2:6" hidden="1" x14ac:dyDescent="0.25">
      <c r="B109" s="4">
        <v>87</v>
      </c>
      <c r="C109" s="31"/>
      <c r="D109" s="31"/>
      <c r="E109" s="31"/>
      <c r="F109" s="31"/>
    </row>
    <row r="110" spans="2:6" hidden="1" x14ac:dyDescent="0.25">
      <c r="B110" s="4">
        <v>88</v>
      </c>
      <c r="C110" s="31"/>
      <c r="D110" s="31"/>
      <c r="E110" s="31"/>
      <c r="F110" s="31"/>
    </row>
    <row r="111" spans="2:6" hidden="1" x14ac:dyDescent="0.25">
      <c r="B111" s="4">
        <v>89</v>
      </c>
      <c r="C111" s="31"/>
      <c r="D111" s="31"/>
      <c r="E111" s="31"/>
      <c r="F111" s="31"/>
    </row>
    <row r="112" spans="2:6" hidden="1" x14ac:dyDescent="0.25">
      <c r="B112" s="4">
        <v>90</v>
      </c>
      <c r="C112" s="31"/>
      <c r="D112" s="31"/>
      <c r="E112" s="31"/>
      <c r="F112" s="31"/>
    </row>
    <row r="113" spans="2:6" hidden="1" x14ac:dyDescent="0.25">
      <c r="B113" s="4">
        <v>91</v>
      </c>
      <c r="C113" s="31"/>
      <c r="D113" s="31"/>
      <c r="E113" s="31"/>
      <c r="F113" s="31"/>
    </row>
    <row r="114" spans="2:6" hidden="1" x14ac:dyDescent="0.25">
      <c r="B114" s="4">
        <v>92</v>
      </c>
      <c r="C114" s="31"/>
      <c r="D114" s="31"/>
      <c r="E114" s="31"/>
      <c r="F114" s="31"/>
    </row>
    <row r="115" spans="2:6" hidden="1" x14ac:dyDescent="0.25">
      <c r="B115" s="4">
        <v>93</v>
      </c>
      <c r="C115" s="31"/>
      <c r="D115" s="31"/>
      <c r="E115" s="31"/>
      <c r="F115" s="31"/>
    </row>
    <row r="116" spans="2:6" hidden="1" x14ac:dyDescent="0.25">
      <c r="B116" s="4">
        <v>94</v>
      </c>
      <c r="C116" s="31"/>
      <c r="D116" s="31"/>
      <c r="E116" s="31"/>
      <c r="F116" s="31"/>
    </row>
    <row r="117" spans="2:6" hidden="1" x14ac:dyDescent="0.25">
      <c r="B117" s="4">
        <v>95</v>
      </c>
      <c r="C117" s="31"/>
      <c r="D117" s="31"/>
      <c r="E117" s="31"/>
      <c r="F117" s="31"/>
    </row>
    <row r="118" spans="2:6" hidden="1" x14ac:dyDescent="0.25">
      <c r="B118" s="4">
        <v>96</v>
      </c>
      <c r="C118" s="31"/>
      <c r="D118" s="31"/>
      <c r="E118" s="31"/>
      <c r="F118" s="31"/>
    </row>
    <row r="119" spans="2:6" hidden="1" x14ac:dyDescent="0.25">
      <c r="B119" s="4">
        <v>97</v>
      </c>
      <c r="C119" s="31"/>
      <c r="D119" s="31"/>
      <c r="E119" s="31"/>
      <c r="F119" s="31"/>
    </row>
    <row r="120" spans="2:6" hidden="1" x14ac:dyDescent="0.25">
      <c r="B120" s="4">
        <v>98</v>
      </c>
      <c r="C120" s="31"/>
      <c r="D120" s="31"/>
      <c r="E120" s="31"/>
      <c r="F120" s="31"/>
    </row>
    <row r="121" spans="2:6" hidden="1" x14ac:dyDescent="0.25">
      <c r="B121" s="4">
        <v>99</v>
      </c>
      <c r="C121" s="31"/>
      <c r="D121" s="31"/>
      <c r="E121" s="31"/>
      <c r="F121" s="31"/>
    </row>
    <row r="122" spans="2:6" hidden="1" x14ac:dyDescent="0.25">
      <c r="B122" s="4">
        <v>100</v>
      </c>
      <c r="C122" s="31"/>
      <c r="D122" s="31"/>
      <c r="E122" s="31"/>
      <c r="F122" s="31"/>
    </row>
    <row r="123" spans="2:6" hidden="1" x14ac:dyDescent="0.25">
      <c r="B123" s="4">
        <v>101</v>
      </c>
      <c r="C123" s="31"/>
      <c r="D123" s="31"/>
      <c r="E123" s="31"/>
      <c r="F123" s="31"/>
    </row>
    <row r="124" spans="2:6" hidden="1" x14ac:dyDescent="0.25">
      <c r="B124" s="4">
        <v>102</v>
      </c>
      <c r="C124" s="31"/>
      <c r="D124" s="31"/>
      <c r="E124" s="31"/>
      <c r="F124" s="31"/>
    </row>
    <row r="125" spans="2:6" hidden="1" x14ac:dyDescent="0.25">
      <c r="B125" s="4">
        <v>103</v>
      </c>
      <c r="C125" s="31"/>
      <c r="D125" s="31"/>
      <c r="E125" s="31"/>
      <c r="F125" s="31"/>
    </row>
    <row r="126" spans="2:6" hidden="1" x14ac:dyDescent="0.25">
      <c r="B126" s="4">
        <v>104</v>
      </c>
      <c r="C126" s="31"/>
      <c r="D126" s="31"/>
      <c r="E126" s="31"/>
      <c r="F126" s="31"/>
    </row>
    <row r="127" spans="2:6" hidden="1" x14ac:dyDescent="0.25">
      <c r="B127" s="4">
        <v>105</v>
      </c>
      <c r="C127" s="31"/>
      <c r="D127" s="31"/>
      <c r="E127" s="31"/>
      <c r="F127" s="31"/>
    </row>
    <row r="128" spans="2:6" hidden="1" x14ac:dyDescent="0.25">
      <c r="B128" s="4">
        <v>106</v>
      </c>
      <c r="C128" s="31"/>
      <c r="D128" s="31"/>
      <c r="E128" s="31"/>
      <c r="F128" s="31"/>
    </row>
    <row r="129" spans="2:6" hidden="1" x14ac:dyDescent="0.25">
      <c r="B129" s="4">
        <v>107</v>
      </c>
      <c r="C129" s="31"/>
      <c r="D129" s="31"/>
      <c r="E129" s="31"/>
      <c r="F129" s="31"/>
    </row>
    <row r="130" spans="2:6" hidden="1" x14ac:dyDescent="0.25">
      <c r="B130" s="4">
        <v>108</v>
      </c>
      <c r="C130" s="31"/>
      <c r="D130" s="31"/>
      <c r="E130" s="31"/>
      <c r="F130" s="31"/>
    </row>
    <row r="131" spans="2:6" hidden="1" x14ac:dyDescent="0.25">
      <c r="B131" s="4">
        <v>109</v>
      </c>
      <c r="C131" s="31"/>
      <c r="D131" s="31"/>
      <c r="E131" s="31"/>
      <c r="F131" s="31"/>
    </row>
    <row r="132" spans="2:6" hidden="1" x14ac:dyDescent="0.25">
      <c r="B132" s="4">
        <v>110</v>
      </c>
      <c r="C132" s="31"/>
      <c r="D132" s="31"/>
      <c r="E132" s="31"/>
      <c r="F132" s="31"/>
    </row>
    <row r="133" spans="2:6" hidden="1" x14ac:dyDescent="0.25">
      <c r="B133" s="4">
        <v>111</v>
      </c>
      <c r="C133" s="31"/>
      <c r="D133" s="31"/>
      <c r="E133" s="31"/>
      <c r="F133" s="31"/>
    </row>
    <row r="134" spans="2:6" hidden="1" x14ac:dyDescent="0.25">
      <c r="B134" s="4">
        <v>112</v>
      </c>
      <c r="C134" s="31"/>
      <c r="D134" s="31"/>
      <c r="E134" s="31"/>
      <c r="F134" s="31"/>
    </row>
    <row r="135" spans="2:6" hidden="1" x14ac:dyDescent="0.25">
      <c r="B135" s="4">
        <v>113</v>
      </c>
      <c r="C135" s="31"/>
      <c r="D135" s="31"/>
      <c r="E135" s="31"/>
      <c r="F135" s="31"/>
    </row>
    <row r="136" spans="2:6" hidden="1" x14ac:dyDescent="0.25">
      <c r="B136" s="4">
        <v>114</v>
      </c>
      <c r="C136" s="31"/>
      <c r="D136" s="31"/>
      <c r="E136" s="31"/>
      <c r="F136" s="31"/>
    </row>
    <row r="137" spans="2:6" hidden="1" x14ac:dyDescent="0.25">
      <c r="B137" s="4">
        <v>115</v>
      </c>
      <c r="C137" s="31"/>
      <c r="D137" s="31"/>
      <c r="E137" s="31"/>
      <c r="F137" s="31"/>
    </row>
    <row r="138" spans="2:6" hidden="1" x14ac:dyDescent="0.25">
      <c r="B138" s="4">
        <v>116</v>
      </c>
      <c r="C138" s="31"/>
      <c r="D138" s="31"/>
      <c r="E138" s="31"/>
      <c r="F138" s="31"/>
    </row>
    <row r="139" spans="2:6" hidden="1" x14ac:dyDescent="0.25">
      <c r="B139" s="4">
        <v>117</v>
      </c>
      <c r="C139" s="31"/>
      <c r="D139" s="31"/>
      <c r="E139" s="31"/>
      <c r="F139" s="31"/>
    </row>
    <row r="140" spans="2:6" hidden="1" x14ac:dyDescent="0.25">
      <c r="B140" s="4">
        <v>118</v>
      </c>
      <c r="C140" s="31"/>
      <c r="D140" s="31"/>
      <c r="E140" s="31"/>
      <c r="F140" s="31"/>
    </row>
    <row r="141" spans="2:6" hidden="1" x14ac:dyDescent="0.25">
      <c r="B141" s="4">
        <v>119</v>
      </c>
      <c r="C141" s="31"/>
      <c r="D141" s="31"/>
      <c r="E141" s="31"/>
      <c r="F141" s="31"/>
    </row>
    <row r="142" spans="2:6" hidden="1" x14ac:dyDescent="0.25">
      <c r="B142" s="4">
        <v>120</v>
      </c>
      <c r="C142" s="31"/>
      <c r="D142" s="31"/>
      <c r="E142" s="31"/>
      <c r="F142" s="31"/>
    </row>
    <row r="143" spans="2:6" hidden="1" x14ac:dyDescent="0.25">
      <c r="B143" s="4">
        <v>121</v>
      </c>
      <c r="C143" s="31"/>
      <c r="D143" s="31"/>
      <c r="E143" s="31"/>
      <c r="F143" s="31"/>
    </row>
    <row r="144" spans="2:6" hidden="1" x14ac:dyDescent="0.25">
      <c r="B144" s="4">
        <v>122</v>
      </c>
      <c r="C144" s="31"/>
      <c r="D144" s="31"/>
      <c r="E144" s="31"/>
      <c r="F144" s="31"/>
    </row>
    <row r="145" spans="2:6" hidden="1" x14ac:dyDescent="0.25">
      <c r="B145" s="4">
        <v>123</v>
      </c>
      <c r="C145" s="31"/>
      <c r="D145" s="31"/>
      <c r="E145" s="31"/>
      <c r="F145" s="31"/>
    </row>
    <row r="146" spans="2:6" hidden="1" x14ac:dyDescent="0.25">
      <c r="B146" s="4">
        <v>124</v>
      </c>
      <c r="C146" s="31"/>
      <c r="D146" s="31"/>
      <c r="E146" s="31"/>
      <c r="F146" s="31"/>
    </row>
    <row r="147" spans="2:6" hidden="1" x14ac:dyDescent="0.25">
      <c r="B147" s="4">
        <v>125</v>
      </c>
      <c r="C147" s="31"/>
      <c r="D147" s="31"/>
      <c r="E147" s="31"/>
      <c r="F147" s="31"/>
    </row>
    <row r="148" spans="2:6" hidden="1" x14ac:dyDescent="0.25">
      <c r="B148" s="4">
        <v>126</v>
      </c>
      <c r="C148" s="31"/>
      <c r="D148" s="31"/>
      <c r="E148" s="31"/>
      <c r="F148" s="31"/>
    </row>
    <row r="149" spans="2:6" hidden="1" x14ac:dyDescent="0.25">
      <c r="B149" s="4">
        <v>127</v>
      </c>
      <c r="C149" s="31"/>
      <c r="D149" s="31"/>
      <c r="E149" s="31"/>
      <c r="F149" s="31"/>
    </row>
    <row r="150" spans="2:6" hidden="1" x14ac:dyDescent="0.25">
      <c r="B150" s="4">
        <v>128</v>
      </c>
      <c r="C150" s="31"/>
      <c r="D150" s="31"/>
      <c r="E150" s="31"/>
      <c r="F150" s="31"/>
    </row>
    <row r="151" spans="2:6" hidden="1" x14ac:dyDescent="0.25">
      <c r="B151" s="4">
        <v>129</v>
      </c>
      <c r="C151" s="31"/>
      <c r="D151" s="31"/>
      <c r="E151" s="31"/>
      <c r="F151" s="31"/>
    </row>
    <row r="152" spans="2:6" hidden="1" x14ac:dyDescent="0.25">
      <c r="B152" s="4">
        <v>130</v>
      </c>
      <c r="C152" s="31"/>
      <c r="D152" s="31"/>
      <c r="E152" s="31"/>
      <c r="F152" s="31"/>
    </row>
    <row r="153" spans="2:6" hidden="1" x14ac:dyDescent="0.25">
      <c r="B153" s="4">
        <v>131</v>
      </c>
      <c r="C153" s="31"/>
      <c r="D153" s="31"/>
      <c r="E153" s="31"/>
      <c r="F153" s="31"/>
    </row>
    <row r="154" spans="2:6" hidden="1" x14ac:dyDescent="0.25">
      <c r="B154" s="4">
        <v>132</v>
      </c>
      <c r="C154" s="31"/>
      <c r="D154" s="31"/>
      <c r="E154" s="31"/>
      <c r="F154" s="31"/>
    </row>
    <row r="155" spans="2:6" hidden="1" x14ac:dyDescent="0.25">
      <c r="B155" s="4">
        <v>133</v>
      </c>
      <c r="C155" s="31"/>
      <c r="D155" s="31"/>
      <c r="E155" s="31"/>
      <c r="F155" s="31"/>
    </row>
    <row r="156" spans="2:6" hidden="1" x14ac:dyDescent="0.25">
      <c r="B156" s="4">
        <v>134</v>
      </c>
      <c r="C156" s="31"/>
      <c r="D156" s="31"/>
      <c r="E156" s="31"/>
      <c r="F156" s="31"/>
    </row>
    <row r="157" spans="2:6" hidden="1" x14ac:dyDescent="0.25">
      <c r="B157" s="4">
        <v>135</v>
      </c>
      <c r="C157" s="31"/>
      <c r="D157" s="31"/>
      <c r="E157" s="31"/>
      <c r="F157" s="31"/>
    </row>
    <row r="158" spans="2:6" hidden="1" x14ac:dyDescent="0.25">
      <c r="B158" s="4">
        <v>136</v>
      </c>
      <c r="C158" s="31"/>
      <c r="D158" s="31"/>
      <c r="E158" s="31"/>
      <c r="F158" s="31"/>
    </row>
    <row r="159" spans="2:6" hidden="1" x14ac:dyDescent="0.25">
      <c r="B159" s="4">
        <v>137</v>
      </c>
      <c r="C159" s="31"/>
      <c r="D159" s="31"/>
      <c r="E159" s="31"/>
      <c r="F159" s="31"/>
    </row>
    <row r="160" spans="2:6" hidden="1" x14ac:dyDescent="0.25">
      <c r="B160" s="4">
        <v>138</v>
      </c>
      <c r="C160" s="31"/>
      <c r="D160" s="31"/>
      <c r="E160" s="31"/>
      <c r="F160" s="31"/>
    </row>
    <row r="161" spans="2:6" hidden="1" x14ac:dyDescent="0.25">
      <c r="B161" s="4">
        <v>139</v>
      </c>
      <c r="C161" s="31"/>
      <c r="D161" s="31"/>
      <c r="E161" s="31"/>
      <c r="F161" s="31"/>
    </row>
    <row r="162" spans="2:6" hidden="1" x14ac:dyDescent="0.25">
      <c r="B162" s="4">
        <v>140</v>
      </c>
      <c r="C162" s="31"/>
      <c r="D162" s="31"/>
      <c r="E162" s="31"/>
      <c r="F162" s="31"/>
    </row>
    <row r="163" spans="2:6" hidden="1" x14ac:dyDescent="0.25">
      <c r="B163" s="4">
        <v>141</v>
      </c>
      <c r="C163" s="31"/>
      <c r="D163" s="31"/>
      <c r="E163" s="31"/>
      <c r="F163" s="31"/>
    </row>
    <row r="164" spans="2:6" hidden="1" x14ac:dyDescent="0.25">
      <c r="B164" s="4">
        <v>142</v>
      </c>
      <c r="C164" s="31"/>
      <c r="D164" s="31"/>
      <c r="E164" s="31"/>
      <c r="F164" s="31"/>
    </row>
    <row r="165" spans="2:6" hidden="1" x14ac:dyDescent="0.25">
      <c r="B165" s="4">
        <v>143</v>
      </c>
      <c r="C165" s="31"/>
      <c r="D165" s="31"/>
      <c r="E165" s="31"/>
      <c r="F165" s="31"/>
    </row>
    <row r="166" spans="2:6" hidden="1" x14ac:dyDescent="0.25">
      <c r="B166" s="4">
        <v>144</v>
      </c>
      <c r="C166" s="31"/>
      <c r="D166" s="31"/>
      <c r="E166" s="31"/>
      <c r="F166" s="31"/>
    </row>
    <row r="167" spans="2:6" hidden="1" x14ac:dyDescent="0.25">
      <c r="B167" s="4">
        <v>145</v>
      </c>
      <c r="C167" s="31"/>
      <c r="D167" s="31"/>
      <c r="E167" s="31"/>
      <c r="F167" s="31"/>
    </row>
    <row r="168" spans="2:6" hidden="1" x14ac:dyDescent="0.25">
      <c r="B168" s="4">
        <v>146</v>
      </c>
      <c r="C168" s="31"/>
      <c r="D168" s="31"/>
      <c r="E168" s="31"/>
      <c r="F168" s="31"/>
    </row>
    <row r="169" spans="2:6" hidden="1" x14ac:dyDescent="0.25">
      <c r="B169" s="4">
        <v>147</v>
      </c>
      <c r="C169" s="31"/>
      <c r="D169" s="31"/>
      <c r="E169" s="31"/>
      <c r="F169" s="31"/>
    </row>
    <row r="170" spans="2:6" hidden="1" x14ac:dyDescent="0.25">
      <c r="B170" s="4">
        <v>148</v>
      </c>
      <c r="C170" s="31"/>
      <c r="D170" s="31"/>
      <c r="E170" s="31"/>
      <c r="F170" s="31"/>
    </row>
    <row r="171" spans="2:6" hidden="1" x14ac:dyDescent="0.25">
      <c r="B171" s="4">
        <v>149</v>
      </c>
      <c r="C171" s="31"/>
      <c r="D171" s="31"/>
      <c r="E171" s="31"/>
      <c r="F171" s="31"/>
    </row>
    <row r="172" spans="2:6" hidden="1" x14ac:dyDescent="0.25">
      <c r="B172" s="4">
        <v>150</v>
      </c>
      <c r="C172" s="31"/>
      <c r="D172" s="31"/>
      <c r="E172" s="31"/>
      <c r="F172" s="31"/>
    </row>
    <row r="173" spans="2:6" hidden="1" x14ac:dyDescent="0.25">
      <c r="B173" s="4">
        <v>151</v>
      </c>
      <c r="C173" s="31"/>
      <c r="D173" s="31"/>
      <c r="E173" s="31"/>
      <c r="F173" s="31"/>
    </row>
    <row r="174" spans="2:6" hidden="1" x14ac:dyDescent="0.25">
      <c r="B174" s="4">
        <v>152</v>
      </c>
      <c r="C174" s="31"/>
      <c r="D174" s="31"/>
      <c r="E174" s="31"/>
      <c r="F174" s="31"/>
    </row>
    <row r="175" spans="2:6" hidden="1" x14ac:dyDescent="0.25">
      <c r="B175" s="4">
        <v>153</v>
      </c>
      <c r="C175" s="31"/>
      <c r="D175" s="31"/>
      <c r="E175" s="31"/>
      <c r="F175" s="31"/>
    </row>
    <row r="176" spans="2:6" hidden="1" x14ac:dyDescent="0.25">
      <c r="B176" s="4">
        <v>154</v>
      </c>
      <c r="C176" s="31"/>
      <c r="D176" s="31"/>
      <c r="E176" s="31"/>
      <c r="F176" s="31"/>
    </row>
    <row r="177" spans="2:6" hidden="1" x14ac:dyDescent="0.25">
      <c r="B177" s="4">
        <v>155</v>
      </c>
      <c r="C177" s="31"/>
      <c r="D177" s="31"/>
      <c r="E177" s="31"/>
      <c r="F177" s="31"/>
    </row>
    <row r="178" spans="2:6" hidden="1" x14ac:dyDescent="0.25">
      <c r="B178" s="4">
        <v>156</v>
      </c>
      <c r="C178" s="31"/>
      <c r="D178" s="31"/>
      <c r="E178" s="31"/>
      <c r="F178" s="31"/>
    </row>
    <row r="179" spans="2:6" hidden="1" x14ac:dyDescent="0.25">
      <c r="B179" s="4">
        <v>157</v>
      </c>
      <c r="C179" s="31"/>
      <c r="D179" s="31"/>
      <c r="E179" s="31"/>
      <c r="F179" s="31"/>
    </row>
    <row r="180" spans="2:6" hidden="1" x14ac:dyDescent="0.25">
      <c r="B180" s="4">
        <v>158</v>
      </c>
      <c r="C180" s="31"/>
      <c r="D180" s="31"/>
      <c r="E180" s="31"/>
      <c r="F180" s="31"/>
    </row>
    <row r="181" spans="2:6" hidden="1" x14ac:dyDescent="0.25">
      <c r="B181" s="4">
        <v>159</v>
      </c>
      <c r="C181" s="31"/>
      <c r="D181" s="31"/>
      <c r="E181" s="31"/>
      <c r="F181" s="31"/>
    </row>
    <row r="182" spans="2:6" hidden="1" x14ac:dyDescent="0.25">
      <c r="B182" s="4">
        <v>160</v>
      </c>
      <c r="C182" s="31"/>
      <c r="D182" s="31"/>
      <c r="E182" s="31"/>
      <c r="F182" s="31"/>
    </row>
    <row r="183" spans="2:6" hidden="1" x14ac:dyDescent="0.25">
      <c r="B183" s="4">
        <v>161</v>
      </c>
      <c r="C183" s="31"/>
      <c r="D183" s="31"/>
      <c r="E183" s="31"/>
      <c r="F183" s="31"/>
    </row>
    <row r="184" spans="2:6" hidden="1" x14ac:dyDescent="0.25">
      <c r="B184" s="4">
        <v>162</v>
      </c>
      <c r="C184" s="31"/>
      <c r="D184" s="31"/>
      <c r="E184" s="31"/>
      <c r="F184" s="31"/>
    </row>
    <row r="185" spans="2:6" hidden="1" x14ac:dyDescent="0.25">
      <c r="B185" s="4">
        <v>163</v>
      </c>
      <c r="C185" s="31"/>
      <c r="D185" s="31"/>
      <c r="E185" s="31"/>
      <c r="F185" s="31"/>
    </row>
    <row r="186" spans="2:6" hidden="1" x14ac:dyDescent="0.25">
      <c r="B186" s="4">
        <v>164</v>
      </c>
      <c r="C186" s="31"/>
      <c r="D186" s="31"/>
      <c r="E186" s="31"/>
      <c r="F186" s="31"/>
    </row>
    <row r="187" spans="2:6" hidden="1" x14ac:dyDescent="0.25">
      <c r="B187" s="4">
        <v>165</v>
      </c>
      <c r="C187" s="31"/>
      <c r="D187" s="31"/>
      <c r="E187" s="31"/>
      <c r="F187" s="31"/>
    </row>
    <row r="188" spans="2:6" hidden="1" x14ac:dyDescent="0.25">
      <c r="B188" s="4">
        <v>166</v>
      </c>
      <c r="C188" s="31"/>
      <c r="D188" s="31"/>
      <c r="E188" s="31"/>
      <c r="F188" s="31"/>
    </row>
    <row r="189" spans="2:6" hidden="1" x14ac:dyDescent="0.25">
      <c r="B189" s="4">
        <v>167</v>
      </c>
      <c r="C189" s="31"/>
      <c r="D189" s="31"/>
      <c r="E189" s="31"/>
      <c r="F189" s="31"/>
    </row>
    <row r="190" spans="2:6" hidden="1" x14ac:dyDescent="0.25">
      <c r="B190" s="4">
        <v>168</v>
      </c>
      <c r="C190" s="31"/>
      <c r="D190" s="31"/>
      <c r="E190" s="31"/>
      <c r="F190" s="31"/>
    </row>
    <row r="191" spans="2:6" hidden="1" x14ac:dyDescent="0.25">
      <c r="B191" s="4">
        <v>169</v>
      </c>
      <c r="C191" s="31"/>
      <c r="D191" s="31"/>
      <c r="E191" s="31"/>
      <c r="F191" s="31"/>
    </row>
    <row r="192" spans="2:6" hidden="1" x14ac:dyDescent="0.25">
      <c r="B192" s="4">
        <v>170</v>
      </c>
      <c r="C192" s="31"/>
      <c r="D192" s="31"/>
      <c r="E192" s="31"/>
      <c r="F192" s="31"/>
    </row>
    <row r="193" spans="2:6" hidden="1" x14ac:dyDescent="0.25">
      <c r="B193" s="4">
        <v>171</v>
      </c>
      <c r="C193" s="31"/>
      <c r="D193" s="31"/>
      <c r="E193" s="31"/>
      <c r="F193" s="31"/>
    </row>
    <row r="194" spans="2:6" hidden="1" x14ac:dyDescent="0.25">
      <c r="B194" s="4">
        <v>172</v>
      </c>
      <c r="C194" s="31"/>
      <c r="D194" s="31"/>
      <c r="E194" s="31"/>
      <c r="F194" s="31"/>
    </row>
    <row r="195" spans="2:6" hidden="1" x14ac:dyDescent="0.25">
      <c r="B195" s="4">
        <v>173</v>
      </c>
      <c r="C195" s="31"/>
      <c r="D195" s="31"/>
      <c r="E195" s="31"/>
      <c r="F195" s="31"/>
    </row>
    <row r="196" spans="2:6" hidden="1" x14ac:dyDescent="0.25">
      <c r="B196" s="4">
        <v>174</v>
      </c>
      <c r="C196" s="31"/>
      <c r="D196" s="31"/>
      <c r="E196" s="31"/>
      <c r="F196" s="31"/>
    </row>
    <row r="197" spans="2:6" hidden="1" x14ac:dyDescent="0.25">
      <c r="B197" s="4">
        <v>175</v>
      </c>
      <c r="C197" s="31"/>
      <c r="D197" s="31"/>
      <c r="E197" s="31"/>
      <c r="F197" s="31"/>
    </row>
    <row r="198" spans="2:6" hidden="1" x14ac:dyDescent="0.25">
      <c r="B198" s="4">
        <v>176</v>
      </c>
      <c r="C198" s="31"/>
      <c r="D198" s="31"/>
      <c r="E198" s="31"/>
      <c r="F198" s="31"/>
    </row>
    <row r="199" spans="2:6" hidden="1" x14ac:dyDescent="0.25">
      <c r="B199" s="4">
        <v>177</v>
      </c>
      <c r="C199" s="31"/>
      <c r="D199" s="31"/>
      <c r="E199" s="31"/>
      <c r="F199" s="31"/>
    </row>
    <row r="200" spans="2:6" hidden="1" x14ac:dyDescent="0.25">
      <c r="B200" s="4">
        <v>178</v>
      </c>
      <c r="C200" s="31"/>
      <c r="D200" s="31"/>
      <c r="E200" s="31"/>
      <c r="F200" s="31"/>
    </row>
    <row r="201" spans="2:6" hidden="1" x14ac:dyDescent="0.25">
      <c r="B201" s="4">
        <v>179</v>
      </c>
      <c r="C201" s="31"/>
      <c r="D201" s="31"/>
      <c r="E201" s="31"/>
      <c r="F201" s="31"/>
    </row>
    <row r="202" spans="2:6" hidden="1" x14ac:dyDescent="0.25">
      <c r="B202" s="4">
        <v>180</v>
      </c>
      <c r="C202" s="31"/>
      <c r="D202" s="31"/>
      <c r="E202" s="31"/>
      <c r="F202" s="31"/>
    </row>
    <row r="203" spans="2:6" hidden="1" x14ac:dyDescent="0.25">
      <c r="B203" s="4">
        <v>181</v>
      </c>
      <c r="C203" s="31"/>
      <c r="D203" s="31"/>
      <c r="E203" s="31"/>
      <c r="F203" s="31"/>
    </row>
    <row r="204" spans="2:6" hidden="1" x14ac:dyDescent="0.25">
      <c r="B204" s="4">
        <v>182</v>
      </c>
      <c r="C204" s="31"/>
      <c r="D204" s="31"/>
      <c r="E204" s="31"/>
      <c r="F204" s="31"/>
    </row>
    <row r="205" spans="2:6" hidden="1" x14ac:dyDescent="0.25">
      <c r="B205" s="4">
        <v>183</v>
      </c>
      <c r="C205" s="31"/>
      <c r="D205" s="31"/>
      <c r="E205" s="31"/>
      <c r="F205" s="31"/>
    </row>
    <row r="206" spans="2:6" hidden="1" x14ac:dyDescent="0.25">
      <c r="B206" s="4">
        <v>184</v>
      </c>
      <c r="C206" s="31"/>
      <c r="D206" s="31"/>
      <c r="E206" s="31"/>
      <c r="F206" s="31"/>
    </row>
    <row r="207" spans="2:6" hidden="1" x14ac:dyDescent="0.25">
      <c r="B207" s="4">
        <v>185</v>
      </c>
      <c r="C207" s="31"/>
      <c r="D207" s="31"/>
      <c r="E207" s="31"/>
      <c r="F207" s="31"/>
    </row>
    <row r="208" spans="2:6" hidden="1" x14ac:dyDescent="0.25">
      <c r="B208" s="4">
        <v>186</v>
      </c>
      <c r="C208" s="31"/>
      <c r="D208" s="31"/>
      <c r="E208" s="31"/>
      <c r="F208" s="31"/>
    </row>
    <row r="209" spans="2:6" hidden="1" x14ac:dyDescent="0.25">
      <c r="B209" s="4">
        <v>187</v>
      </c>
      <c r="C209" s="31"/>
      <c r="D209" s="31"/>
      <c r="E209" s="31"/>
      <c r="F209" s="31"/>
    </row>
    <row r="210" spans="2:6" hidden="1" x14ac:dyDescent="0.25">
      <c r="B210" s="4">
        <v>188</v>
      </c>
      <c r="C210" s="31"/>
      <c r="D210" s="31"/>
      <c r="E210" s="31"/>
      <c r="F210" s="31"/>
    </row>
    <row r="211" spans="2:6" hidden="1" x14ac:dyDescent="0.25">
      <c r="B211" s="4">
        <v>189</v>
      </c>
      <c r="C211" s="31"/>
      <c r="D211" s="31"/>
      <c r="E211" s="31"/>
      <c r="F211" s="31"/>
    </row>
    <row r="212" spans="2:6" hidden="1" x14ac:dyDescent="0.25">
      <c r="B212" s="4">
        <v>190</v>
      </c>
      <c r="C212" s="31"/>
      <c r="D212" s="31"/>
      <c r="E212" s="31"/>
      <c r="F212" s="31"/>
    </row>
    <row r="213" spans="2:6" hidden="1" x14ac:dyDescent="0.25">
      <c r="B213" s="4">
        <v>191</v>
      </c>
      <c r="C213" s="31"/>
      <c r="D213" s="31"/>
      <c r="E213" s="31"/>
      <c r="F213" s="31"/>
    </row>
    <row r="214" spans="2:6" hidden="1" x14ac:dyDescent="0.25">
      <c r="B214" s="4">
        <v>192</v>
      </c>
      <c r="C214" s="31"/>
      <c r="D214" s="31"/>
      <c r="E214" s="31"/>
      <c r="F214" s="31"/>
    </row>
    <row r="215" spans="2:6" hidden="1" x14ac:dyDescent="0.25">
      <c r="B215" s="4">
        <v>193</v>
      </c>
      <c r="C215" s="31"/>
      <c r="D215" s="31"/>
      <c r="E215" s="31"/>
      <c r="F215" s="31"/>
    </row>
    <row r="216" spans="2:6" hidden="1" x14ac:dyDescent="0.25">
      <c r="B216" s="4">
        <v>194</v>
      </c>
      <c r="C216" s="31"/>
      <c r="D216" s="31"/>
      <c r="E216" s="31"/>
      <c r="F216" s="31"/>
    </row>
    <row r="217" spans="2:6" hidden="1" x14ac:dyDescent="0.25">
      <c r="B217" s="4">
        <v>195</v>
      </c>
      <c r="C217" s="31"/>
      <c r="D217" s="31"/>
      <c r="E217" s="31"/>
      <c r="F217" s="31"/>
    </row>
    <row r="218" spans="2:6" hidden="1" x14ac:dyDescent="0.25">
      <c r="B218" s="4">
        <v>196</v>
      </c>
      <c r="C218" s="31"/>
      <c r="D218" s="31"/>
      <c r="E218" s="31"/>
      <c r="F218" s="31"/>
    </row>
    <row r="219" spans="2:6" hidden="1" x14ac:dyDescent="0.25">
      <c r="B219" s="4">
        <v>197</v>
      </c>
      <c r="C219" s="31"/>
      <c r="D219" s="31"/>
      <c r="E219" s="31"/>
      <c r="F219" s="31"/>
    </row>
    <row r="220" spans="2:6" hidden="1" x14ac:dyDescent="0.25">
      <c r="B220" s="4">
        <v>198</v>
      </c>
      <c r="C220" s="31"/>
      <c r="D220" s="31"/>
      <c r="E220" s="31"/>
      <c r="F220" s="31"/>
    </row>
    <row r="221" spans="2:6" hidden="1" x14ac:dyDescent="0.25">
      <c r="B221" s="4">
        <v>199</v>
      </c>
      <c r="C221" s="31"/>
      <c r="D221" s="31"/>
      <c r="E221" s="31"/>
      <c r="F221" s="31"/>
    </row>
    <row r="222" spans="2:6" hidden="1" x14ac:dyDescent="0.25">
      <c r="B222" s="4">
        <v>200</v>
      </c>
      <c r="C222" s="31"/>
      <c r="D222" s="31"/>
      <c r="E222" s="31"/>
      <c r="F222" s="31"/>
    </row>
    <row r="223" spans="2:6" hidden="1" x14ac:dyDescent="0.25">
      <c r="B223" s="4">
        <v>201</v>
      </c>
      <c r="C223" s="31"/>
      <c r="D223" s="31"/>
      <c r="E223" s="31"/>
      <c r="F223" s="31"/>
    </row>
    <row r="224" spans="2:6" hidden="1" x14ac:dyDescent="0.25">
      <c r="B224" s="4">
        <v>202</v>
      </c>
      <c r="C224" s="31"/>
      <c r="D224" s="31"/>
      <c r="E224" s="31"/>
      <c r="F224" s="31"/>
    </row>
    <row r="225" spans="2:6" hidden="1" x14ac:dyDescent="0.25">
      <c r="B225" s="4">
        <v>203</v>
      </c>
      <c r="C225" s="31"/>
      <c r="D225" s="31"/>
      <c r="E225" s="31"/>
      <c r="F225" s="31"/>
    </row>
    <row r="226" spans="2:6" hidden="1" x14ac:dyDescent="0.25">
      <c r="B226" s="4">
        <v>204</v>
      </c>
      <c r="C226" s="31"/>
      <c r="D226" s="31"/>
      <c r="E226" s="31"/>
      <c r="F226" s="31"/>
    </row>
    <row r="227" spans="2:6" hidden="1" x14ac:dyDescent="0.25">
      <c r="B227" s="4">
        <v>205</v>
      </c>
      <c r="C227" s="31"/>
      <c r="D227" s="31"/>
      <c r="E227" s="31"/>
      <c r="F227" s="31"/>
    </row>
    <row r="228" spans="2:6" hidden="1" x14ac:dyDescent="0.25">
      <c r="B228" s="4">
        <v>206</v>
      </c>
      <c r="C228" s="31"/>
      <c r="D228" s="31"/>
      <c r="E228" s="31"/>
      <c r="F228" s="31"/>
    </row>
    <row r="229" spans="2:6" hidden="1" x14ac:dyDescent="0.25">
      <c r="B229" s="4">
        <v>207</v>
      </c>
      <c r="C229" s="31"/>
      <c r="D229" s="31"/>
      <c r="E229" s="31"/>
      <c r="F229" s="31"/>
    </row>
    <row r="230" spans="2:6" hidden="1" x14ac:dyDescent="0.25">
      <c r="B230" s="4">
        <v>208</v>
      </c>
      <c r="C230" s="31"/>
      <c r="D230" s="31"/>
      <c r="E230" s="31"/>
      <c r="F230" s="31"/>
    </row>
    <row r="231" spans="2:6" hidden="1" x14ac:dyDescent="0.25">
      <c r="B231" s="4">
        <v>209</v>
      </c>
      <c r="C231" s="31"/>
      <c r="D231" s="31"/>
      <c r="E231" s="31"/>
      <c r="F231" s="31"/>
    </row>
    <row r="232" spans="2:6" hidden="1" x14ac:dyDescent="0.25">
      <c r="B232" s="4">
        <v>210</v>
      </c>
      <c r="C232" s="31"/>
      <c r="D232" s="31"/>
      <c r="E232" s="31"/>
      <c r="F232" s="31"/>
    </row>
    <row r="233" spans="2:6" hidden="1" x14ac:dyDescent="0.25">
      <c r="B233" s="4">
        <v>211</v>
      </c>
      <c r="C233" s="31"/>
      <c r="D233" s="31"/>
      <c r="E233" s="31"/>
      <c r="F233" s="31"/>
    </row>
    <row r="234" spans="2:6" hidden="1" x14ac:dyDescent="0.25">
      <c r="B234" s="4">
        <v>212</v>
      </c>
      <c r="C234" s="31"/>
      <c r="D234" s="31"/>
      <c r="E234" s="31"/>
      <c r="F234" s="31"/>
    </row>
    <row r="235" spans="2:6" hidden="1" x14ac:dyDescent="0.25">
      <c r="B235" s="4">
        <v>213</v>
      </c>
      <c r="C235" s="31"/>
      <c r="D235" s="31"/>
      <c r="E235" s="31"/>
      <c r="F235" s="31"/>
    </row>
    <row r="236" spans="2:6" hidden="1" x14ac:dyDescent="0.25">
      <c r="B236" s="4">
        <v>214</v>
      </c>
      <c r="C236" s="31"/>
      <c r="D236" s="31"/>
      <c r="E236" s="31"/>
      <c r="F236" s="31"/>
    </row>
    <row r="237" spans="2:6" hidden="1" x14ac:dyDescent="0.25">
      <c r="B237" s="4">
        <v>215</v>
      </c>
      <c r="C237" s="31"/>
      <c r="D237" s="31"/>
      <c r="E237" s="31"/>
      <c r="F237" s="31"/>
    </row>
    <row r="238" spans="2:6" hidden="1" x14ac:dyDescent="0.25">
      <c r="B238" s="4">
        <v>216</v>
      </c>
      <c r="C238" s="31"/>
      <c r="D238" s="31"/>
      <c r="E238" s="31"/>
      <c r="F238" s="31"/>
    </row>
    <row r="239" spans="2:6" hidden="1" x14ac:dyDescent="0.25">
      <c r="B239" s="4">
        <v>217</v>
      </c>
      <c r="C239" s="31"/>
      <c r="D239" s="31"/>
      <c r="E239" s="31"/>
      <c r="F239" s="31"/>
    </row>
    <row r="240" spans="2:6" hidden="1" x14ac:dyDescent="0.25">
      <c r="B240" s="4">
        <v>218</v>
      </c>
      <c r="C240" s="31"/>
      <c r="D240" s="31"/>
      <c r="E240" s="31"/>
      <c r="F240" s="31"/>
    </row>
    <row r="241" spans="2:6" hidden="1" x14ac:dyDescent="0.25">
      <c r="B241" s="4">
        <v>219</v>
      </c>
      <c r="C241" s="31"/>
      <c r="D241" s="31"/>
      <c r="E241" s="31"/>
      <c r="F241" s="31"/>
    </row>
    <row r="242" spans="2:6" hidden="1" x14ac:dyDescent="0.25">
      <c r="B242" s="4">
        <v>220</v>
      </c>
      <c r="C242" s="31"/>
      <c r="D242" s="31"/>
      <c r="E242" s="31"/>
      <c r="F242" s="31"/>
    </row>
    <row r="243" spans="2:6" hidden="1" x14ac:dyDescent="0.25">
      <c r="B243" s="4">
        <v>221</v>
      </c>
      <c r="C243" s="31"/>
      <c r="D243" s="31"/>
      <c r="E243" s="31"/>
      <c r="F243" s="31"/>
    </row>
    <row r="244" spans="2:6" hidden="1" x14ac:dyDescent="0.25">
      <c r="B244" s="4">
        <v>222</v>
      </c>
      <c r="C244" s="31"/>
      <c r="D244" s="31"/>
      <c r="E244" s="31"/>
      <c r="F244" s="31"/>
    </row>
    <row r="245" spans="2:6" hidden="1" x14ac:dyDescent="0.25">
      <c r="B245" s="4">
        <v>223</v>
      </c>
      <c r="C245" s="31"/>
      <c r="D245" s="31"/>
      <c r="E245" s="31"/>
      <c r="F245" s="31"/>
    </row>
    <row r="246" spans="2:6" hidden="1" x14ac:dyDescent="0.25">
      <c r="B246" s="4">
        <v>224</v>
      </c>
      <c r="C246" s="31"/>
      <c r="D246" s="31"/>
      <c r="E246" s="31"/>
      <c r="F246" s="31"/>
    </row>
    <row r="247" spans="2:6" hidden="1" x14ac:dyDescent="0.25">
      <c r="B247" s="4">
        <v>225</v>
      </c>
      <c r="C247" s="31"/>
      <c r="D247" s="31"/>
      <c r="E247" s="31"/>
      <c r="F247" s="31"/>
    </row>
    <row r="248" spans="2:6" hidden="1" x14ac:dyDescent="0.25">
      <c r="B248" s="4">
        <v>226</v>
      </c>
      <c r="C248" s="31"/>
      <c r="D248" s="31"/>
      <c r="E248" s="31"/>
      <c r="F248" s="31"/>
    </row>
    <row r="249" spans="2:6" hidden="1" x14ac:dyDescent="0.25">
      <c r="B249" s="4">
        <v>227</v>
      </c>
      <c r="C249" s="31"/>
      <c r="D249" s="31"/>
      <c r="E249" s="31"/>
      <c r="F249" s="31"/>
    </row>
    <row r="250" spans="2:6" hidden="1" x14ac:dyDescent="0.25">
      <c r="B250" s="4">
        <v>228</v>
      </c>
      <c r="C250" s="31"/>
      <c r="D250" s="31"/>
      <c r="E250" s="31"/>
      <c r="F250" s="31"/>
    </row>
    <row r="251" spans="2:6" hidden="1" x14ac:dyDescent="0.25">
      <c r="B251" s="4">
        <v>229</v>
      </c>
      <c r="C251" s="31"/>
      <c r="D251" s="31"/>
      <c r="E251" s="31"/>
      <c r="F251" s="31"/>
    </row>
    <row r="252" spans="2:6" x14ac:dyDescent="0.25">
      <c r="B252" s="4">
        <v>230</v>
      </c>
      <c r="C252" s="31"/>
      <c r="D252" s="31"/>
      <c r="E252" s="31"/>
      <c r="F252" s="31"/>
    </row>
    <row r="253" spans="2:6" x14ac:dyDescent="0.25">
      <c r="B253" s="4">
        <v>231</v>
      </c>
      <c r="C253" s="31"/>
      <c r="D253" s="31"/>
      <c r="E253" s="31"/>
      <c r="F253" s="31"/>
    </row>
    <row r="254" spans="2:6" x14ac:dyDescent="0.25">
      <c r="B254" s="4">
        <v>232</v>
      </c>
      <c r="C254" s="31"/>
      <c r="D254" s="31"/>
      <c r="E254" s="31"/>
      <c r="F254" s="31"/>
    </row>
    <row r="255" spans="2:6" x14ac:dyDescent="0.25">
      <c r="B255" s="4">
        <v>233</v>
      </c>
      <c r="C255" s="31"/>
      <c r="D255" s="31"/>
      <c r="E255" s="31"/>
      <c r="F255" s="31"/>
    </row>
    <row r="256" spans="2:6" x14ac:dyDescent="0.25">
      <c r="B256" s="4">
        <v>234</v>
      </c>
      <c r="C256" s="31"/>
      <c r="D256" s="31"/>
      <c r="E256" s="31"/>
      <c r="F256" s="31"/>
    </row>
    <row r="257" spans="2:6" x14ac:dyDescent="0.25">
      <c r="B257" s="4">
        <v>235</v>
      </c>
      <c r="C257" s="31"/>
      <c r="D257" s="31"/>
      <c r="E257" s="31"/>
      <c r="F257" s="31"/>
    </row>
    <row r="258" spans="2:6" x14ac:dyDescent="0.25">
      <c r="B258" s="4">
        <v>236</v>
      </c>
      <c r="C258" s="31"/>
      <c r="D258" s="31"/>
      <c r="E258" s="31"/>
      <c r="F258" s="31"/>
    </row>
    <row r="259" spans="2:6" x14ac:dyDescent="0.25">
      <c r="B259" s="4">
        <v>237</v>
      </c>
      <c r="C259" s="31"/>
      <c r="D259" s="31"/>
      <c r="E259" s="31"/>
      <c r="F259" s="31"/>
    </row>
    <row r="260" spans="2:6" x14ac:dyDescent="0.25">
      <c r="B260" s="4">
        <v>238</v>
      </c>
      <c r="C260" s="31"/>
      <c r="D260" s="31"/>
      <c r="E260" s="31"/>
      <c r="F260" s="31"/>
    </row>
    <row r="261" spans="2:6" x14ac:dyDescent="0.25">
      <c r="B261" s="4">
        <v>239</v>
      </c>
      <c r="C261" s="31"/>
      <c r="D261" s="31"/>
      <c r="E261" s="31"/>
      <c r="F261" s="31"/>
    </row>
    <row r="262" spans="2:6" x14ac:dyDescent="0.25">
      <c r="B262" s="4">
        <v>240</v>
      </c>
      <c r="C262" s="31"/>
      <c r="D262" s="31"/>
      <c r="E262" s="31"/>
      <c r="F262" s="31"/>
    </row>
    <row r="263" spans="2:6" x14ac:dyDescent="0.25">
      <c r="B263" s="4">
        <v>241</v>
      </c>
      <c r="C263" s="31"/>
      <c r="D263" s="31"/>
      <c r="E263" s="31"/>
      <c r="F263" s="31"/>
    </row>
    <row r="264" spans="2:6" x14ac:dyDescent="0.25">
      <c r="B264" s="4">
        <v>242</v>
      </c>
      <c r="C264" s="31"/>
      <c r="D264" s="31"/>
      <c r="E264" s="31"/>
      <c r="F264" s="31"/>
    </row>
    <row r="265" spans="2:6" x14ac:dyDescent="0.25">
      <c r="B265" s="4">
        <v>243</v>
      </c>
      <c r="C265" s="31"/>
      <c r="D265" s="31"/>
      <c r="E265" s="31"/>
      <c r="F265" s="31"/>
    </row>
    <row r="266" spans="2:6" ht="8.25" customHeight="1" x14ac:dyDescent="0.25">
      <c r="B266" s="4">
        <v>244</v>
      </c>
      <c r="C266" s="31"/>
      <c r="D266" s="31"/>
      <c r="E266" s="31"/>
      <c r="F266" s="31"/>
    </row>
    <row r="267" spans="2:6" x14ac:dyDescent="0.25">
      <c r="B267" s="4">
        <v>245</v>
      </c>
      <c r="C267" s="31"/>
      <c r="D267" s="31"/>
      <c r="E267" s="31"/>
      <c r="F267" s="31"/>
    </row>
    <row r="268" spans="2:6" x14ac:dyDescent="0.25">
      <c r="B268" s="4">
        <v>246</v>
      </c>
      <c r="C268" s="31"/>
      <c r="D268" s="31"/>
      <c r="E268" s="31"/>
      <c r="F268" s="31"/>
    </row>
    <row r="269" spans="2:6" x14ac:dyDescent="0.25">
      <c r="B269" s="4">
        <v>247</v>
      </c>
      <c r="C269" s="31"/>
      <c r="D269" s="31"/>
      <c r="E269" s="31"/>
      <c r="F269" s="31"/>
    </row>
    <row r="270" spans="2:6" x14ac:dyDescent="0.25">
      <c r="B270" s="4">
        <v>248</v>
      </c>
      <c r="C270" s="31"/>
      <c r="D270" s="31"/>
      <c r="E270" s="31"/>
      <c r="F270" s="31"/>
    </row>
    <row r="271" spans="2:6" x14ac:dyDescent="0.25">
      <c r="B271" s="4">
        <v>249</v>
      </c>
      <c r="C271" s="31"/>
      <c r="D271" s="31"/>
      <c r="E271" s="31"/>
      <c r="F271" s="31"/>
    </row>
    <row r="272" spans="2:6" x14ac:dyDescent="0.25">
      <c r="B272" s="4">
        <v>250</v>
      </c>
      <c r="C272" s="31"/>
      <c r="D272" s="31"/>
      <c r="E272" s="31"/>
      <c r="F272" s="31"/>
    </row>
    <row r="273" spans="2:6" x14ac:dyDescent="0.25">
      <c r="B273" s="4">
        <v>251</v>
      </c>
      <c r="C273" s="31"/>
      <c r="D273" s="31"/>
      <c r="E273" s="31"/>
      <c r="F273" s="31"/>
    </row>
    <row r="274" spans="2:6" x14ac:dyDescent="0.25">
      <c r="B274" s="4">
        <v>252</v>
      </c>
      <c r="C274" s="31"/>
      <c r="D274" s="31"/>
      <c r="E274" s="31"/>
      <c r="F274" s="31"/>
    </row>
    <row r="275" spans="2:6" x14ac:dyDescent="0.25">
      <c r="B275" s="4">
        <v>253</v>
      </c>
      <c r="C275" s="31"/>
      <c r="D275" s="31"/>
      <c r="E275" s="31"/>
      <c r="F275" s="31"/>
    </row>
    <row r="276" spans="2:6" x14ac:dyDescent="0.25">
      <c r="B276" s="4">
        <v>254</v>
      </c>
      <c r="C276" s="31"/>
      <c r="D276" s="31"/>
      <c r="E276" s="31"/>
      <c r="F276" s="31"/>
    </row>
    <row r="277" spans="2:6" x14ac:dyDescent="0.25">
      <c r="B277" s="4">
        <v>255</v>
      </c>
      <c r="C277" s="31"/>
      <c r="D277" s="31"/>
      <c r="E277" s="31"/>
      <c r="F277" s="31"/>
    </row>
    <row r="278" spans="2:6" x14ac:dyDescent="0.25">
      <c r="B278" s="4">
        <v>256</v>
      </c>
      <c r="C278" s="31"/>
      <c r="D278" s="31"/>
      <c r="E278" s="31"/>
      <c r="F278" s="31"/>
    </row>
    <row r="279" spans="2:6" x14ac:dyDescent="0.25">
      <c r="B279" s="4">
        <v>257</v>
      </c>
      <c r="C279" s="31"/>
      <c r="D279" s="31"/>
      <c r="E279" s="31"/>
      <c r="F279" s="31"/>
    </row>
    <row r="280" spans="2:6" x14ac:dyDescent="0.25">
      <c r="B280" s="4">
        <v>258</v>
      </c>
      <c r="C280" s="31"/>
      <c r="D280" s="31"/>
      <c r="E280" s="31"/>
      <c r="F280" s="31"/>
    </row>
    <row r="281" spans="2:6" x14ac:dyDescent="0.25">
      <c r="B281" s="4">
        <v>259</v>
      </c>
      <c r="C281" s="31"/>
      <c r="D281" s="31"/>
      <c r="E281" s="31"/>
      <c r="F281" s="31"/>
    </row>
    <row r="282" spans="2:6" x14ac:dyDescent="0.25">
      <c r="B282" s="4">
        <v>260</v>
      </c>
      <c r="C282" s="31"/>
      <c r="D282" s="31"/>
      <c r="E282" s="31"/>
      <c r="F282" s="31"/>
    </row>
    <row r="283" spans="2:6" x14ac:dyDescent="0.25">
      <c r="B283" s="4">
        <v>261</v>
      </c>
      <c r="C283" s="31"/>
      <c r="D283" s="31"/>
      <c r="E283" s="31"/>
      <c r="F283" s="31"/>
    </row>
    <row r="284" spans="2:6" x14ac:dyDescent="0.25">
      <c r="B284" s="4">
        <v>262</v>
      </c>
      <c r="C284" s="31"/>
      <c r="D284" s="31"/>
      <c r="E284" s="31"/>
      <c r="F284" s="31"/>
    </row>
    <row r="285" spans="2:6" x14ac:dyDescent="0.25">
      <c r="B285" s="4">
        <v>263</v>
      </c>
      <c r="C285" s="31"/>
      <c r="D285" s="31"/>
      <c r="E285" s="31"/>
      <c r="F285" s="31"/>
    </row>
    <row r="286" spans="2:6" x14ac:dyDescent="0.25">
      <c r="B286" s="4">
        <v>264</v>
      </c>
      <c r="C286" s="31"/>
      <c r="D286" s="31"/>
      <c r="E286" s="31"/>
      <c r="F286" s="31"/>
    </row>
    <row r="287" spans="2:6" x14ac:dyDescent="0.25">
      <c r="B287" s="4">
        <v>265</v>
      </c>
      <c r="C287" s="31"/>
      <c r="D287" s="31"/>
      <c r="E287" s="31"/>
      <c r="F287" s="31"/>
    </row>
    <row r="288" spans="2:6" x14ac:dyDescent="0.25">
      <c r="B288" s="4">
        <v>266</v>
      </c>
      <c r="C288" s="31"/>
      <c r="D288" s="31"/>
      <c r="E288" s="31"/>
      <c r="F288" s="31"/>
    </row>
    <row r="289" spans="2:6" x14ac:dyDescent="0.25">
      <c r="B289" s="4">
        <v>267</v>
      </c>
      <c r="C289" s="31"/>
      <c r="D289" s="31"/>
      <c r="E289" s="31"/>
      <c r="F289" s="31"/>
    </row>
    <row r="290" spans="2:6" x14ac:dyDescent="0.25">
      <c r="B290" s="4">
        <v>268</v>
      </c>
      <c r="C290" s="31"/>
      <c r="D290" s="31"/>
      <c r="E290" s="31"/>
      <c r="F290" s="31"/>
    </row>
    <row r="291" spans="2:6" x14ac:dyDescent="0.25">
      <c r="B291" s="4">
        <v>269</v>
      </c>
      <c r="C291" s="31"/>
      <c r="D291" s="31"/>
      <c r="E291" s="31"/>
      <c r="F291" s="31"/>
    </row>
    <row r="292" spans="2:6" x14ac:dyDescent="0.25">
      <c r="B292" s="4">
        <v>270</v>
      </c>
      <c r="C292" s="31"/>
      <c r="D292" s="31"/>
      <c r="E292" s="31"/>
      <c r="F292" s="31"/>
    </row>
    <row r="293" spans="2:6" x14ac:dyDescent="0.25">
      <c r="B293" s="4">
        <v>271</v>
      </c>
      <c r="C293" s="31"/>
      <c r="D293" s="31"/>
      <c r="E293" s="31"/>
      <c r="F293" s="31"/>
    </row>
    <row r="294" spans="2:6" x14ac:dyDescent="0.25">
      <c r="B294" s="4">
        <v>272</v>
      </c>
      <c r="C294" s="31"/>
      <c r="D294" s="31"/>
      <c r="E294" s="31"/>
      <c r="F294" s="31"/>
    </row>
    <row r="295" spans="2:6" x14ac:dyDescent="0.25">
      <c r="B295" s="4">
        <v>273</v>
      </c>
      <c r="C295" s="31"/>
      <c r="D295" s="31"/>
      <c r="E295" s="31"/>
      <c r="F295" s="31"/>
    </row>
    <row r="296" spans="2:6" x14ac:dyDescent="0.25">
      <c r="B296" s="4">
        <v>274</v>
      </c>
      <c r="C296" s="31"/>
      <c r="D296" s="31"/>
      <c r="E296" s="31"/>
      <c r="F296" s="31"/>
    </row>
    <row r="297" spans="2:6" x14ac:dyDescent="0.25">
      <c r="B297" s="4">
        <v>275</v>
      </c>
      <c r="C297" s="31"/>
      <c r="D297" s="31"/>
      <c r="E297" s="31"/>
      <c r="F297" s="31"/>
    </row>
    <row r="298" spans="2:6" x14ac:dyDescent="0.25">
      <c r="B298" s="4">
        <v>276</v>
      </c>
      <c r="C298" s="31"/>
      <c r="D298" s="31"/>
      <c r="E298" s="31"/>
      <c r="F298" s="31"/>
    </row>
    <row r="299" spans="2:6" x14ac:dyDescent="0.25">
      <c r="B299" s="4">
        <v>277</v>
      </c>
      <c r="C299" s="31"/>
      <c r="D299" s="31"/>
      <c r="E299" s="31"/>
      <c r="F299" s="31"/>
    </row>
    <row r="300" spans="2:6" x14ac:dyDescent="0.25">
      <c r="B300" s="4">
        <v>278</v>
      </c>
      <c r="C300" s="31"/>
      <c r="D300" s="31"/>
      <c r="E300" s="31"/>
      <c r="F300" s="31"/>
    </row>
    <row r="301" spans="2:6" x14ac:dyDescent="0.25">
      <c r="B301" s="4">
        <v>279</v>
      </c>
      <c r="C301" s="31"/>
      <c r="D301" s="31"/>
      <c r="E301" s="31"/>
      <c r="F301" s="31"/>
    </row>
    <row r="302" spans="2:6" x14ac:dyDescent="0.25">
      <c r="B302" s="4">
        <v>280</v>
      </c>
      <c r="C302" s="31"/>
      <c r="D302" s="31"/>
      <c r="E302" s="31"/>
      <c r="F302" s="31"/>
    </row>
    <row r="303" spans="2:6" x14ac:dyDescent="0.25">
      <c r="B303" s="4">
        <v>281</v>
      </c>
      <c r="C303" s="31"/>
      <c r="D303" s="31"/>
      <c r="E303" s="31"/>
      <c r="F303" s="31"/>
    </row>
    <row r="304" spans="2:6" x14ac:dyDescent="0.25">
      <c r="B304" s="4">
        <v>282</v>
      </c>
      <c r="C304" s="31"/>
      <c r="D304" s="31"/>
      <c r="E304" s="31"/>
      <c r="F304" s="31"/>
    </row>
    <row r="305" spans="2:6" x14ac:dyDescent="0.25">
      <c r="B305" s="4">
        <v>283</v>
      </c>
      <c r="C305" s="31"/>
      <c r="D305" s="31"/>
      <c r="E305" s="31"/>
      <c r="F305" s="31"/>
    </row>
    <row r="306" spans="2:6" x14ac:dyDescent="0.25">
      <c r="B306" s="4">
        <v>284</v>
      </c>
      <c r="C306" s="31"/>
      <c r="D306" s="31"/>
      <c r="E306" s="31"/>
      <c r="F306" s="31"/>
    </row>
    <row r="307" spans="2:6" x14ac:dyDescent="0.25">
      <c r="B307" s="4">
        <v>285</v>
      </c>
      <c r="C307" s="31"/>
      <c r="D307" s="31"/>
      <c r="E307" s="31"/>
      <c r="F307" s="31"/>
    </row>
    <row r="308" spans="2:6" x14ac:dyDescent="0.25">
      <c r="B308" s="4">
        <v>286</v>
      </c>
      <c r="C308" s="31"/>
      <c r="D308" s="31"/>
      <c r="E308" s="31"/>
      <c r="F308" s="31"/>
    </row>
    <row r="309" spans="2:6" x14ac:dyDescent="0.25">
      <c r="B309" s="4">
        <v>287</v>
      </c>
      <c r="C309" s="31"/>
      <c r="D309" s="31"/>
      <c r="E309" s="31"/>
      <c r="F309" s="31"/>
    </row>
    <row r="310" spans="2:6" x14ac:dyDescent="0.25">
      <c r="B310" s="4">
        <v>288</v>
      </c>
      <c r="C310" s="31"/>
      <c r="D310" s="31"/>
      <c r="E310" s="31"/>
      <c r="F310" s="31"/>
    </row>
    <row r="311" spans="2:6" x14ac:dyDescent="0.25">
      <c r="B311" s="4">
        <v>289</v>
      </c>
      <c r="C311" s="31"/>
      <c r="D311" s="31"/>
      <c r="E311" s="31"/>
      <c r="F311" s="31"/>
    </row>
    <row r="312" spans="2:6" x14ac:dyDescent="0.25">
      <c r="B312" s="4">
        <v>290</v>
      </c>
      <c r="C312" s="31"/>
      <c r="D312" s="31"/>
      <c r="E312" s="31"/>
      <c r="F312" s="31"/>
    </row>
    <row r="313" spans="2:6" x14ac:dyDescent="0.25">
      <c r="B313" s="4">
        <v>291</v>
      </c>
      <c r="C313" s="31"/>
      <c r="D313" s="31"/>
      <c r="E313" s="31"/>
      <c r="F313" s="31"/>
    </row>
    <row r="314" spans="2:6" x14ac:dyDescent="0.25">
      <c r="B314" s="4">
        <v>292</v>
      </c>
      <c r="C314" s="31"/>
      <c r="D314" s="31"/>
      <c r="E314" s="31"/>
      <c r="F314" s="31"/>
    </row>
    <row r="315" spans="2:6" x14ac:dyDescent="0.25">
      <c r="B315" s="4">
        <v>293</v>
      </c>
      <c r="C315" s="31"/>
      <c r="D315" s="31"/>
      <c r="E315" s="31"/>
      <c r="F315" s="31"/>
    </row>
    <row r="316" spans="2:6" x14ac:dyDescent="0.25">
      <c r="B316" s="4">
        <v>294</v>
      </c>
      <c r="C316" s="31"/>
      <c r="D316" s="31"/>
      <c r="E316" s="31"/>
      <c r="F316" s="31"/>
    </row>
    <row r="317" spans="2:6" x14ac:dyDescent="0.25">
      <c r="B317" s="4">
        <v>295</v>
      </c>
      <c r="C317" s="31"/>
      <c r="D317" s="31"/>
      <c r="E317" s="31"/>
      <c r="F317" s="31"/>
    </row>
    <row r="318" spans="2:6" x14ac:dyDescent="0.25">
      <c r="B318" s="4">
        <v>296</v>
      </c>
      <c r="C318" s="31"/>
      <c r="D318" s="31"/>
      <c r="E318" s="31"/>
      <c r="F318" s="31"/>
    </row>
    <row r="319" spans="2:6" x14ac:dyDescent="0.25">
      <c r="B319" s="4">
        <v>297</v>
      </c>
      <c r="C319" s="31"/>
      <c r="D319" s="31"/>
      <c r="E319" s="31"/>
      <c r="F319" s="31"/>
    </row>
    <row r="320" spans="2:6" x14ac:dyDescent="0.25">
      <c r="B320" s="4">
        <v>298</v>
      </c>
      <c r="C320" s="31"/>
      <c r="D320" s="31"/>
      <c r="E320" s="31"/>
      <c r="F320" s="31"/>
    </row>
    <row r="321" spans="2:6" x14ac:dyDescent="0.25">
      <c r="B321" s="4">
        <v>299</v>
      </c>
      <c r="C321" s="31"/>
      <c r="D321" s="31"/>
      <c r="E321" s="31"/>
      <c r="F321" s="31"/>
    </row>
    <row r="322" spans="2:6" x14ac:dyDescent="0.25">
      <c r="B322" s="4">
        <v>300</v>
      </c>
      <c r="C322" s="31"/>
      <c r="D322" s="31"/>
      <c r="E322" s="31"/>
      <c r="F322" s="31"/>
    </row>
    <row r="323" spans="2:6" x14ac:dyDescent="0.25">
      <c r="B323" s="4">
        <v>301</v>
      </c>
      <c r="C323" s="31"/>
      <c r="D323" s="31"/>
      <c r="E323" s="31"/>
      <c r="F323" s="31"/>
    </row>
    <row r="324" spans="2:6" x14ac:dyDescent="0.25">
      <c r="B324" s="4">
        <v>302</v>
      </c>
      <c r="C324" s="31"/>
      <c r="D324" s="31"/>
      <c r="E324" s="31"/>
      <c r="F324" s="31"/>
    </row>
    <row r="325" spans="2:6" x14ac:dyDescent="0.25">
      <c r="B325" s="4">
        <v>303</v>
      </c>
      <c r="C325" s="31"/>
      <c r="D325" s="31"/>
      <c r="E325" s="31"/>
      <c r="F325" s="31"/>
    </row>
    <row r="326" spans="2:6" x14ac:dyDescent="0.25">
      <c r="B326" s="4">
        <v>304</v>
      </c>
      <c r="C326" s="31"/>
      <c r="D326" s="31"/>
      <c r="E326" s="31"/>
      <c r="F326" s="31"/>
    </row>
    <row r="327" spans="2:6" x14ac:dyDescent="0.25">
      <c r="B327" s="4">
        <v>305</v>
      </c>
      <c r="C327" s="31"/>
      <c r="D327" s="31"/>
      <c r="E327" s="31"/>
      <c r="F327" s="31"/>
    </row>
    <row r="328" spans="2:6" x14ac:dyDescent="0.25">
      <c r="B328" s="4">
        <v>306</v>
      </c>
      <c r="C328" s="31"/>
      <c r="D328" s="31"/>
      <c r="E328" s="31"/>
      <c r="F328" s="31"/>
    </row>
    <row r="329" spans="2:6" x14ac:dyDescent="0.25">
      <c r="B329" s="4">
        <v>307</v>
      </c>
      <c r="C329" s="31"/>
      <c r="D329" s="31"/>
      <c r="E329" s="31"/>
      <c r="F329" s="31"/>
    </row>
    <row r="330" spans="2:6" x14ac:dyDescent="0.25">
      <c r="B330" s="4">
        <v>308</v>
      </c>
      <c r="C330" s="31"/>
      <c r="D330" s="31"/>
      <c r="E330" s="31"/>
      <c r="F330" s="31"/>
    </row>
    <row r="331" spans="2:6" x14ac:dyDescent="0.25">
      <c r="B331" s="4">
        <v>309</v>
      </c>
      <c r="C331" s="31"/>
      <c r="D331" s="31"/>
      <c r="E331" s="31"/>
      <c r="F331" s="31"/>
    </row>
    <row r="332" spans="2:6" x14ac:dyDescent="0.25">
      <c r="B332" s="4">
        <v>310</v>
      </c>
      <c r="C332" s="31"/>
      <c r="D332" s="31"/>
      <c r="E332" s="31"/>
      <c r="F332" s="31"/>
    </row>
    <row r="333" spans="2:6" x14ac:dyDescent="0.25">
      <c r="B333" s="4">
        <v>311</v>
      </c>
      <c r="C333" s="31"/>
      <c r="D333" s="31"/>
      <c r="E333" s="31"/>
      <c r="F333" s="31"/>
    </row>
    <row r="334" spans="2:6" x14ac:dyDescent="0.25">
      <c r="B334" s="4">
        <v>312</v>
      </c>
      <c r="C334" s="31"/>
      <c r="D334" s="31"/>
      <c r="E334" s="31"/>
      <c r="F334" s="31"/>
    </row>
    <row r="335" spans="2:6" x14ac:dyDescent="0.25">
      <c r="B335" s="4">
        <v>313</v>
      </c>
      <c r="C335" s="31"/>
      <c r="D335" s="31"/>
      <c r="E335" s="31"/>
      <c r="F335" s="31"/>
    </row>
    <row r="336" spans="2:6" x14ac:dyDescent="0.25">
      <c r="B336" s="4">
        <v>314</v>
      </c>
      <c r="C336" s="31"/>
      <c r="D336" s="31"/>
      <c r="E336" s="31"/>
      <c r="F336" s="31"/>
    </row>
    <row r="337" spans="2:6" x14ac:dyDescent="0.25">
      <c r="B337" s="4">
        <v>315</v>
      </c>
      <c r="C337" s="31"/>
      <c r="D337" s="31"/>
      <c r="E337" s="31"/>
      <c r="F337" s="31"/>
    </row>
    <row r="338" spans="2:6" x14ac:dyDescent="0.25">
      <c r="B338" s="4">
        <v>316</v>
      </c>
      <c r="C338" s="31"/>
      <c r="D338" s="31"/>
      <c r="E338" s="31"/>
      <c r="F338" s="31"/>
    </row>
    <row r="339" spans="2:6" x14ac:dyDescent="0.25">
      <c r="B339" s="4">
        <v>317</v>
      </c>
      <c r="C339" s="31"/>
      <c r="D339" s="31"/>
      <c r="E339" s="31"/>
      <c r="F339" s="31"/>
    </row>
    <row r="340" spans="2:6" x14ac:dyDescent="0.25">
      <c r="B340" s="4">
        <v>318</v>
      </c>
      <c r="C340" s="31"/>
      <c r="D340" s="31"/>
      <c r="E340" s="31"/>
      <c r="F340" s="31"/>
    </row>
    <row r="341" spans="2:6" x14ac:dyDescent="0.25">
      <c r="B341" s="4">
        <v>319</v>
      </c>
      <c r="C341" s="31"/>
      <c r="D341" s="31"/>
      <c r="E341" s="31"/>
      <c r="F341" s="31"/>
    </row>
    <row r="342" spans="2:6" x14ac:dyDescent="0.25">
      <c r="B342" s="4">
        <v>320</v>
      </c>
      <c r="C342" s="31"/>
      <c r="D342" s="31"/>
      <c r="E342" s="31"/>
      <c r="F342" s="31"/>
    </row>
    <row r="343" spans="2:6" x14ac:dyDescent="0.25">
      <c r="B343" s="4">
        <v>321</v>
      </c>
      <c r="C343" s="31"/>
      <c r="D343" s="31"/>
      <c r="E343" s="31"/>
      <c r="F343" s="31"/>
    </row>
    <row r="344" spans="2:6" x14ac:dyDescent="0.25">
      <c r="B344" s="4">
        <v>322</v>
      </c>
      <c r="C344" s="31"/>
      <c r="D344" s="31"/>
      <c r="E344" s="31"/>
      <c r="F344" s="31"/>
    </row>
    <row r="345" spans="2:6" x14ac:dyDescent="0.25">
      <c r="B345" s="4">
        <v>323</v>
      </c>
      <c r="C345" s="31"/>
      <c r="D345" s="31"/>
      <c r="E345" s="31"/>
      <c r="F345" s="31"/>
    </row>
    <row r="346" spans="2:6" x14ac:dyDescent="0.25">
      <c r="B346" s="4">
        <v>324</v>
      </c>
      <c r="C346" s="31"/>
      <c r="D346" s="31"/>
      <c r="E346" s="31"/>
      <c r="F346" s="31"/>
    </row>
    <row r="347" spans="2:6" x14ac:dyDescent="0.25">
      <c r="B347" s="4">
        <v>325</v>
      </c>
      <c r="C347" s="31"/>
      <c r="D347" s="31"/>
      <c r="E347" s="31"/>
      <c r="F347" s="31"/>
    </row>
    <row r="348" spans="2:6" x14ac:dyDescent="0.25">
      <c r="B348" s="4">
        <v>326</v>
      </c>
      <c r="C348" s="31"/>
      <c r="D348" s="31"/>
      <c r="E348" s="31"/>
      <c r="F348" s="31"/>
    </row>
    <row r="349" spans="2:6" x14ac:dyDescent="0.25">
      <c r="B349" s="4">
        <v>327</v>
      </c>
      <c r="C349" s="31"/>
      <c r="D349" s="31"/>
      <c r="E349" s="31"/>
      <c r="F349" s="31"/>
    </row>
    <row r="350" spans="2:6" x14ac:dyDescent="0.25">
      <c r="B350" s="4">
        <v>328</v>
      </c>
      <c r="C350" s="31"/>
      <c r="D350" s="31"/>
      <c r="E350" s="31"/>
      <c r="F350" s="31"/>
    </row>
    <row r="351" spans="2:6" x14ac:dyDescent="0.25">
      <c r="B351" s="4">
        <v>329</v>
      </c>
      <c r="C351" s="31"/>
      <c r="D351" s="31"/>
      <c r="E351" s="31"/>
      <c r="F351" s="31"/>
    </row>
    <row r="352" spans="2:6" x14ac:dyDescent="0.25">
      <c r="B352" s="4">
        <v>330</v>
      </c>
      <c r="C352" s="31"/>
      <c r="D352" s="31"/>
      <c r="E352" s="31"/>
      <c r="F352" s="31"/>
    </row>
    <row r="353" spans="2:6" x14ac:dyDescent="0.25">
      <c r="B353" s="4">
        <v>331</v>
      </c>
      <c r="C353" s="31"/>
      <c r="D353" s="31"/>
      <c r="E353" s="31"/>
      <c r="F353" s="31"/>
    </row>
    <row r="354" spans="2:6" x14ac:dyDescent="0.25">
      <c r="B354" s="4">
        <v>332</v>
      </c>
      <c r="C354" s="31"/>
      <c r="D354" s="31"/>
      <c r="E354" s="31"/>
      <c r="F354" s="31"/>
    </row>
    <row r="355" spans="2:6" x14ac:dyDescent="0.25">
      <c r="B355" s="4">
        <v>333</v>
      </c>
      <c r="C355" s="31"/>
      <c r="D355" s="31"/>
      <c r="E355" s="31"/>
      <c r="F355" s="31"/>
    </row>
    <row r="356" spans="2:6" x14ac:dyDescent="0.25">
      <c r="B356" s="4">
        <v>334</v>
      </c>
      <c r="C356" s="31"/>
      <c r="D356" s="31"/>
      <c r="E356" s="31"/>
      <c r="F356" s="31"/>
    </row>
    <row r="357" spans="2:6" x14ac:dyDescent="0.25">
      <c r="B357" s="4">
        <v>335</v>
      </c>
      <c r="C357" s="31"/>
      <c r="D357" s="31"/>
      <c r="E357" s="31"/>
      <c r="F357" s="31"/>
    </row>
    <row r="358" spans="2:6" x14ac:dyDescent="0.25">
      <c r="B358" s="4">
        <v>336</v>
      </c>
      <c r="C358" s="31"/>
      <c r="D358" s="31"/>
      <c r="E358" s="31"/>
      <c r="F358" s="31"/>
    </row>
    <row r="359" spans="2:6" x14ac:dyDescent="0.25">
      <c r="B359" s="4">
        <v>337</v>
      </c>
      <c r="C359" s="31"/>
      <c r="D359" s="31"/>
      <c r="E359" s="31"/>
      <c r="F359" s="31"/>
    </row>
    <row r="360" spans="2:6" x14ac:dyDescent="0.25">
      <c r="B360" s="4">
        <v>338</v>
      </c>
      <c r="C360" s="31"/>
      <c r="D360" s="31"/>
      <c r="E360" s="31"/>
      <c r="F360" s="31"/>
    </row>
    <row r="361" spans="2:6" x14ac:dyDescent="0.25">
      <c r="B361" s="4">
        <v>339</v>
      </c>
      <c r="C361" s="31"/>
      <c r="D361" s="31"/>
      <c r="E361" s="31"/>
      <c r="F361" s="31"/>
    </row>
    <row r="362" spans="2:6" x14ac:dyDescent="0.25">
      <c r="B362" s="4">
        <v>340</v>
      </c>
      <c r="C362" s="31"/>
      <c r="D362" s="31"/>
      <c r="E362" s="31"/>
      <c r="F362" s="31"/>
    </row>
    <row r="363" spans="2:6" x14ac:dyDescent="0.25">
      <c r="B363" s="4">
        <v>341</v>
      </c>
      <c r="C363" s="31"/>
      <c r="D363" s="31"/>
      <c r="E363" s="31"/>
      <c r="F363" s="31"/>
    </row>
    <row r="364" spans="2:6" x14ac:dyDescent="0.25">
      <c r="B364" s="4">
        <v>342</v>
      </c>
      <c r="C364" s="31"/>
      <c r="D364" s="31"/>
      <c r="E364" s="31"/>
      <c r="F364" s="31"/>
    </row>
    <row r="365" spans="2:6" x14ac:dyDescent="0.25">
      <c r="B365" s="4">
        <v>343</v>
      </c>
      <c r="C365" s="31"/>
      <c r="D365" s="31"/>
      <c r="E365" s="31"/>
      <c r="F365" s="31"/>
    </row>
    <row r="366" spans="2:6" x14ac:dyDescent="0.25">
      <c r="B366" s="4">
        <v>344</v>
      </c>
      <c r="C366" s="31"/>
      <c r="D366" s="31"/>
      <c r="E366" s="31"/>
      <c r="F366" s="31"/>
    </row>
    <row r="367" spans="2:6" x14ac:dyDescent="0.25">
      <c r="B367" s="4">
        <v>345</v>
      </c>
      <c r="C367" s="31"/>
      <c r="D367" s="31"/>
      <c r="E367" s="31"/>
      <c r="F367" s="31"/>
    </row>
    <row r="368" spans="2:6" x14ac:dyDescent="0.25">
      <c r="B368" s="4">
        <v>346</v>
      </c>
      <c r="C368" s="31"/>
      <c r="D368" s="31"/>
      <c r="E368" s="31"/>
      <c r="F368" s="31"/>
    </row>
    <row r="369" spans="2:6" x14ac:dyDescent="0.25">
      <c r="B369" s="4">
        <v>347</v>
      </c>
      <c r="C369" s="31"/>
      <c r="D369" s="31"/>
      <c r="E369" s="31"/>
      <c r="F369" s="31"/>
    </row>
    <row r="370" spans="2:6" x14ac:dyDescent="0.25">
      <c r="B370" s="4">
        <v>348</v>
      </c>
      <c r="C370" s="31"/>
      <c r="D370" s="31"/>
      <c r="E370" s="31"/>
      <c r="F370" s="31"/>
    </row>
    <row r="371" spans="2:6" x14ac:dyDescent="0.25">
      <c r="B371" s="4">
        <v>349</v>
      </c>
      <c r="C371" s="31"/>
      <c r="D371" s="31"/>
      <c r="E371" s="31"/>
      <c r="F371" s="31"/>
    </row>
    <row r="372" spans="2:6" x14ac:dyDescent="0.25">
      <c r="B372" s="4">
        <v>350</v>
      </c>
      <c r="C372" s="31"/>
      <c r="D372" s="31"/>
      <c r="E372" s="31"/>
      <c r="F372" s="31"/>
    </row>
    <row r="373" spans="2:6" x14ac:dyDescent="0.25">
      <c r="B373" s="4">
        <v>351</v>
      </c>
      <c r="C373" s="31"/>
      <c r="D373" s="31"/>
      <c r="E373" s="31"/>
      <c r="F373" s="31"/>
    </row>
    <row r="374" spans="2:6" x14ac:dyDescent="0.25">
      <c r="B374" s="4">
        <v>352</v>
      </c>
      <c r="C374" s="31"/>
      <c r="D374" s="31"/>
      <c r="E374" s="31"/>
      <c r="F374" s="31"/>
    </row>
    <row r="375" spans="2:6" x14ac:dyDescent="0.25">
      <c r="B375" s="4">
        <v>353</v>
      </c>
      <c r="C375" s="31"/>
      <c r="D375" s="31"/>
      <c r="E375" s="31"/>
      <c r="F375" s="31"/>
    </row>
    <row r="376" spans="2:6" x14ac:dyDescent="0.25">
      <c r="B376" s="4">
        <v>354</v>
      </c>
      <c r="C376" s="31"/>
      <c r="D376" s="31"/>
      <c r="E376" s="31"/>
      <c r="F376" s="31"/>
    </row>
    <row r="377" spans="2:6" x14ac:dyDescent="0.25">
      <c r="B377" s="4">
        <v>355</v>
      </c>
      <c r="C377" s="31"/>
      <c r="D377" s="31"/>
      <c r="E377" s="31"/>
      <c r="F377" s="31"/>
    </row>
    <row r="378" spans="2:6" x14ac:dyDescent="0.25">
      <c r="B378" s="4">
        <v>356</v>
      </c>
      <c r="C378" s="31"/>
      <c r="D378" s="31"/>
      <c r="E378" s="31"/>
      <c r="F378" s="31"/>
    </row>
    <row r="379" spans="2:6" x14ac:dyDescent="0.25">
      <c r="B379" s="4">
        <v>357</v>
      </c>
      <c r="C379" s="31"/>
      <c r="D379" s="31"/>
      <c r="E379" s="31"/>
      <c r="F379" s="31"/>
    </row>
    <row r="380" spans="2:6" x14ac:dyDescent="0.25">
      <c r="B380" s="4">
        <v>358</v>
      </c>
      <c r="C380" s="31"/>
      <c r="D380" s="31"/>
      <c r="E380" s="31"/>
      <c r="F380" s="31"/>
    </row>
    <row r="381" spans="2:6" x14ac:dyDescent="0.25">
      <c r="B381" s="4">
        <v>359</v>
      </c>
      <c r="C381" s="31"/>
      <c r="D381" s="31"/>
      <c r="E381" s="31"/>
      <c r="F381" s="31"/>
    </row>
    <row r="382" spans="2:6" x14ac:dyDescent="0.25">
      <c r="B382" s="4">
        <v>360</v>
      </c>
      <c r="C382" s="31"/>
      <c r="D382" s="31"/>
      <c r="E382" s="31"/>
      <c r="F382" s="31"/>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F6717-0E89-4E85-BECB-609F93667A5E}">
  <sheetPr>
    <tabColor rgb="FFFF0000"/>
  </sheetPr>
  <dimension ref="A1:U382"/>
  <sheetViews>
    <sheetView showGridLines="0" zoomScale="115" zoomScaleNormal="115" workbookViewId="0"/>
  </sheetViews>
  <sheetFormatPr defaultColWidth="8.85546875" defaultRowHeight="15" x14ac:dyDescent="0.25"/>
  <cols>
    <col min="1" max="1" width="4.85546875" bestFit="1" customWidth="1"/>
    <col min="2" max="2" width="33.140625" customWidth="1"/>
    <col min="3" max="3" width="12.140625" customWidth="1"/>
    <col min="4" max="4" width="18" customWidth="1"/>
    <col min="5" max="5" width="17.28515625" bestFit="1" customWidth="1"/>
    <col min="6" max="6" width="13.140625" customWidth="1"/>
    <col min="7" max="7" width="5.7109375" customWidth="1"/>
  </cols>
  <sheetData>
    <row r="1" spans="1:21" ht="4.5" customHeight="1" x14ac:dyDescent="0.25"/>
    <row r="2" spans="1:21" x14ac:dyDescent="0.25">
      <c r="A2" s="1"/>
      <c r="B2" s="16" t="s">
        <v>405</v>
      </c>
      <c r="C2" s="17"/>
      <c r="D2" s="17"/>
      <c r="E2" s="17"/>
      <c r="F2" s="17"/>
      <c r="G2" s="18"/>
    </row>
    <row r="3" spans="1:21" ht="4.5" customHeight="1" x14ac:dyDescent="0.25"/>
    <row r="4" spans="1:21" ht="30" x14ac:dyDescent="0.25">
      <c r="B4" s="15" t="s">
        <v>280</v>
      </c>
      <c r="C4" s="36" t="s">
        <v>283</v>
      </c>
      <c r="D4" s="15" t="s">
        <v>279</v>
      </c>
      <c r="T4" t="s">
        <v>284</v>
      </c>
      <c r="U4">
        <v>365</v>
      </c>
    </row>
    <row r="5" spans="1:21" ht="15" customHeight="1" x14ac:dyDescent="0.25">
      <c r="B5" s="5" t="s">
        <v>327</v>
      </c>
      <c r="C5" s="22">
        <v>525000</v>
      </c>
      <c r="D5" s="4"/>
      <c r="T5" t="s">
        <v>285</v>
      </c>
      <c r="U5">
        <v>12</v>
      </c>
    </row>
    <row r="6" spans="1:21" x14ac:dyDescent="0.25">
      <c r="B6" s="5" t="s">
        <v>277</v>
      </c>
      <c r="C6" s="21">
        <v>0.04</v>
      </c>
      <c r="D6" s="4"/>
      <c r="T6" t="s">
        <v>286</v>
      </c>
      <c r="U6">
        <v>4</v>
      </c>
    </row>
    <row r="7" spans="1:21" x14ac:dyDescent="0.25">
      <c r="B7" s="5" t="s">
        <v>278</v>
      </c>
      <c r="C7" s="19">
        <v>30</v>
      </c>
      <c r="D7" s="4"/>
      <c r="T7" t="s">
        <v>287</v>
      </c>
      <c r="U7">
        <v>1</v>
      </c>
    </row>
    <row r="8" spans="1:21" x14ac:dyDescent="0.25">
      <c r="B8" s="5" t="s">
        <v>270</v>
      </c>
      <c r="C8" s="19">
        <v>12</v>
      </c>
      <c r="D8" s="4"/>
    </row>
    <row r="9" spans="1:21" x14ac:dyDescent="0.25">
      <c r="B9" s="5" t="s">
        <v>314</v>
      </c>
      <c r="C9" s="19"/>
      <c r="D9" s="4"/>
    </row>
    <row r="10" spans="1:21" x14ac:dyDescent="0.25">
      <c r="B10" s="5" t="s">
        <v>281</v>
      </c>
      <c r="C10" s="20">
        <f>C6/C8</f>
        <v>3.3333333333333335E-3</v>
      </c>
      <c r="D10" s="4" t="str">
        <f ca="1">_xlfn.IFNA(_xlfn.FORMULATEXT(C10),"")</f>
        <v>=C6/C8</v>
      </c>
    </row>
    <row r="11" spans="1:21" x14ac:dyDescent="0.25">
      <c r="B11" s="5" t="s">
        <v>282</v>
      </c>
      <c r="C11" s="20">
        <f>C7*C8</f>
        <v>360</v>
      </c>
      <c r="D11" s="4" t="str">
        <f ca="1">_xlfn.IFNA(_xlfn.FORMULATEXT(C11),"")</f>
        <v>=C7*C8</v>
      </c>
    </row>
    <row r="12" spans="1:21" ht="15" customHeight="1" x14ac:dyDescent="0.25">
      <c r="B12" s="5" t="s">
        <v>325</v>
      </c>
      <c r="C12" s="23">
        <f>PMT(C10,C11,C5)</f>
        <v>-2506.4303011936622</v>
      </c>
      <c r="D12" s="4" t="str">
        <f ca="1">_xlfn.IFNA(_xlfn.FORMULATEXT(C12),"")</f>
        <v>=PMT(C10,C11,C5)</v>
      </c>
    </row>
    <row r="13" spans="1:21" ht="5.25" customHeight="1" x14ac:dyDescent="0.25"/>
    <row r="14" spans="1:21" x14ac:dyDescent="0.25">
      <c r="B14" s="28" t="s">
        <v>315</v>
      </c>
    </row>
    <row r="15" spans="1:21" x14ac:dyDescent="0.25">
      <c r="B15" t="str">
        <f ca="1">"Formula in cell "&amp;ADDRESS(ROW(C23),COLUMN(C23),4)&amp;": "&amp;_xlfn.FORMULATEXT(C23)</f>
        <v>Formula in cell C23: =-$C$12</v>
      </c>
    </row>
    <row r="16" spans="1:21" x14ac:dyDescent="0.25">
      <c r="B16" t="str">
        <f ca="1">"Formula in cell "&amp;ADDRESS(ROW(D23),COLUMN(D23),4)&amp;": "&amp;_xlfn.FORMULATEXT(D23)</f>
        <v>Formula in cell D23: =F22*C$10</v>
      </c>
    </row>
    <row r="17" spans="2:20" x14ac:dyDescent="0.25">
      <c r="B17" t="str">
        <f ca="1">"Formula in cell "&amp;ADDRESS(ROW(E23),COLUMN(E23),4)&amp;": "&amp;_xlfn.FORMULATEXT(E23)</f>
        <v>Formula in cell E23: =C23-D23</v>
      </c>
      <c r="E17" s="29" t="s">
        <v>316</v>
      </c>
    </row>
    <row r="18" spans="2:20" x14ac:dyDescent="0.25">
      <c r="B18" t="str">
        <f ca="1">"Formula in cell "&amp;ADDRESS(ROW(F23),COLUMN(F23),4)&amp;": "&amp;_xlfn.FORMULATEXT(F23)</f>
        <v>Formula in cell F23: =F22-E23</v>
      </c>
      <c r="E18" s="30" t="str">
        <f ca="1">"Formula in cell "&amp;ADDRESS(ROW(F22),COLUMN(F22),4)&amp;": "&amp;_xlfn.FORMULATEXT(F22)</f>
        <v>Formula in cell F22: =C5</v>
      </c>
    </row>
    <row r="19" spans="2:20" ht="5.25" customHeight="1" x14ac:dyDescent="0.25"/>
    <row r="20" spans="2:20" x14ac:dyDescent="0.25">
      <c r="B20" s="32" t="s">
        <v>317</v>
      </c>
      <c r="C20" s="32"/>
      <c r="D20" s="32"/>
      <c r="E20" s="32"/>
      <c r="F20" s="32"/>
    </row>
    <row r="21" spans="2:20" x14ac:dyDescent="0.25">
      <c r="B21" s="26" t="s">
        <v>319</v>
      </c>
      <c r="C21" s="27" t="s">
        <v>224</v>
      </c>
      <c r="D21" s="27" t="s">
        <v>311</v>
      </c>
      <c r="E21" s="27" t="s">
        <v>312</v>
      </c>
      <c r="F21" s="27" t="s">
        <v>313</v>
      </c>
      <c r="T21" t="str">
        <f>"Interest for month "&amp;B23&amp;" is the balance from previous month*period rate = $"&amp;FIXED(F22)&amp;"*"&amp;TEXT($C$10,"0.0000%")&amp;" = $"&amp;FIXED(F22*$C$10)</f>
        <v>Interest for month 1 is the balance from previous month*period rate = $525,000.00*0.3333% = $1,750.00</v>
      </c>
    </row>
    <row r="22" spans="2:20" x14ac:dyDescent="0.25">
      <c r="B22" s="4">
        <v>0</v>
      </c>
      <c r="C22" s="4"/>
      <c r="D22" s="4"/>
      <c r="E22" s="4"/>
      <c r="F22" s="31">
        <f>C5</f>
        <v>525000</v>
      </c>
      <c r="T22" t="str">
        <f>"Interest for month "&amp;B262&amp;" is the balance from previous month*period rate = $"&amp;FIXED(F261)&amp;"*"&amp;TEXT($C$10,"0.0000%")&amp;" = $"&amp;FIXED(F261*$C$10)</f>
        <v>Interest for month 240 is the balance from previous month*period rate = $249,236.20*0.3333% = $830.79</v>
      </c>
    </row>
    <row r="23" spans="2:20" x14ac:dyDescent="0.25">
      <c r="B23" s="4">
        <v>1</v>
      </c>
      <c r="C23" s="31">
        <f>-$C$12</f>
        <v>2506.4303011936622</v>
      </c>
      <c r="D23" s="31">
        <f>F22*C$10</f>
        <v>1750</v>
      </c>
      <c r="E23" s="31">
        <f>C23-D23</f>
        <v>756.43030119366222</v>
      </c>
      <c r="F23" s="31">
        <f>F22-E23</f>
        <v>524243.56969880633</v>
      </c>
    </row>
    <row r="24" spans="2:20" x14ac:dyDescent="0.25">
      <c r="B24" s="4">
        <v>2</v>
      </c>
      <c r="C24" s="31">
        <f t="shared" ref="C24:C87" si="0">-$C$12</f>
        <v>2506.4303011936622</v>
      </c>
      <c r="D24" s="31">
        <f t="shared" ref="D24:D87" si="1">F23*C$10</f>
        <v>1747.478565662688</v>
      </c>
      <c r="E24" s="31">
        <f t="shared" ref="E24:E87" si="2">C24-D24</f>
        <v>758.95173553097425</v>
      </c>
      <c r="F24" s="31">
        <f t="shared" ref="F24:F87" si="3">F23-E24</f>
        <v>523484.61796327535</v>
      </c>
    </row>
    <row r="25" spans="2:20" x14ac:dyDescent="0.25">
      <c r="B25" s="4">
        <v>3</v>
      </c>
      <c r="C25" s="31">
        <f t="shared" si="0"/>
        <v>2506.4303011936622</v>
      </c>
      <c r="D25" s="31">
        <f t="shared" si="1"/>
        <v>1744.9487265442513</v>
      </c>
      <c r="E25" s="31">
        <f t="shared" si="2"/>
        <v>761.48157464941096</v>
      </c>
      <c r="F25" s="31">
        <f t="shared" si="3"/>
        <v>522723.13638862595</v>
      </c>
    </row>
    <row r="26" spans="2:20" x14ac:dyDescent="0.25">
      <c r="B26" s="4">
        <v>4</v>
      </c>
      <c r="C26" s="31">
        <f t="shared" si="0"/>
        <v>2506.4303011936622</v>
      </c>
      <c r="D26" s="31">
        <f t="shared" si="1"/>
        <v>1742.4104546287533</v>
      </c>
      <c r="E26" s="31">
        <f t="shared" si="2"/>
        <v>764.0198465649089</v>
      </c>
      <c r="F26" s="31">
        <f t="shared" si="3"/>
        <v>521959.11654206103</v>
      </c>
    </row>
    <row r="27" spans="2:20" x14ac:dyDescent="0.25">
      <c r="B27" s="4">
        <v>5</v>
      </c>
      <c r="C27" s="31">
        <f t="shared" si="0"/>
        <v>2506.4303011936622</v>
      </c>
      <c r="D27" s="31">
        <f t="shared" si="1"/>
        <v>1739.8637218068702</v>
      </c>
      <c r="E27" s="31">
        <f t="shared" si="2"/>
        <v>766.566579386792</v>
      </c>
      <c r="F27" s="31">
        <f t="shared" si="3"/>
        <v>521192.54996267427</v>
      </c>
    </row>
    <row r="28" spans="2:20" x14ac:dyDescent="0.25">
      <c r="B28" s="4">
        <v>6</v>
      </c>
      <c r="C28" s="31">
        <f t="shared" si="0"/>
        <v>2506.4303011936622</v>
      </c>
      <c r="D28" s="31">
        <f t="shared" si="1"/>
        <v>1737.308499875581</v>
      </c>
      <c r="E28" s="31">
        <f t="shared" si="2"/>
        <v>769.12180131808122</v>
      </c>
      <c r="F28" s="31">
        <f t="shared" si="3"/>
        <v>520423.42816135619</v>
      </c>
    </row>
    <row r="29" spans="2:20" x14ac:dyDescent="0.25">
      <c r="B29" s="4">
        <v>7</v>
      </c>
      <c r="C29" s="31">
        <f t="shared" si="0"/>
        <v>2506.4303011936622</v>
      </c>
      <c r="D29" s="31">
        <f t="shared" si="1"/>
        <v>1734.7447605378541</v>
      </c>
      <c r="E29" s="31">
        <f t="shared" si="2"/>
        <v>771.68554065580815</v>
      </c>
      <c r="F29" s="31">
        <f t="shared" si="3"/>
        <v>519651.74262070039</v>
      </c>
      <c r="G29" s="1"/>
    </row>
    <row r="30" spans="2:20" x14ac:dyDescent="0.25">
      <c r="B30" s="4">
        <v>8</v>
      </c>
      <c r="C30" s="31">
        <f t="shared" si="0"/>
        <v>2506.4303011936622</v>
      </c>
      <c r="D30" s="31">
        <f t="shared" si="1"/>
        <v>1732.1724754023348</v>
      </c>
      <c r="E30" s="31">
        <f t="shared" si="2"/>
        <v>774.25782579132738</v>
      </c>
      <c r="F30" s="31">
        <f t="shared" si="3"/>
        <v>518877.48479490908</v>
      </c>
    </row>
    <row r="31" spans="2:20" x14ac:dyDescent="0.25">
      <c r="B31" s="4">
        <v>9</v>
      </c>
      <c r="C31" s="31">
        <f t="shared" si="0"/>
        <v>2506.4303011936622</v>
      </c>
      <c r="D31" s="31">
        <f t="shared" si="1"/>
        <v>1729.5916159830304</v>
      </c>
      <c r="E31" s="31">
        <f t="shared" si="2"/>
        <v>776.83868521063187</v>
      </c>
      <c r="F31" s="31">
        <f t="shared" si="3"/>
        <v>518100.64610969846</v>
      </c>
    </row>
    <row r="32" spans="2:20" x14ac:dyDescent="0.25">
      <c r="B32" s="4">
        <v>10</v>
      </c>
      <c r="C32" s="31">
        <f t="shared" si="0"/>
        <v>2506.4303011936622</v>
      </c>
      <c r="D32" s="31">
        <f t="shared" si="1"/>
        <v>1727.002153698995</v>
      </c>
      <c r="E32" s="31">
        <f t="shared" si="2"/>
        <v>779.4281474946672</v>
      </c>
      <c r="F32" s="31">
        <f t="shared" si="3"/>
        <v>517321.21796220378</v>
      </c>
    </row>
    <row r="33" spans="2:6" hidden="1" x14ac:dyDescent="0.25">
      <c r="B33" s="4">
        <v>11</v>
      </c>
      <c r="C33" s="31">
        <f t="shared" si="0"/>
        <v>2506.4303011936622</v>
      </c>
      <c r="D33" s="31">
        <f t="shared" si="1"/>
        <v>1724.4040598740128</v>
      </c>
      <c r="E33" s="31">
        <f t="shared" si="2"/>
        <v>782.02624131964944</v>
      </c>
      <c r="F33" s="31">
        <f t="shared" si="3"/>
        <v>516539.19172088412</v>
      </c>
    </row>
    <row r="34" spans="2:6" hidden="1" x14ac:dyDescent="0.25">
      <c r="B34" s="4">
        <v>12</v>
      </c>
      <c r="C34" s="31">
        <f t="shared" si="0"/>
        <v>2506.4303011936622</v>
      </c>
      <c r="D34" s="31">
        <f t="shared" si="1"/>
        <v>1721.7973057362806</v>
      </c>
      <c r="E34" s="31">
        <f t="shared" si="2"/>
        <v>784.63299545738164</v>
      </c>
      <c r="F34" s="31">
        <f t="shared" si="3"/>
        <v>515754.55872542673</v>
      </c>
    </row>
    <row r="35" spans="2:6" hidden="1" x14ac:dyDescent="0.25">
      <c r="B35" s="4">
        <v>13</v>
      </c>
      <c r="C35" s="31">
        <f t="shared" si="0"/>
        <v>2506.4303011936622</v>
      </c>
      <c r="D35" s="31">
        <f t="shared" si="1"/>
        <v>1719.1818624180892</v>
      </c>
      <c r="E35" s="31">
        <f t="shared" si="2"/>
        <v>787.24843877557305</v>
      </c>
      <c r="F35" s="31">
        <f t="shared" si="3"/>
        <v>514967.31028665113</v>
      </c>
    </row>
    <row r="36" spans="2:6" hidden="1" x14ac:dyDescent="0.25">
      <c r="B36" s="4">
        <v>14</v>
      </c>
      <c r="C36" s="31">
        <f t="shared" si="0"/>
        <v>2506.4303011936622</v>
      </c>
      <c r="D36" s="31">
        <f t="shared" si="1"/>
        <v>1716.5577009555038</v>
      </c>
      <c r="E36" s="31">
        <f t="shared" si="2"/>
        <v>789.87260023815838</v>
      </c>
      <c r="F36" s="31">
        <f t="shared" si="3"/>
        <v>514177.437686413</v>
      </c>
    </row>
    <row r="37" spans="2:6" hidden="1" x14ac:dyDescent="0.25">
      <c r="B37" s="4">
        <v>15</v>
      </c>
      <c r="C37" s="31">
        <f t="shared" si="0"/>
        <v>2506.4303011936622</v>
      </c>
      <c r="D37" s="31">
        <f t="shared" si="1"/>
        <v>1713.9247922880434</v>
      </c>
      <c r="E37" s="31">
        <f t="shared" si="2"/>
        <v>792.50550890561885</v>
      </c>
      <c r="F37" s="31">
        <f t="shared" si="3"/>
        <v>513384.93217750738</v>
      </c>
    </row>
    <row r="38" spans="2:6" hidden="1" x14ac:dyDescent="0.25">
      <c r="B38" s="4">
        <v>16</v>
      </c>
      <c r="C38" s="31">
        <f t="shared" si="0"/>
        <v>2506.4303011936622</v>
      </c>
      <c r="D38" s="31">
        <f t="shared" si="1"/>
        <v>1711.2831072583581</v>
      </c>
      <c r="E38" s="31">
        <f t="shared" si="2"/>
        <v>795.14719393530413</v>
      </c>
      <c r="F38" s="31">
        <f t="shared" si="3"/>
        <v>512589.78498357208</v>
      </c>
    </row>
    <row r="39" spans="2:6" hidden="1" x14ac:dyDescent="0.25">
      <c r="B39" s="4">
        <v>17</v>
      </c>
      <c r="C39" s="31">
        <f t="shared" si="0"/>
        <v>2506.4303011936622</v>
      </c>
      <c r="D39" s="31">
        <f t="shared" si="1"/>
        <v>1708.632616611907</v>
      </c>
      <c r="E39" s="31">
        <f t="shared" si="2"/>
        <v>797.79768458175522</v>
      </c>
      <c r="F39" s="31">
        <f t="shared" si="3"/>
        <v>511791.98729899031</v>
      </c>
    </row>
    <row r="40" spans="2:6" hidden="1" x14ac:dyDescent="0.25">
      <c r="B40" s="4">
        <v>18</v>
      </c>
      <c r="C40" s="31">
        <f t="shared" si="0"/>
        <v>2506.4303011936622</v>
      </c>
      <c r="D40" s="31">
        <f t="shared" si="1"/>
        <v>1705.9732909966344</v>
      </c>
      <c r="E40" s="31">
        <f t="shared" si="2"/>
        <v>800.45701019702778</v>
      </c>
      <c r="F40" s="31">
        <f t="shared" si="3"/>
        <v>510991.53028879326</v>
      </c>
    </row>
    <row r="41" spans="2:6" hidden="1" x14ac:dyDescent="0.25">
      <c r="B41" s="4">
        <v>19</v>
      </c>
      <c r="C41" s="31">
        <f t="shared" si="0"/>
        <v>2506.4303011936622</v>
      </c>
      <c r="D41" s="31">
        <f t="shared" si="1"/>
        <v>1703.3051009626442</v>
      </c>
      <c r="E41" s="31">
        <f t="shared" si="2"/>
        <v>803.12520023101797</v>
      </c>
      <c r="F41" s="31">
        <f t="shared" si="3"/>
        <v>510188.40508856223</v>
      </c>
    </row>
    <row r="42" spans="2:6" hidden="1" x14ac:dyDescent="0.25">
      <c r="B42" s="4">
        <v>20</v>
      </c>
      <c r="C42" s="31">
        <f t="shared" si="0"/>
        <v>2506.4303011936622</v>
      </c>
      <c r="D42" s="31">
        <f t="shared" si="1"/>
        <v>1700.6280169618742</v>
      </c>
      <c r="E42" s="31">
        <f t="shared" si="2"/>
        <v>805.80228423178801</v>
      </c>
      <c r="F42" s="31">
        <f t="shared" si="3"/>
        <v>509382.60280433041</v>
      </c>
    </row>
    <row r="43" spans="2:6" hidden="1" x14ac:dyDescent="0.25">
      <c r="B43" s="4">
        <v>21</v>
      </c>
      <c r="C43" s="31">
        <f t="shared" si="0"/>
        <v>2506.4303011936622</v>
      </c>
      <c r="D43" s="31">
        <f t="shared" si="1"/>
        <v>1697.9420093477681</v>
      </c>
      <c r="E43" s="31">
        <f t="shared" si="2"/>
        <v>808.48829184589408</v>
      </c>
      <c r="F43" s="31">
        <f t="shared" si="3"/>
        <v>508574.11451248452</v>
      </c>
    </row>
    <row r="44" spans="2:6" hidden="1" x14ac:dyDescent="0.25">
      <c r="B44" s="4">
        <v>22</v>
      </c>
      <c r="C44" s="31">
        <f t="shared" si="0"/>
        <v>2506.4303011936622</v>
      </c>
      <c r="D44" s="31">
        <f t="shared" si="1"/>
        <v>1695.2470483749485</v>
      </c>
      <c r="E44" s="31">
        <f t="shared" si="2"/>
        <v>811.18325281871375</v>
      </c>
      <c r="F44" s="31">
        <f t="shared" si="3"/>
        <v>507762.93125966581</v>
      </c>
    </row>
    <row r="45" spans="2:6" hidden="1" x14ac:dyDescent="0.25">
      <c r="B45" s="4">
        <v>23</v>
      </c>
      <c r="C45" s="31">
        <f t="shared" si="0"/>
        <v>2506.4303011936622</v>
      </c>
      <c r="D45" s="31">
        <f t="shared" si="1"/>
        <v>1692.5431041988861</v>
      </c>
      <c r="E45" s="31">
        <f t="shared" si="2"/>
        <v>813.8871969947761</v>
      </c>
      <c r="F45" s="31">
        <f t="shared" si="3"/>
        <v>506949.04406267102</v>
      </c>
    </row>
    <row r="46" spans="2:6" hidden="1" x14ac:dyDescent="0.25">
      <c r="B46" s="4">
        <v>24</v>
      </c>
      <c r="C46" s="31">
        <f t="shared" si="0"/>
        <v>2506.4303011936622</v>
      </c>
      <c r="D46" s="31">
        <f t="shared" si="1"/>
        <v>1689.8301468755701</v>
      </c>
      <c r="E46" s="31">
        <f t="shared" si="2"/>
        <v>816.60015431809211</v>
      </c>
      <c r="F46" s="31">
        <f t="shared" si="3"/>
        <v>506132.44390835293</v>
      </c>
    </row>
    <row r="47" spans="2:6" hidden="1" x14ac:dyDescent="0.25">
      <c r="B47" s="4">
        <v>25</v>
      </c>
      <c r="C47" s="31">
        <f t="shared" si="0"/>
        <v>2506.4303011936622</v>
      </c>
      <c r="D47" s="31">
        <f t="shared" si="1"/>
        <v>1687.1081463611765</v>
      </c>
      <c r="E47" s="31">
        <f t="shared" si="2"/>
        <v>819.32215483248569</v>
      </c>
      <c r="F47" s="31">
        <f t="shared" si="3"/>
        <v>505313.12175352045</v>
      </c>
    </row>
    <row r="48" spans="2:6" hidden="1" x14ac:dyDescent="0.25">
      <c r="B48" s="4">
        <v>26</v>
      </c>
      <c r="C48" s="31">
        <f t="shared" si="0"/>
        <v>2506.4303011936622</v>
      </c>
      <c r="D48" s="31">
        <f t="shared" si="1"/>
        <v>1684.3770725117349</v>
      </c>
      <c r="E48" s="31">
        <f t="shared" si="2"/>
        <v>822.05322868192729</v>
      </c>
      <c r="F48" s="31">
        <f t="shared" si="3"/>
        <v>504491.06852483854</v>
      </c>
    </row>
    <row r="49" spans="2:6" hidden="1" x14ac:dyDescent="0.25">
      <c r="B49" s="4">
        <v>27</v>
      </c>
      <c r="C49" s="31">
        <f t="shared" si="0"/>
        <v>2506.4303011936622</v>
      </c>
      <c r="D49" s="31">
        <f t="shared" si="1"/>
        <v>1681.6368950827953</v>
      </c>
      <c r="E49" s="31">
        <f t="shared" si="2"/>
        <v>824.79340611086695</v>
      </c>
      <c r="F49" s="31">
        <f t="shared" si="3"/>
        <v>503666.2751187277</v>
      </c>
    </row>
    <row r="50" spans="2:6" hidden="1" x14ac:dyDescent="0.25">
      <c r="B50" s="4">
        <v>28</v>
      </c>
      <c r="C50" s="31">
        <f t="shared" si="0"/>
        <v>2506.4303011936622</v>
      </c>
      <c r="D50" s="31">
        <f t="shared" si="1"/>
        <v>1678.8875837290925</v>
      </c>
      <c r="E50" s="31">
        <f t="shared" si="2"/>
        <v>827.54271746456971</v>
      </c>
      <c r="F50" s="31">
        <f t="shared" si="3"/>
        <v>502838.73240126314</v>
      </c>
    </row>
    <row r="51" spans="2:6" hidden="1" x14ac:dyDescent="0.25">
      <c r="B51" s="4">
        <v>29</v>
      </c>
      <c r="C51" s="31">
        <f t="shared" si="0"/>
        <v>2506.4303011936622</v>
      </c>
      <c r="D51" s="31">
        <f t="shared" si="1"/>
        <v>1676.1291080042106</v>
      </c>
      <c r="E51" s="31">
        <f t="shared" si="2"/>
        <v>830.30119318945162</v>
      </c>
      <c r="F51" s="31">
        <f t="shared" si="3"/>
        <v>502008.43120807369</v>
      </c>
    </row>
    <row r="52" spans="2:6" hidden="1" x14ac:dyDescent="0.25">
      <c r="B52" s="4">
        <v>30</v>
      </c>
      <c r="C52" s="31">
        <f t="shared" si="0"/>
        <v>2506.4303011936622</v>
      </c>
      <c r="D52" s="31">
        <f t="shared" si="1"/>
        <v>1673.3614373602456</v>
      </c>
      <c r="E52" s="31">
        <f t="shared" si="2"/>
        <v>833.06886383341657</v>
      </c>
      <c r="F52" s="31">
        <f t="shared" si="3"/>
        <v>501175.36234424025</v>
      </c>
    </row>
    <row r="53" spans="2:6" hidden="1" x14ac:dyDescent="0.25">
      <c r="B53" s="4">
        <v>31</v>
      </c>
      <c r="C53" s="31">
        <f t="shared" si="0"/>
        <v>2506.4303011936622</v>
      </c>
      <c r="D53" s="31">
        <f t="shared" si="1"/>
        <v>1670.5845411474677</v>
      </c>
      <c r="E53" s="31">
        <f t="shared" si="2"/>
        <v>835.84576004619453</v>
      </c>
      <c r="F53" s="31">
        <f t="shared" si="3"/>
        <v>500339.51658419403</v>
      </c>
    </row>
    <row r="54" spans="2:6" hidden="1" x14ac:dyDescent="0.25">
      <c r="B54" s="4">
        <v>32</v>
      </c>
      <c r="C54" s="31">
        <f t="shared" si="0"/>
        <v>2506.4303011936622</v>
      </c>
      <c r="D54" s="31">
        <f t="shared" si="1"/>
        <v>1667.7983886139803</v>
      </c>
      <c r="E54" s="31">
        <f t="shared" si="2"/>
        <v>838.63191257968197</v>
      </c>
      <c r="F54" s="31">
        <f t="shared" si="3"/>
        <v>499500.88467161433</v>
      </c>
    </row>
    <row r="55" spans="2:6" hidden="1" x14ac:dyDescent="0.25">
      <c r="B55" s="4">
        <v>33</v>
      </c>
      <c r="C55" s="31">
        <f t="shared" si="0"/>
        <v>2506.4303011936622</v>
      </c>
      <c r="D55" s="31">
        <f t="shared" si="1"/>
        <v>1665.0029489053811</v>
      </c>
      <c r="E55" s="31">
        <f t="shared" si="2"/>
        <v>841.4273522882811</v>
      </c>
      <c r="F55" s="31">
        <f t="shared" si="3"/>
        <v>498659.45731932606</v>
      </c>
    </row>
    <row r="56" spans="2:6" hidden="1" x14ac:dyDescent="0.25">
      <c r="B56" s="4">
        <v>34</v>
      </c>
      <c r="C56" s="31">
        <f t="shared" si="0"/>
        <v>2506.4303011936622</v>
      </c>
      <c r="D56" s="31">
        <f t="shared" si="1"/>
        <v>1662.1981910644204</v>
      </c>
      <c r="E56" s="31">
        <f t="shared" si="2"/>
        <v>844.23211012924185</v>
      </c>
      <c r="F56" s="31">
        <f t="shared" si="3"/>
        <v>497815.2252091968</v>
      </c>
    </row>
    <row r="57" spans="2:6" hidden="1" x14ac:dyDescent="0.25">
      <c r="B57" s="4">
        <v>35</v>
      </c>
      <c r="C57" s="31">
        <f t="shared" si="0"/>
        <v>2506.4303011936622</v>
      </c>
      <c r="D57" s="31">
        <f t="shared" si="1"/>
        <v>1659.3840840306561</v>
      </c>
      <c r="E57" s="31">
        <f t="shared" si="2"/>
        <v>847.04621716300608</v>
      </c>
      <c r="F57" s="31">
        <f t="shared" si="3"/>
        <v>496968.17899203382</v>
      </c>
    </row>
    <row r="58" spans="2:6" hidden="1" x14ac:dyDescent="0.25">
      <c r="B58" s="4">
        <v>36</v>
      </c>
      <c r="C58" s="31">
        <f t="shared" si="0"/>
        <v>2506.4303011936622</v>
      </c>
      <c r="D58" s="31">
        <f t="shared" si="1"/>
        <v>1656.5605966401129</v>
      </c>
      <c r="E58" s="31">
        <f t="shared" si="2"/>
        <v>849.86970455354935</v>
      </c>
      <c r="F58" s="31">
        <f t="shared" si="3"/>
        <v>496118.30928748025</v>
      </c>
    </row>
    <row r="59" spans="2:6" hidden="1" x14ac:dyDescent="0.25">
      <c r="B59" s="4">
        <v>37</v>
      </c>
      <c r="C59" s="31">
        <f t="shared" si="0"/>
        <v>2506.4303011936622</v>
      </c>
      <c r="D59" s="31">
        <f t="shared" si="1"/>
        <v>1653.7276976249343</v>
      </c>
      <c r="E59" s="31">
        <f t="shared" si="2"/>
        <v>852.70260356872791</v>
      </c>
      <c r="F59" s="31">
        <f t="shared" si="3"/>
        <v>495265.60668391152</v>
      </c>
    </row>
    <row r="60" spans="2:6" hidden="1" x14ac:dyDescent="0.25">
      <c r="B60" s="4">
        <v>38</v>
      </c>
      <c r="C60" s="31">
        <f t="shared" si="0"/>
        <v>2506.4303011936622</v>
      </c>
      <c r="D60" s="31">
        <f t="shared" si="1"/>
        <v>1650.8853556130384</v>
      </c>
      <c r="E60" s="31">
        <f t="shared" si="2"/>
        <v>855.54494558062379</v>
      </c>
      <c r="F60" s="31">
        <f t="shared" si="3"/>
        <v>494410.06173833087</v>
      </c>
    </row>
    <row r="61" spans="2:6" hidden="1" x14ac:dyDescent="0.25">
      <c r="B61" s="4">
        <v>39</v>
      </c>
      <c r="C61" s="31">
        <f t="shared" si="0"/>
        <v>2506.4303011936622</v>
      </c>
      <c r="D61" s="31">
        <f t="shared" si="1"/>
        <v>1648.0335391277697</v>
      </c>
      <c r="E61" s="31">
        <f t="shared" si="2"/>
        <v>858.39676206589252</v>
      </c>
      <c r="F61" s="31">
        <f t="shared" si="3"/>
        <v>493551.66497626499</v>
      </c>
    </row>
    <row r="62" spans="2:6" hidden="1" x14ac:dyDescent="0.25">
      <c r="B62" s="4">
        <v>40</v>
      </c>
      <c r="C62" s="31">
        <f t="shared" si="0"/>
        <v>2506.4303011936622</v>
      </c>
      <c r="D62" s="31">
        <f t="shared" si="1"/>
        <v>1645.1722165875501</v>
      </c>
      <c r="E62" s="31">
        <f t="shared" si="2"/>
        <v>861.25808460611211</v>
      </c>
      <c r="F62" s="31">
        <f t="shared" si="3"/>
        <v>492690.4068916589</v>
      </c>
    </row>
    <row r="63" spans="2:6" hidden="1" x14ac:dyDescent="0.25">
      <c r="B63" s="4">
        <v>41</v>
      </c>
      <c r="C63" s="31">
        <f t="shared" si="0"/>
        <v>2506.4303011936622</v>
      </c>
      <c r="D63" s="31">
        <f t="shared" si="1"/>
        <v>1642.3013563055297</v>
      </c>
      <c r="E63" s="31">
        <f t="shared" si="2"/>
        <v>864.12894488813254</v>
      </c>
      <c r="F63" s="31">
        <f t="shared" si="3"/>
        <v>491826.27794677077</v>
      </c>
    </row>
    <row r="64" spans="2:6" hidden="1" x14ac:dyDescent="0.25">
      <c r="B64" s="4">
        <v>42</v>
      </c>
      <c r="C64" s="31">
        <f t="shared" si="0"/>
        <v>2506.4303011936622</v>
      </c>
      <c r="D64" s="31">
        <f t="shared" si="1"/>
        <v>1639.4209264892361</v>
      </c>
      <c r="E64" s="31">
        <f t="shared" si="2"/>
        <v>867.00937470442614</v>
      </c>
      <c r="F64" s="31">
        <f t="shared" si="3"/>
        <v>490959.26857206633</v>
      </c>
    </row>
    <row r="65" spans="2:6" hidden="1" x14ac:dyDescent="0.25">
      <c r="B65" s="4">
        <v>43</v>
      </c>
      <c r="C65" s="31">
        <f t="shared" si="0"/>
        <v>2506.4303011936622</v>
      </c>
      <c r="D65" s="31">
        <f t="shared" si="1"/>
        <v>1636.5308952402213</v>
      </c>
      <c r="E65" s="31">
        <f t="shared" si="2"/>
        <v>869.89940595344092</v>
      </c>
      <c r="F65" s="31">
        <f t="shared" si="3"/>
        <v>490089.36916611291</v>
      </c>
    </row>
    <row r="66" spans="2:6" hidden="1" x14ac:dyDescent="0.25">
      <c r="B66" s="4">
        <v>44</v>
      </c>
      <c r="C66" s="31">
        <f t="shared" si="0"/>
        <v>2506.4303011936622</v>
      </c>
      <c r="D66" s="31">
        <f t="shared" si="1"/>
        <v>1633.6312305537099</v>
      </c>
      <c r="E66" s="31">
        <f t="shared" si="2"/>
        <v>872.79907063995233</v>
      </c>
      <c r="F66" s="31">
        <f t="shared" si="3"/>
        <v>489216.57009547297</v>
      </c>
    </row>
    <row r="67" spans="2:6" hidden="1" x14ac:dyDescent="0.25">
      <c r="B67" s="4">
        <v>45</v>
      </c>
      <c r="C67" s="31">
        <f t="shared" si="0"/>
        <v>2506.4303011936622</v>
      </c>
      <c r="D67" s="31">
        <f t="shared" si="1"/>
        <v>1630.7219003182433</v>
      </c>
      <c r="E67" s="31">
        <f t="shared" si="2"/>
        <v>875.70840087541887</v>
      </c>
      <c r="F67" s="31">
        <f t="shared" si="3"/>
        <v>488340.86169459752</v>
      </c>
    </row>
    <row r="68" spans="2:6" hidden="1" x14ac:dyDescent="0.25">
      <c r="B68" s="4">
        <v>46</v>
      </c>
      <c r="C68" s="31">
        <f t="shared" si="0"/>
        <v>2506.4303011936622</v>
      </c>
      <c r="D68" s="31">
        <f t="shared" si="1"/>
        <v>1627.8028723153252</v>
      </c>
      <c r="E68" s="31">
        <f t="shared" si="2"/>
        <v>878.62742887833701</v>
      </c>
      <c r="F68" s="31">
        <f t="shared" si="3"/>
        <v>487462.23426571919</v>
      </c>
    </row>
    <row r="69" spans="2:6" hidden="1" x14ac:dyDescent="0.25">
      <c r="B69" s="4">
        <v>47</v>
      </c>
      <c r="C69" s="31">
        <f t="shared" si="0"/>
        <v>2506.4303011936622</v>
      </c>
      <c r="D69" s="31">
        <f t="shared" si="1"/>
        <v>1624.874114219064</v>
      </c>
      <c r="E69" s="31">
        <f t="shared" si="2"/>
        <v>881.55618697459818</v>
      </c>
      <c r="F69" s="31">
        <f t="shared" si="3"/>
        <v>486580.67807874462</v>
      </c>
    </row>
    <row r="70" spans="2:6" hidden="1" x14ac:dyDescent="0.25">
      <c r="B70" s="4">
        <v>48</v>
      </c>
      <c r="C70" s="31">
        <f t="shared" si="0"/>
        <v>2506.4303011936622</v>
      </c>
      <c r="D70" s="31">
        <f t="shared" si="1"/>
        <v>1621.9355935958156</v>
      </c>
      <c r="E70" s="31">
        <f t="shared" si="2"/>
        <v>884.49470759784663</v>
      </c>
      <c r="F70" s="31">
        <f t="shared" si="3"/>
        <v>485696.18337114679</v>
      </c>
    </row>
    <row r="71" spans="2:6" hidden="1" x14ac:dyDescent="0.25">
      <c r="B71" s="4">
        <v>49</v>
      </c>
      <c r="C71" s="31">
        <f t="shared" si="0"/>
        <v>2506.4303011936622</v>
      </c>
      <c r="D71" s="31">
        <f t="shared" si="1"/>
        <v>1618.9872779038228</v>
      </c>
      <c r="E71" s="31">
        <f t="shared" si="2"/>
        <v>887.4430232898394</v>
      </c>
      <c r="F71" s="31">
        <f t="shared" si="3"/>
        <v>484808.74034785695</v>
      </c>
    </row>
    <row r="72" spans="2:6" hidden="1" x14ac:dyDescent="0.25">
      <c r="B72" s="4">
        <v>50</v>
      </c>
      <c r="C72" s="31">
        <f t="shared" si="0"/>
        <v>2506.4303011936622</v>
      </c>
      <c r="D72" s="31">
        <f t="shared" si="1"/>
        <v>1616.0291344928567</v>
      </c>
      <c r="E72" s="31">
        <f t="shared" si="2"/>
        <v>890.40116670080556</v>
      </c>
      <c r="F72" s="31">
        <f t="shared" si="3"/>
        <v>483918.33918115613</v>
      </c>
    </row>
    <row r="73" spans="2:6" hidden="1" x14ac:dyDescent="0.25">
      <c r="B73" s="4">
        <v>51</v>
      </c>
      <c r="C73" s="31">
        <f t="shared" si="0"/>
        <v>2506.4303011936622</v>
      </c>
      <c r="D73" s="31">
        <f t="shared" si="1"/>
        <v>1613.0611306038538</v>
      </c>
      <c r="E73" s="31">
        <f t="shared" si="2"/>
        <v>893.36917058980839</v>
      </c>
      <c r="F73" s="31">
        <f t="shared" si="3"/>
        <v>483024.97001056635</v>
      </c>
    </row>
    <row r="74" spans="2:6" hidden="1" x14ac:dyDescent="0.25">
      <c r="B74" s="4">
        <v>52</v>
      </c>
      <c r="C74" s="31">
        <f t="shared" si="0"/>
        <v>2506.4303011936622</v>
      </c>
      <c r="D74" s="31">
        <f t="shared" si="1"/>
        <v>1610.0832333685546</v>
      </c>
      <c r="E74" s="31">
        <f t="shared" si="2"/>
        <v>896.34706782510762</v>
      </c>
      <c r="F74" s="31">
        <f t="shared" si="3"/>
        <v>482128.62294274126</v>
      </c>
    </row>
    <row r="75" spans="2:6" hidden="1" x14ac:dyDescent="0.25">
      <c r="B75" s="4">
        <v>53</v>
      </c>
      <c r="C75" s="31">
        <f t="shared" si="0"/>
        <v>2506.4303011936622</v>
      </c>
      <c r="D75" s="31">
        <f t="shared" si="1"/>
        <v>1607.0954098091377</v>
      </c>
      <c r="E75" s="31">
        <f t="shared" si="2"/>
        <v>899.33489138452455</v>
      </c>
      <c r="F75" s="31">
        <f t="shared" si="3"/>
        <v>481229.28805135674</v>
      </c>
    </row>
    <row r="76" spans="2:6" hidden="1" x14ac:dyDescent="0.25">
      <c r="B76" s="4">
        <v>54</v>
      </c>
      <c r="C76" s="31">
        <f t="shared" si="0"/>
        <v>2506.4303011936622</v>
      </c>
      <c r="D76" s="31">
        <f t="shared" si="1"/>
        <v>1604.0976268378558</v>
      </c>
      <c r="E76" s="31">
        <f t="shared" si="2"/>
        <v>902.33267435580638</v>
      </c>
      <c r="F76" s="31">
        <f t="shared" si="3"/>
        <v>480326.95537700091</v>
      </c>
    </row>
    <row r="77" spans="2:6" hidden="1" x14ac:dyDescent="0.25">
      <c r="B77" s="4">
        <v>55</v>
      </c>
      <c r="C77" s="31">
        <f t="shared" si="0"/>
        <v>2506.4303011936622</v>
      </c>
      <c r="D77" s="31">
        <f t="shared" si="1"/>
        <v>1601.0898512566698</v>
      </c>
      <c r="E77" s="31">
        <f t="shared" si="2"/>
        <v>905.3404499369924</v>
      </c>
      <c r="F77" s="31">
        <f t="shared" si="3"/>
        <v>479421.61492706393</v>
      </c>
    </row>
    <row r="78" spans="2:6" hidden="1" x14ac:dyDescent="0.25">
      <c r="B78" s="4">
        <v>56</v>
      </c>
      <c r="C78" s="31">
        <f t="shared" si="0"/>
        <v>2506.4303011936622</v>
      </c>
      <c r="D78" s="31">
        <f t="shared" si="1"/>
        <v>1598.0720497568798</v>
      </c>
      <c r="E78" s="31">
        <f t="shared" si="2"/>
        <v>908.35825143678244</v>
      </c>
      <c r="F78" s="31">
        <f t="shared" si="3"/>
        <v>478513.25667562714</v>
      </c>
    </row>
    <row r="79" spans="2:6" hidden="1" x14ac:dyDescent="0.25">
      <c r="B79" s="4">
        <v>57</v>
      </c>
      <c r="C79" s="31">
        <f t="shared" si="0"/>
        <v>2506.4303011936622</v>
      </c>
      <c r="D79" s="31">
        <f t="shared" si="1"/>
        <v>1595.0441889187573</v>
      </c>
      <c r="E79" s="31">
        <f t="shared" si="2"/>
        <v>911.38611227490492</v>
      </c>
      <c r="F79" s="31">
        <f t="shared" si="3"/>
        <v>477601.87056335225</v>
      </c>
    </row>
    <row r="80" spans="2:6" hidden="1" x14ac:dyDescent="0.25">
      <c r="B80" s="4">
        <v>58</v>
      </c>
      <c r="C80" s="31">
        <f t="shared" si="0"/>
        <v>2506.4303011936622</v>
      </c>
      <c r="D80" s="31">
        <f t="shared" si="1"/>
        <v>1592.0062352111743</v>
      </c>
      <c r="E80" s="31">
        <f t="shared" si="2"/>
        <v>914.42406598248795</v>
      </c>
      <c r="F80" s="31">
        <f t="shared" si="3"/>
        <v>476687.44649736973</v>
      </c>
    </row>
    <row r="81" spans="2:6" hidden="1" x14ac:dyDescent="0.25">
      <c r="B81" s="4">
        <v>59</v>
      </c>
      <c r="C81" s="31">
        <f t="shared" si="0"/>
        <v>2506.4303011936622</v>
      </c>
      <c r="D81" s="31">
        <f t="shared" si="1"/>
        <v>1588.9581549912325</v>
      </c>
      <c r="E81" s="31">
        <f t="shared" si="2"/>
        <v>917.47214620242971</v>
      </c>
      <c r="F81" s="31">
        <f t="shared" si="3"/>
        <v>475769.97435116733</v>
      </c>
    </row>
    <row r="82" spans="2:6" hidden="1" x14ac:dyDescent="0.25">
      <c r="B82" s="4">
        <v>60</v>
      </c>
      <c r="C82" s="31">
        <f t="shared" si="0"/>
        <v>2506.4303011936622</v>
      </c>
      <c r="D82" s="31">
        <f t="shared" si="1"/>
        <v>1585.8999145038913</v>
      </c>
      <c r="E82" s="31">
        <f t="shared" si="2"/>
        <v>920.53038668977092</v>
      </c>
      <c r="F82" s="31">
        <f t="shared" si="3"/>
        <v>474849.44396447757</v>
      </c>
    </row>
    <row r="83" spans="2:6" hidden="1" x14ac:dyDescent="0.25">
      <c r="B83" s="4">
        <v>61</v>
      </c>
      <c r="C83" s="31">
        <f t="shared" si="0"/>
        <v>2506.4303011936622</v>
      </c>
      <c r="D83" s="31">
        <f t="shared" si="1"/>
        <v>1582.831479881592</v>
      </c>
      <c r="E83" s="31">
        <f t="shared" si="2"/>
        <v>923.59882131207019</v>
      </c>
      <c r="F83" s="31">
        <f t="shared" si="3"/>
        <v>473925.8451431655</v>
      </c>
    </row>
    <row r="84" spans="2:6" hidden="1" x14ac:dyDescent="0.25">
      <c r="B84" s="4">
        <v>62</v>
      </c>
      <c r="C84" s="31">
        <f t="shared" si="0"/>
        <v>2506.4303011936622</v>
      </c>
      <c r="D84" s="31">
        <f t="shared" si="1"/>
        <v>1579.7528171438851</v>
      </c>
      <c r="E84" s="31">
        <f t="shared" si="2"/>
        <v>926.67748404977715</v>
      </c>
      <c r="F84" s="31">
        <f t="shared" si="3"/>
        <v>472999.16765911574</v>
      </c>
    </row>
    <row r="85" spans="2:6" hidden="1" x14ac:dyDescent="0.25">
      <c r="B85" s="4">
        <v>63</v>
      </c>
      <c r="C85" s="31">
        <f t="shared" si="0"/>
        <v>2506.4303011936622</v>
      </c>
      <c r="D85" s="31">
        <f t="shared" si="1"/>
        <v>1576.6638921970525</v>
      </c>
      <c r="E85" s="31">
        <f t="shared" si="2"/>
        <v>929.7664089966097</v>
      </c>
      <c r="F85" s="31">
        <f t="shared" si="3"/>
        <v>472069.40125011915</v>
      </c>
    </row>
    <row r="86" spans="2:6" hidden="1" x14ac:dyDescent="0.25">
      <c r="B86" s="4">
        <v>64</v>
      </c>
      <c r="C86" s="31">
        <f t="shared" si="0"/>
        <v>2506.4303011936622</v>
      </c>
      <c r="D86" s="31">
        <f t="shared" si="1"/>
        <v>1573.5646708337306</v>
      </c>
      <c r="E86" s="31">
        <f t="shared" si="2"/>
        <v>932.86563035993163</v>
      </c>
      <c r="F86" s="31">
        <f t="shared" si="3"/>
        <v>471136.53561975923</v>
      </c>
    </row>
    <row r="87" spans="2:6" hidden="1" x14ac:dyDescent="0.25">
      <c r="B87" s="4">
        <v>65</v>
      </c>
      <c r="C87" s="31">
        <f t="shared" si="0"/>
        <v>2506.4303011936622</v>
      </c>
      <c r="D87" s="31">
        <f t="shared" si="1"/>
        <v>1570.455118732531</v>
      </c>
      <c r="E87" s="31">
        <f t="shared" si="2"/>
        <v>935.97518246113123</v>
      </c>
      <c r="F87" s="31">
        <f t="shared" si="3"/>
        <v>470200.56043729809</v>
      </c>
    </row>
    <row r="88" spans="2:6" hidden="1" x14ac:dyDescent="0.25">
      <c r="B88" s="4">
        <v>66</v>
      </c>
      <c r="C88" s="31">
        <f t="shared" ref="C88:C151" si="4">-$C$12</f>
        <v>2506.4303011936622</v>
      </c>
      <c r="D88" s="31">
        <f t="shared" ref="D88:D151" si="5">F87*C$10</f>
        <v>1567.3352014576603</v>
      </c>
      <c r="E88" s="31">
        <f t="shared" ref="E88:E151" si="6">C88-D88</f>
        <v>939.09509973600188</v>
      </c>
      <c r="F88" s="31">
        <f t="shared" ref="F88:F151" si="7">F87-E88</f>
        <v>469261.46533756208</v>
      </c>
    </row>
    <row r="89" spans="2:6" hidden="1" x14ac:dyDescent="0.25">
      <c r="B89" s="4">
        <v>67</v>
      </c>
      <c r="C89" s="31">
        <f t="shared" si="4"/>
        <v>2506.4303011936622</v>
      </c>
      <c r="D89" s="31">
        <f t="shared" si="5"/>
        <v>1564.2048844585404</v>
      </c>
      <c r="E89" s="31">
        <f t="shared" si="6"/>
        <v>942.22541673512183</v>
      </c>
      <c r="F89" s="31">
        <f t="shared" si="7"/>
        <v>468319.23992082698</v>
      </c>
    </row>
    <row r="90" spans="2:6" hidden="1" x14ac:dyDescent="0.25">
      <c r="B90" s="4">
        <v>68</v>
      </c>
      <c r="C90" s="31">
        <f t="shared" si="4"/>
        <v>2506.4303011936622</v>
      </c>
      <c r="D90" s="31">
        <f t="shared" si="5"/>
        <v>1561.0641330694234</v>
      </c>
      <c r="E90" s="31">
        <f t="shared" si="6"/>
        <v>945.36616812423881</v>
      </c>
      <c r="F90" s="31">
        <f t="shared" si="7"/>
        <v>467373.87375270273</v>
      </c>
    </row>
    <row r="91" spans="2:6" hidden="1" x14ac:dyDescent="0.25">
      <c r="B91" s="4">
        <v>69</v>
      </c>
      <c r="C91" s="31">
        <f t="shared" si="4"/>
        <v>2506.4303011936622</v>
      </c>
      <c r="D91" s="31">
        <f t="shared" si="5"/>
        <v>1557.9129125090092</v>
      </c>
      <c r="E91" s="31">
        <f t="shared" si="6"/>
        <v>948.51738868465304</v>
      </c>
      <c r="F91" s="31">
        <f t="shared" si="7"/>
        <v>466425.35636401805</v>
      </c>
    </row>
    <row r="92" spans="2:6" hidden="1" x14ac:dyDescent="0.25">
      <c r="B92" s="4">
        <v>70</v>
      </c>
      <c r="C92" s="31">
        <f t="shared" si="4"/>
        <v>2506.4303011936622</v>
      </c>
      <c r="D92" s="31">
        <f t="shared" si="5"/>
        <v>1554.7511878800603</v>
      </c>
      <c r="E92" s="31">
        <f t="shared" si="6"/>
        <v>951.67911331360187</v>
      </c>
      <c r="F92" s="31">
        <f t="shared" si="7"/>
        <v>465473.67725070444</v>
      </c>
    </row>
    <row r="93" spans="2:6" hidden="1" x14ac:dyDescent="0.25">
      <c r="B93" s="4">
        <v>71</v>
      </c>
      <c r="C93" s="31">
        <f t="shared" si="4"/>
        <v>2506.4303011936622</v>
      </c>
      <c r="D93" s="31">
        <f t="shared" si="5"/>
        <v>1551.578924169015</v>
      </c>
      <c r="E93" s="31">
        <f t="shared" si="6"/>
        <v>954.85137702464726</v>
      </c>
      <c r="F93" s="31">
        <f t="shared" si="7"/>
        <v>464518.82587367977</v>
      </c>
    </row>
    <row r="94" spans="2:6" hidden="1" x14ac:dyDescent="0.25">
      <c r="B94" s="4">
        <v>72</v>
      </c>
      <c r="C94" s="31">
        <f t="shared" si="4"/>
        <v>2506.4303011936622</v>
      </c>
      <c r="D94" s="31">
        <f t="shared" si="5"/>
        <v>1548.3960862455992</v>
      </c>
      <c r="E94" s="31">
        <f t="shared" si="6"/>
        <v>958.03421494806298</v>
      </c>
      <c r="F94" s="31">
        <f t="shared" si="7"/>
        <v>463560.7916587317</v>
      </c>
    </row>
    <row r="95" spans="2:6" hidden="1" x14ac:dyDescent="0.25">
      <c r="B95" s="4">
        <v>73</v>
      </c>
      <c r="C95" s="31">
        <f t="shared" si="4"/>
        <v>2506.4303011936622</v>
      </c>
      <c r="D95" s="31">
        <f t="shared" si="5"/>
        <v>1545.202638862439</v>
      </c>
      <c r="E95" s="31">
        <f t="shared" si="6"/>
        <v>961.2276623312232</v>
      </c>
      <c r="F95" s="31">
        <f t="shared" si="7"/>
        <v>462599.56399640045</v>
      </c>
    </row>
    <row r="96" spans="2:6" hidden="1" x14ac:dyDescent="0.25">
      <c r="B96" s="4">
        <v>74</v>
      </c>
      <c r="C96" s="31">
        <f t="shared" si="4"/>
        <v>2506.4303011936622</v>
      </c>
      <c r="D96" s="31">
        <f t="shared" si="5"/>
        <v>1541.9985466546682</v>
      </c>
      <c r="E96" s="31">
        <f t="shared" si="6"/>
        <v>964.43175453899403</v>
      </c>
      <c r="F96" s="31">
        <f t="shared" si="7"/>
        <v>461635.13224186143</v>
      </c>
    </row>
    <row r="97" spans="2:6" hidden="1" x14ac:dyDescent="0.25">
      <c r="B97" s="4">
        <v>75</v>
      </c>
      <c r="C97" s="31">
        <f t="shared" si="4"/>
        <v>2506.4303011936622</v>
      </c>
      <c r="D97" s="31">
        <f t="shared" si="5"/>
        <v>1538.7837741395383</v>
      </c>
      <c r="E97" s="31">
        <f t="shared" si="6"/>
        <v>967.64652705412391</v>
      </c>
      <c r="F97" s="31">
        <f t="shared" si="7"/>
        <v>460667.48571480729</v>
      </c>
    </row>
    <row r="98" spans="2:6" hidden="1" x14ac:dyDescent="0.25">
      <c r="B98" s="4">
        <v>76</v>
      </c>
      <c r="C98" s="31">
        <f t="shared" si="4"/>
        <v>2506.4303011936622</v>
      </c>
      <c r="D98" s="31">
        <f t="shared" si="5"/>
        <v>1535.5582857160243</v>
      </c>
      <c r="E98" s="31">
        <f t="shared" si="6"/>
        <v>970.87201547763789</v>
      </c>
      <c r="F98" s="31">
        <f t="shared" si="7"/>
        <v>459696.61369932967</v>
      </c>
    </row>
    <row r="99" spans="2:6" hidden="1" x14ac:dyDescent="0.25">
      <c r="B99" s="4">
        <v>77</v>
      </c>
      <c r="C99" s="31">
        <f t="shared" si="4"/>
        <v>2506.4303011936622</v>
      </c>
      <c r="D99" s="31">
        <f t="shared" si="5"/>
        <v>1532.3220456644324</v>
      </c>
      <c r="E99" s="31">
        <f t="shared" si="6"/>
        <v>974.10825552922984</v>
      </c>
      <c r="F99" s="31">
        <f t="shared" si="7"/>
        <v>458722.50544380042</v>
      </c>
    </row>
    <row r="100" spans="2:6" hidden="1" x14ac:dyDescent="0.25">
      <c r="B100" s="4">
        <v>78</v>
      </c>
      <c r="C100" s="31">
        <f t="shared" si="4"/>
        <v>2506.4303011936622</v>
      </c>
      <c r="D100" s="31">
        <f t="shared" si="5"/>
        <v>1529.0750181460014</v>
      </c>
      <c r="E100" s="31">
        <f t="shared" si="6"/>
        <v>977.35528304766081</v>
      </c>
      <c r="F100" s="31">
        <f t="shared" si="7"/>
        <v>457745.15016075276</v>
      </c>
    </row>
    <row r="101" spans="2:6" hidden="1" x14ac:dyDescent="0.25">
      <c r="B101" s="4">
        <v>79</v>
      </c>
      <c r="C101" s="31">
        <f t="shared" si="4"/>
        <v>2506.4303011936622</v>
      </c>
      <c r="D101" s="31">
        <f t="shared" si="5"/>
        <v>1525.8171672025094</v>
      </c>
      <c r="E101" s="31">
        <f t="shared" si="6"/>
        <v>980.61313399115284</v>
      </c>
      <c r="F101" s="31">
        <f t="shared" si="7"/>
        <v>456764.53702676162</v>
      </c>
    </row>
    <row r="102" spans="2:6" hidden="1" x14ac:dyDescent="0.25">
      <c r="B102" s="4">
        <v>80</v>
      </c>
      <c r="C102" s="31">
        <f t="shared" si="4"/>
        <v>2506.4303011936622</v>
      </c>
      <c r="D102" s="31">
        <f t="shared" si="5"/>
        <v>1522.5484567558722</v>
      </c>
      <c r="E102" s="31">
        <f t="shared" si="6"/>
        <v>983.88184443779005</v>
      </c>
      <c r="F102" s="31">
        <f t="shared" si="7"/>
        <v>455780.65518232383</v>
      </c>
    </row>
    <row r="103" spans="2:6" hidden="1" x14ac:dyDescent="0.25">
      <c r="B103" s="4">
        <v>81</v>
      </c>
      <c r="C103" s="31">
        <f t="shared" si="4"/>
        <v>2506.4303011936622</v>
      </c>
      <c r="D103" s="31">
        <f t="shared" si="5"/>
        <v>1519.2688506077461</v>
      </c>
      <c r="E103" s="31">
        <f t="shared" si="6"/>
        <v>987.1614505859161</v>
      </c>
      <c r="F103" s="31">
        <f t="shared" si="7"/>
        <v>454793.49373173789</v>
      </c>
    </row>
    <row r="104" spans="2:6" hidden="1" x14ac:dyDescent="0.25">
      <c r="B104" s="4">
        <v>82</v>
      </c>
      <c r="C104" s="31">
        <f t="shared" si="4"/>
        <v>2506.4303011936622</v>
      </c>
      <c r="D104" s="31">
        <f t="shared" si="5"/>
        <v>1515.9783124391265</v>
      </c>
      <c r="E104" s="31">
        <f t="shared" si="6"/>
        <v>990.45198875453571</v>
      </c>
      <c r="F104" s="31">
        <f t="shared" si="7"/>
        <v>453803.04174298333</v>
      </c>
    </row>
    <row r="105" spans="2:6" hidden="1" x14ac:dyDescent="0.25">
      <c r="B105" s="4">
        <v>83</v>
      </c>
      <c r="C105" s="31">
        <f t="shared" si="4"/>
        <v>2506.4303011936622</v>
      </c>
      <c r="D105" s="31">
        <f t="shared" si="5"/>
        <v>1512.6768058099444</v>
      </c>
      <c r="E105" s="31">
        <f t="shared" si="6"/>
        <v>993.75349538371779</v>
      </c>
      <c r="F105" s="31">
        <f t="shared" si="7"/>
        <v>452809.28824759962</v>
      </c>
    </row>
    <row r="106" spans="2:6" hidden="1" x14ac:dyDescent="0.25">
      <c r="B106" s="4">
        <v>84</v>
      </c>
      <c r="C106" s="31">
        <f t="shared" si="4"/>
        <v>2506.4303011936622</v>
      </c>
      <c r="D106" s="31">
        <f t="shared" si="5"/>
        <v>1509.3642941586654</v>
      </c>
      <c r="E106" s="31">
        <f t="shared" si="6"/>
        <v>997.0660070349968</v>
      </c>
      <c r="F106" s="31">
        <f t="shared" si="7"/>
        <v>451812.22224056465</v>
      </c>
    </row>
    <row r="107" spans="2:6" hidden="1" x14ac:dyDescent="0.25">
      <c r="B107" s="4">
        <v>85</v>
      </c>
      <c r="C107" s="31">
        <f t="shared" si="4"/>
        <v>2506.4303011936622</v>
      </c>
      <c r="D107" s="31">
        <f t="shared" si="5"/>
        <v>1506.0407408018823</v>
      </c>
      <c r="E107" s="31">
        <f t="shared" si="6"/>
        <v>1000.3895603917799</v>
      </c>
      <c r="F107" s="31">
        <f t="shared" si="7"/>
        <v>450811.83268017287</v>
      </c>
    </row>
    <row r="108" spans="2:6" hidden="1" x14ac:dyDescent="0.25">
      <c r="B108" s="4">
        <v>86</v>
      </c>
      <c r="C108" s="31">
        <f t="shared" si="4"/>
        <v>2506.4303011936622</v>
      </c>
      <c r="D108" s="31">
        <f t="shared" si="5"/>
        <v>1502.7061089339097</v>
      </c>
      <c r="E108" s="31">
        <f t="shared" si="6"/>
        <v>1003.7241922597525</v>
      </c>
      <c r="F108" s="31">
        <f t="shared" si="7"/>
        <v>449808.10848791309</v>
      </c>
    </row>
    <row r="109" spans="2:6" hidden="1" x14ac:dyDescent="0.25">
      <c r="B109" s="4">
        <v>87</v>
      </c>
      <c r="C109" s="31">
        <f t="shared" si="4"/>
        <v>2506.4303011936622</v>
      </c>
      <c r="D109" s="31">
        <f t="shared" si="5"/>
        <v>1499.360361626377</v>
      </c>
      <c r="E109" s="31">
        <f t="shared" si="6"/>
        <v>1007.0699395672852</v>
      </c>
      <c r="F109" s="31">
        <f t="shared" si="7"/>
        <v>448801.03854834579</v>
      </c>
    </row>
    <row r="110" spans="2:6" hidden="1" x14ac:dyDescent="0.25">
      <c r="B110" s="4">
        <v>88</v>
      </c>
      <c r="C110" s="31">
        <f t="shared" si="4"/>
        <v>2506.4303011936622</v>
      </c>
      <c r="D110" s="31">
        <f t="shared" si="5"/>
        <v>1496.0034618278194</v>
      </c>
      <c r="E110" s="31">
        <f t="shared" si="6"/>
        <v>1010.4268393658429</v>
      </c>
      <c r="F110" s="31">
        <f t="shared" si="7"/>
        <v>447790.61170897994</v>
      </c>
    </row>
    <row r="111" spans="2:6" hidden="1" x14ac:dyDescent="0.25">
      <c r="B111" s="4">
        <v>89</v>
      </c>
      <c r="C111" s="31">
        <f t="shared" si="4"/>
        <v>2506.4303011936622</v>
      </c>
      <c r="D111" s="31">
        <f t="shared" si="5"/>
        <v>1492.6353723632665</v>
      </c>
      <c r="E111" s="31">
        <f t="shared" si="6"/>
        <v>1013.7949288303957</v>
      </c>
      <c r="F111" s="31">
        <f t="shared" si="7"/>
        <v>446776.81678014953</v>
      </c>
    </row>
    <row r="112" spans="2:6" hidden="1" x14ac:dyDescent="0.25">
      <c r="B112" s="4">
        <v>90</v>
      </c>
      <c r="C112" s="31">
        <f t="shared" si="4"/>
        <v>2506.4303011936622</v>
      </c>
      <c r="D112" s="31">
        <f t="shared" si="5"/>
        <v>1489.2560559338319</v>
      </c>
      <c r="E112" s="31">
        <f t="shared" si="6"/>
        <v>1017.1742452598303</v>
      </c>
      <c r="F112" s="31">
        <f t="shared" si="7"/>
        <v>445759.64253488969</v>
      </c>
    </row>
    <row r="113" spans="2:6" hidden="1" x14ac:dyDescent="0.25">
      <c r="B113" s="4">
        <v>91</v>
      </c>
      <c r="C113" s="31">
        <f t="shared" si="4"/>
        <v>2506.4303011936622</v>
      </c>
      <c r="D113" s="31">
        <f t="shared" si="5"/>
        <v>1485.865475116299</v>
      </c>
      <c r="E113" s="31">
        <f t="shared" si="6"/>
        <v>1020.5648260773633</v>
      </c>
      <c r="F113" s="31">
        <f t="shared" si="7"/>
        <v>444739.07770881231</v>
      </c>
    </row>
    <row r="114" spans="2:6" hidden="1" x14ac:dyDescent="0.25">
      <c r="B114" s="4">
        <v>92</v>
      </c>
      <c r="C114" s="31">
        <f t="shared" si="4"/>
        <v>2506.4303011936622</v>
      </c>
      <c r="D114" s="31">
        <f t="shared" si="5"/>
        <v>1482.4635923627079</v>
      </c>
      <c r="E114" s="31">
        <f t="shared" si="6"/>
        <v>1023.9667088309543</v>
      </c>
      <c r="F114" s="31">
        <f t="shared" si="7"/>
        <v>443715.11099998135</v>
      </c>
    </row>
    <row r="115" spans="2:6" hidden="1" x14ac:dyDescent="0.25">
      <c r="B115" s="4">
        <v>93</v>
      </c>
      <c r="C115" s="31">
        <f t="shared" si="4"/>
        <v>2506.4303011936622</v>
      </c>
      <c r="D115" s="31">
        <f t="shared" si="5"/>
        <v>1479.0503699999379</v>
      </c>
      <c r="E115" s="31">
        <f t="shared" si="6"/>
        <v>1027.3799311937244</v>
      </c>
      <c r="F115" s="31">
        <f t="shared" si="7"/>
        <v>442687.73106878763</v>
      </c>
    </row>
    <row r="116" spans="2:6" hidden="1" x14ac:dyDescent="0.25">
      <c r="B116" s="4">
        <v>94</v>
      </c>
      <c r="C116" s="31">
        <f t="shared" si="4"/>
        <v>2506.4303011936622</v>
      </c>
      <c r="D116" s="31">
        <f t="shared" si="5"/>
        <v>1475.6257702292921</v>
      </c>
      <c r="E116" s="31">
        <f t="shared" si="6"/>
        <v>1030.8045309643701</v>
      </c>
      <c r="F116" s="31">
        <f t="shared" si="7"/>
        <v>441656.92653782328</v>
      </c>
    </row>
    <row r="117" spans="2:6" hidden="1" x14ac:dyDescent="0.25">
      <c r="B117" s="4">
        <v>95</v>
      </c>
      <c r="C117" s="31">
        <f t="shared" si="4"/>
        <v>2506.4303011936622</v>
      </c>
      <c r="D117" s="31">
        <f t="shared" si="5"/>
        <v>1472.1897551260777</v>
      </c>
      <c r="E117" s="31">
        <f t="shared" si="6"/>
        <v>1034.2405460675845</v>
      </c>
      <c r="F117" s="31">
        <f t="shared" si="7"/>
        <v>440622.68599175569</v>
      </c>
    </row>
    <row r="118" spans="2:6" hidden="1" x14ac:dyDescent="0.25">
      <c r="B118" s="4">
        <v>96</v>
      </c>
      <c r="C118" s="31">
        <f t="shared" si="4"/>
        <v>2506.4303011936622</v>
      </c>
      <c r="D118" s="31">
        <f t="shared" si="5"/>
        <v>1468.7422866391857</v>
      </c>
      <c r="E118" s="31">
        <f t="shared" si="6"/>
        <v>1037.6880145544765</v>
      </c>
      <c r="F118" s="31">
        <f t="shared" si="7"/>
        <v>439584.99797720119</v>
      </c>
    </row>
    <row r="119" spans="2:6" hidden="1" x14ac:dyDescent="0.25">
      <c r="B119" s="4">
        <v>97</v>
      </c>
      <c r="C119" s="31">
        <f t="shared" si="4"/>
        <v>2506.4303011936622</v>
      </c>
      <c r="D119" s="31">
        <f t="shared" si="5"/>
        <v>1465.2833265906706</v>
      </c>
      <c r="E119" s="31">
        <f t="shared" si="6"/>
        <v>1041.1469746029916</v>
      </c>
      <c r="F119" s="31">
        <f t="shared" si="7"/>
        <v>438543.85100259818</v>
      </c>
    </row>
    <row r="120" spans="2:6" hidden="1" x14ac:dyDescent="0.25">
      <c r="B120" s="4">
        <v>98</v>
      </c>
      <c r="C120" s="31">
        <f t="shared" si="4"/>
        <v>2506.4303011936622</v>
      </c>
      <c r="D120" s="31">
        <f t="shared" si="5"/>
        <v>1461.8128366753274</v>
      </c>
      <c r="E120" s="31">
        <f t="shared" si="6"/>
        <v>1044.6174645183348</v>
      </c>
      <c r="F120" s="31">
        <f t="shared" si="7"/>
        <v>437499.23353807983</v>
      </c>
    </row>
    <row r="121" spans="2:6" hidden="1" x14ac:dyDescent="0.25">
      <c r="B121" s="4">
        <v>99</v>
      </c>
      <c r="C121" s="31">
        <f t="shared" si="4"/>
        <v>2506.4303011936622</v>
      </c>
      <c r="D121" s="31">
        <f t="shared" si="5"/>
        <v>1458.3307784602662</v>
      </c>
      <c r="E121" s="31">
        <f t="shared" si="6"/>
        <v>1048.099522733396</v>
      </c>
      <c r="F121" s="31">
        <f t="shared" si="7"/>
        <v>436451.13401534641</v>
      </c>
    </row>
    <row r="122" spans="2:6" hidden="1" x14ac:dyDescent="0.25">
      <c r="B122" s="4">
        <v>100</v>
      </c>
      <c r="C122" s="31">
        <f t="shared" si="4"/>
        <v>2506.4303011936622</v>
      </c>
      <c r="D122" s="31">
        <f t="shared" si="5"/>
        <v>1454.837113384488</v>
      </c>
      <c r="E122" s="31">
        <f t="shared" si="6"/>
        <v>1051.5931878091742</v>
      </c>
      <c r="F122" s="31">
        <f t="shared" si="7"/>
        <v>435399.54082753725</v>
      </c>
    </row>
    <row r="123" spans="2:6" hidden="1" x14ac:dyDescent="0.25">
      <c r="B123" s="4">
        <v>101</v>
      </c>
      <c r="C123" s="31">
        <f t="shared" si="4"/>
        <v>2506.4303011936622</v>
      </c>
      <c r="D123" s="31">
        <f t="shared" si="5"/>
        <v>1451.3318027584576</v>
      </c>
      <c r="E123" s="31">
        <f t="shared" si="6"/>
        <v>1055.0984984352046</v>
      </c>
      <c r="F123" s="31">
        <f t="shared" si="7"/>
        <v>434344.44232910202</v>
      </c>
    </row>
    <row r="124" spans="2:6" hidden="1" x14ac:dyDescent="0.25">
      <c r="B124" s="4">
        <v>102</v>
      </c>
      <c r="C124" s="31">
        <f t="shared" si="4"/>
        <v>2506.4303011936622</v>
      </c>
      <c r="D124" s="31">
        <f t="shared" si="5"/>
        <v>1447.8148077636736</v>
      </c>
      <c r="E124" s="31">
        <f t="shared" si="6"/>
        <v>1058.6154934299886</v>
      </c>
      <c r="F124" s="31">
        <f t="shared" si="7"/>
        <v>433285.82683567202</v>
      </c>
    </row>
    <row r="125" spans="2:6" hidden="1" x14ac:dyDescent="0.25">
      <c r="B125" s="4">
        <v>103</v>
      </c>
      <c r="C125" s="31">
        <f t="shared" si="4"/>
        <v>2506.4303011936622</v>
      </c>
      <c r="D125" s="31">
        <f t="shared" si="5"/>
        <v>1444.2860894522403</v>
      </c>
      <c r="E125" s="31">
        <f t="shared" si="6"/>
        <v>1062.1442117414219</v>
      </c>
      <c r="F125" s="31">
        <f t="shared" si="7"/>
        <v>432223.68262393062</v>
      </c>
    </row>
    <row r="126" spans="2:6" hidden="1" x14ac:dyDescent="0.25">
      <c r="B126" s="4">
        <v>104</v>
      </c>
      <c r="C126" s="31">
        <f t="shared" si="4"/>
        <v>2506.4303011936622</v>
      </c>
      <c r="D126" s="31">
        <f t="shared" si="5"/>
        <v>1440.7456087464354</v>
      </c>
      <c r="E126" s="31">
        <f t="shared" si="6"/>
        <v>1065.6846924472268</v>
      </c>
      <c r="F126" s="31">
        <f t="shared" si="7"/>
        <v>431157.99793148338</v>
      </c>
    </row>
    <row r="127" spans="2:6" hidden="1" x14ac:dyDescent="0.25">
      <c r="B127" s="4">
        <v>105</v>
      </c>
      <c r="C127" s="31">
        <f t="shared" si="4"/>
        <v>2506.4303011936622</v>
      </c>
      <c r="D127" s="31">
        <f t="shared" si="5"/>
        <v>1437.1933264382781</v>
      </c>
      <c r="E127" s="31">
        <f t="shared" si="6"/>
        <v>1069.2369747553842</v>
      </c>
      <c r="F127" s="31">
        <f t="shared" si="7"/>
        <v>430088.76095672802</v>
      </c>
    </row>
    <row r="128" spans="2:6" hidden="1" x14ac:dyDescent="0.25">
      <c r="B128" s="4">
        <v>106</v>
      </c>
      <c r="C128" s="31">
        <f t="shared" si="4"/>
        <v>2506.4303011936622</v>
      </c>
      <c r="D128" s="31">
        <f t="shared" si="5"/>
        <v>1433.6292031890935</v>
      </c>
      <c r="E128" s="31">
        <f t="shared" si="6"/>
        <v>1072.8010980045688</v>
      </c>
      <c r="F128" s="31">
        <f t="shared" si="7"/>
        <v>429015.95985872345</v>
      </c>
    </row>
    <row r="129" spans="2:6" hidden="1" x14ac:dyDescent="0.25">
      <c r="B129" s="4">
        <v>107</v>
      </c>
      <c r="C129" s="31">
        <f t="shared" si="4"/>
        <v>2506.4303011936622</v>
      </c>
      <c r="D129" s="31">
        <f t="shared" si="5"/>
        <v>1430.0531995290783</v>
      </c>
      <c r="E129" s="31">
        <f t="shared" si="6"/>
        <v>1076.377101664584</v>
      </c>
      <c r="F129" s="31">
        <f t="shared" si="7"/>
        <v>427939.58275705884</v>
      </c>
    </row>
    <row r="130" spans="2:6" hidden="1" x14ac:dyDescent="0.25">
      <c r="B130" s="4">
        <v>108</v>
      </c>
      <c r="C130" s="31">
        <f t="shared" si="4"/>
        <v>2506.4303011936622</v>
      </c>
      <c r="D130" s="31">
        <f t="shared" si="5"/>
        <v>1426.4652758568629</v>
      </c>
      <c r="E130" s="31">
        <f t="shared" si="6"/>
        <v>1079.9650253367993</v>
      </c>
      <c r="F130" s="31">
        <f t="shared" si="7"/>
        <v>426859.61773172207</v>
      </c>
    </row>
    <row r="131" spans="2:6" hidden="1" x14ac:dyDescent="0.25">
      <c r="B131" s="4">
        <v>109</v>
      </c>
      <c r="C131" s="31">
        <f t="shared" si="4"/>
        <v>2506.4303011936622</v>
      </c>
      <c r="D131" s="31">
        <f t="shared" si="5"/>
        <v>1422.8653924390737</v>
      </c>
      <c r="E131" s="31">
        <f t="shared" si="6"/>
        <v>1083.5649087545885</v>
      </c>
      <c r="F131" s="31">
        <f t="shared" si="7"/>
        <v>425776.05282296747</v>
      </c>
    </row>
    <row r="132" spans="2:6" hidden="1" x14ac:dyDescent="0.25">
      <c r="B132" s="4">
        <v>110</v>
      </c>
      <c r="C132" s="31">
        <f t="shared" si="4"/>
        <v>2506.4303011936622</v>
      </c>
      <c r="D132" s="31">
        <f t="shared" si="5"/>
        <v>1419.2535094098916</v>
      </c>
      <c r="E132" s="31">
        <f t="shared" si="6"/>
        <v>1087.1767917837706</v>
      </c>
      <c r="F132" s="31">
        <f t="shared" si="7"/>
        <v>424688.8760311837</v>
      </c>
    </row>
    <row r="133" spans="2:6" hidden="1" x14ac:dyDescent="0.25">
      <c r="B133" s="4">
        <v>111</v>
      </c>
      <c r="C133" s="31">
        <f t="shared" si="4"/>
        <v>2506.4303011936622</v>
      </c>
      <c r="D133" s="31">
        <f t="shared" si="5"/>
        <v>1415.6295867706124</v>
      </c>
      <c r="E133" s="31">
        <f t="shared" si="6"/>
        <v>1090.8007144230498</v>
      </c>
      <c r="F133" s="31">
        <f t="shared" si="7"/>
        <v>423598.07531676063</v>
      </c>
    </row>
    <row r="134" spans="2:6" hidden="1" x14ac:dyDescent="0.25">
      <c r="B134" s="4">
        <v>112</v>
      </c>
      <c r="C134" s="31">
        <f t="shared" si="4"/>
        <v>2506.4303011936622</v>
      </c>
      <c r="D134" s="31">
        <f t="shared" si="5"/>
        <v>1411.9935843892022</v>
      </c>
      <c r="E134" s="31">
        <f t="shared" si="6"/>
        <v>1094.43671680446</v>
      </c>
      <c r="F134" s="31">
        <f t="shared" si="7"/>
        <v>422503.63859995618</v>
      </c>
    </row>
    <row r="135" spans="2:6" hidden="1" x14ac:dyDescent="0.25">
      <c r="B135" s="4">
        <v>113</v>
      </c>
      <c r="C135" s="31">
        <f t="shared" si="4"/>
        <v>2506.4303011936622</v>
      </c>
      <c r="D135" s="31">
        <f t="shared" si="5"/>
        <v>1408.345461999854</v>
      </c>
      <c r="E135" s="31">
        <f t="shared" si="6"/>
        <v>1098.0848391938082</v>
      </c>
      <c r="F135" s="31">
        <f t="shared" si="7"/>
        <v>421405.55376076238</v>
      </c>
    </row>
    <row r="136" spans="2:6" hidden="1" x14ac:dyDescent="0.25">
      <c r="B136" s="4">
        <v>114</v>
      </c>
      <c r="C136" s="31">
        <f t="shared" si="4"/>
        <v>2506.4303011936622</v>
      </c>
      <c r="D136" s="31">
        <f t="shared" si="5"/>
        <v>1404.6851792025413</v>
      </c>
      <c r="E136" s="31">
        <f t="shared" si="6"/>
        <v>1101.7451219911209</v>
      </c>
      <c r="F136" s="31">
        <f t="shared" si="7"/>
        <v>420303.80863877124</v>
      </c>
    </row>
    <row r="137" spans="2:6" hidden="1" x14ac:dyDescent="0.25">
      <c r="B137" s="4">
        <v>115</v>
      </c>
      <c r="C137" s="31">
        <f t="shared" si="4"/>
        <v>2506.4303011936622</v>
      </c>
      <c r="D137" s="31">
        <f t="shared" si="5"/>
        <v>1401.0126954625709</v>
      </c>
      <c r="E137" s="31">
        <f t="shared" si="6"/>
        <v>1105.4176057310913</v>
      </c>
      <c r="F137" s="31">
        <f t="shared" si="7"/>
        <v>419198.39103304013</v>
      </c>
    </row>
    <row r="138" spans="2:6" hidden="1" x14ac:dyDescent="0.25">
      <c r="B138" s="4">
        <v>116</v>
      </c>
      <c r="C138" s="31">
        <f t="shared" si="4"/>
        <v>2506.4303011936622</v>
      </c>
      <c r="D138" s="31">
        <f t="shared" si="5"/>
        <v>1397.3279701101339</v>
      </c>
      <c r="E138" s="31">
        <f t="shared" si="6"/>
        <v>1109.1023310835283</v>
      </c>
      <c r="F138" s="31">
        <f t="shared" si="7"/>
        <v>418089.28870195663</v>
      </c>
    </row>
    <row r="139" spans="2:6" hidden="1" x14ac:dyDescent="0.25">
      <c r="B139" s="4">
        <v>117</v>
      </c>
      <c r="C139" s="31">
        <f t="shared" si="4"/>
        <v>2506.4303011936622</v>
      </c>
      <c r="D139" s="31">
        <f t="shared" si="5"/>
        <v>1393.6309623398556</v>
      </c>
      <c r="E139" s="31">
        <f t="shared" si="6"/>
        <v>1112.7993388538066</v>
      </c>
      <c r="F139" s="31">
        <f t="shared" si="7"/>
        <v>416976.48936310282</v>
      </c>
    </row>
    <row r="140" spans="2:6" hidden="1" x14ac:dyDescent="0.25">
      <c r="B140" s="4">
        <v>118</v>
      </c>
      <c r="C140" s="31">
        <f t="shared" si="4"/>
        <v>2506.4303011936622</v>
      </c>
      <c r="D140" s="31">
        <f t="shared" si="5"/>
        <v>1389.9216312103429</v>
      </c>
      <c r="E140" s="31">
        <f t="shared" si="6"/>
        <v>1116.5086699833194</v>
      </c>
      <c r="F140" s="31">
        <f t="shared" si="7"/>
        <v>415859.98069311952</v>
      </c>
    </row>
    <row r="141" spans="2:6" hidden="1" x14ac:dyDescent="0.25">
      <c r="B141" s="4">
        <v>119</v>
      </c>
      <c r="C141" s="31">
        <f t="shared" si="4"/>
        <v>2506.4303011936622</v>
      </c>
      <c r="D141" s="31">
        <f t="shared" si="5"/>
        <v>1386.1999356437318</v>
      </c>
      <c r="E141" s="31">
        <f t="shared" si="6"/>
        <v>1120.2303655499304</v>
      </c>
      <c r="F141" s="31">
        <f t="shared" si="7"/>
        <v>414739.75032756961</v>
      </c>
    </row>
    <row r="142" spans="2:6" hidden="1" x14ac:dyDescent="0.25">
      <c r="B142" s="4">
        <v>120</v>
      </c>
      <c r="C142" s="31">
        <f t="shared" si="4"/>
        <v>2506.4303011936622</v>
      </c>
      <c r="D142" s="31">
        <f t="shared" si="5"/>
        <v>1382.4658344252321</v>
      </c>
      <c r="E142" s="31">
        <f t="shared" si="6"/>
        <v>1123.9644667684302</v>
      </c>
      <c r="F142" s="31">
        <f t="shared" si="7"/>
        <v>413615.78586080117</v>
      </c>
    </row>
    <row r="143" spans="2:6" hidden="1" x14ac:dyDescent="0.25">
      <c r="B143" s="4">
        <v>121</v>
      </c>
      <c r="C143" s="31">
        <f t="shared" si="4"/>
        <v>2506.4303011936622</v>
      </c>
      <c r="D143" s="31">
        <f t="shared" si="5"/>
        <v>1378.7192862026707</v>
      </c>
      <c r="E143" s="31">
        <f t="shared" si="6"/>
        <v>1127.7110149909915</v>
      </c>
      <c r="F143" s="31">
        <f t="shared" si="7"/>
        <v>412488.07484581019</v>
      </c>
    </row>
    <row r="144" spans="2:6" hidden="1" x14ac:dyDescent="0.25">
      <c r="B144" s="4">
        <v>122</v>
      </c>
      <c r="C144" s="31">
        <f t="shared" si="4"/>
        <v>2506.4303011936622</v>
      </c>
      <c r="D144" s="31">
        <f t="shared" si="5"/>
        <v>1374.9602494860339</v>
      </c>
      <c r="E144" s="31">
        <f t="shared" si="6"/>
        <v>1131.4700517076283</v>
      </c>
      <c r="F144" s="31">
        <f t="shared" si="7"/>
        <v>411356.60479410255</v>
      </c>
    </row>
    <row r="145" spans="2:6" hidden="1" x14ac:dyDescent="0.25">
      <c r="B145" s="4">
        <v>123</v>
      </c>
      <c r="C145" s="31">
        <f t="shared" si="4"/>
        <v>2506.4303011936622</v>
      </c>
      <c r="D145" s="31">
        <f t="shared" si="5"/>
        <v>1371.1886826470086</v>
      </c>
      <c r="E145" s="31">
        <f t="shared" si="6"/>
        <v>1135.2416185466536</v>
      </c>
      <c r="F145" s="31">
        <f t="shared" si="7"/>
        <v>410221.36317555589</v>
      </c>
    </row>
    <row r="146" spans="2:6" hidden="1" x14ac:dyDescent="0.25">
      <c r="B146" s="4">
        <v>124</v>
      </c>
      <c r="C146" s="31">
        <f t="shared" si="4"/>
        <v>2506.4303011936622</v>
      </c>
      <c r="D146" s="31">
        <f t="shared" si="5"/>
        <v>1367.4045439185197</v>
      </c>
      <c r="E146" s="31">
        <f t="shared" si="6"/>
        <v>1139.0257572751425</v>
      </c>
      <c r="F146" s="31">
        <f t="shared" si="7"/>
        <v>409082.33741828077</v>
      </c>
    </row>
    <row r="147" spans="2:6" hidden="1" x14ac:dyDescent="0.25">
      <c r="B147" s="4">
        <v>125</v>
      </c>
      <c r="C147" s="31">
        <f t="shared" si="4"/>
        <v>2506.4303011936622</v>
      </c>
      <c r="D147" s="31">
        <f t="shared" si="5"/>
        <v>1363.6077913942693</v>
      </c>
      <c r="E147" s="31">
        <f t="shared" si="6"/>
        <v>1142.8225097993929</v>
      </c>
      <c r="F147" s="31">
        <f t="shared" si="7"/>
        <v>407939.51490848139</v>
      </c>
    </row>
    <row r="148" spans="2:6" hidden="1" x14ac:dyDescent="0.25">
      <c r="B148" s="4">
        <v>126</v>
      </c>
      <c r="C148" s="31">
        <f t="shared" si="4"/>
        <v>2506.4303011936622</v>
      </c>
      <c r="D148" s="31">
        <f t="shared" si="5"/>
        <v>1359.7983830282715</v>
      </c>
      <c r="E148" s="31">
        <f t="shared" si="6"/>
        <v>1146.6319181653907</v>
      </c>
      <c r="F148" s="31">
        <f t="shared" si="7"/>
        <v>406792.88299031602</v>
      </c>
    </row>
    <row r="149" spans="2:6" hidden="1" x14ac:dyDescent="0.25">
      <c r="B149" s="4">
        <v>127</v>
      </c>
      <c r="C149" s="31">
        <f t="shared" si="4"/>
        <v>2506.4303011936622</v>
      </c>
      <c r="D149" s="31">
        <f t="shared" si="5"/>
        <v>1355.9762766343867</v>
      </c>
      <c r="E149" s="31">
        <f t="shared" si="6"/>
        <v>1150.4540245592755</v>
      </c>
      <c r="F149" s="31">
        <f t="shared" si="7"/>
        <v>405642.42896575673</v>
      </c>
    </row>
    <row r="150" spans="2:6" hidden="1" x14ac:dyDescent="0.25">
      <c r="B150" s="4">
        <v>128</v>
      </c>
      <c r="C150" s="31">
        <f t="shared" si="4"/>
        <v>2506.4303011936622</v>
      </c>
      <c r="D150" s="31">
        <f t="shared" si="5"/>
        <v>1352.1414298858558</v>
      </c>
      <c r="E150" s="31">
        <f t="shared" si="6"/>
        <v>1154.2888713078064</v>
      </c>
      <c r="F150" s="31">
        <f t="shared" si="7"/>
        <v>404488.14009444893</v>
      </c>
    </row>
    <row r="151" spans="2:6" hidden="1" x14ac:dyDescent="0.25">
      <c r="B151" s="4">
        <v>129</v>
      </c>
      <c r="C151" s="31">
        <f t="shared" si="4"/>
        <v>2506.4303011936622</v>
      </c>
      <c r="D151" s="31">
        <f t="shared" si="5"/>
        <v>1348.2938003148299</v>
      </c>
      <c r="E151" s="31">
        <f t="shared" si="6"/>
        <v>1158.1365008788323</v>
      </c>
      <c r="F151" s="31">
        <f t="shared" si="7"/>
        <v>403330.00359357009</v>
      </c>
    </row>
    <row r="152" spans="2:6" hidden="1" x14ac:dyDescent="0.25">
      <c r="B152" s="4">
        <v>130</v>
      </c>
      <c r="C152" s="31">
        <f t="shared" ref="C152:C215" si="8">-$C$12</f>
        <v>2506.4303011936622</v>
      </c>
      <c r="D152" s="31">
        <f t="shared" ref="D152:D215" si="9">F151*C$10</f>
        <v>1344.4333453119004</v>
      </c>
      <c r="E152" s="31">
        <f t="shared" ref="E152:E215" si="10">C152-D152</f>
        <v>1161.9969558817618</v>
      </c>
      <c r="F152" s="31">
        <f t="shared" ref="F152:F215" si="11">F151-E152</f>
        <v>402168.00663768832</v>
      </c>
    </row>
    <row r="153" spans="2:6" hidden="1" x14ac:dyDescent="0.25">
      <c r="B153" s="4">
        <v>131</v>
      </c>
      <c r="C153" s="31">
        <f t="shared" si="8"/>
        <v>2506.4303011936622</v>
      </c>
      <c r="D153" s="31">
        <f t="shared" si="9"/>
        <v>1340.5600221256277</v>
      </c>
      <c r="E153" s="31">
        <f t="shared" si="10"/>
        <v>1165.8702790680345</v>
      </c>
      <c r="F153" s="31">
        <f t="shared" si="11"/>
        <v>401002.13635862031</v>
      </c>
    </row>
    <row r="154" spans="2:6" hidden="1" x14ac:dyDescent="0.25">
      <c r="B154" s="4">
        <v>132</v>
      </c>
      <c r="C154" s="31">
        <f t="shared" si="8"/>
        <v>2506.4303011936622</v>
      </c>
      <c r="D154" s="31">
        <f t="shared" si="9"/>
        <v>1336.6737878620677</v>
      </c>
      <c r="E154" s="31">
        <f t="shared" si="10"/>
        <v>1169.7565133315945</v>
      </c>
      <c r="F154" s="31">
        <f t="shared" si="11"/>
        <v>399832.3798452887</v>
      </c>
    </row>
    <row r="155" spans="2:6" hidden="1" x14ac:dyDescent="0.25">
      <c r="B155" s="4">
        <v>133</v>
      </c>
      <c r="C155" s="31">
        <f t="shared" si="8"/>
        <v>2506.4303011936622</v>
      </c>
      <c r="D155" s="31">
        <f t="shared" si="9"/>
        <v>1332.7745994842958</v>
      </c>
      <c r="E155" s="31">
        <f t="shared" si="10"/>
        <v>1173.6557017093664</v>
      </c>
      <c r="F155" s="31">
        <f t="shared" si="11"/>
        <v>398658.72414357931</v>
      </c>
    </row>
    <row r="156" spans="2:6" hidden="1" x14ac:dyDescent="0.25">
      <c r="B156" s="4">
        <v>134</v>
      </c>
      <c r="C156" s="31">
        <f t="shared" si="8"/>
        <v>2506.4303011936622</v>
      </c>
      <c r="D156" s="31">
        <f t="shared" si="9"/>
        <v>1328.8624138119312</v>
      </c>
      <c r="E156" s="31">
        <f t="shared" si="10"/>
        <v>1177.567887381731</v>
      </c>
      <c r="F156" s="31">
        <f t="shared" si="11"/>
        <v>397481.1562561976</v>
      </c>
    </row>
    <row r="157" spans="2:6" hidden="1" x14ac:dyDescent="0.25">
      <c r="B157" s="4">
        <v>135</v>
      </c>
      <c r="C157" s="31">
        <f t="shared" si="8"/>
        <v>2506.4303011936622</v>
      </c>
      <c r="D157" s="31">
        <f t="shared" si="9"/>
        <v>1324.9371875206587</v>
      </c>
      <c r="E157" s="31">
        <f t="shared" si="10"/>
        <v>1181.4931136730036</v>
      </c>
      <c r="F157" s="31">
        <f t="shared" si="11"/>
        <v>396299.6631425246</v>
      </c>
    </row>
    <row r="158" spans="2:6" hidden="1" x14ac:dyDescent="0.25">
      <c r="B158" s="4">
        <v>136</v>
      </c>
      <c r="C158" s="31">
        <f t="shared" si="8"/>
        <v>2506.4303011936622</v>
      </c>
      <c r="D158" s="31">
        <f t="shared" si="9"/>
        <v>1320.9988771417488</v>
      </c>
      <c r="E158" s="31">
        <f t="shared" si="10"/>
        <v>1185.4314240519134</v>
      </c>
      <c r="F158" s="31">
        <f t="shared" si="11"/>
        <v>395114.23171847267</v>
      </c>
    </row>
    <row r="159" spans="2:6" hidden="1" x14ac:dyDescent="0.25">
      <c r="B159" s="4">
        <v>137</v>
      </c>
      <c r="C159" s="31">
        <f t="shared" si="8"/>
        <v>2506.4303011936622</v>
      </c>
      <c r="D159" s="31">
        <f t="shared" si="9"/>
        <v>1317.0474390615757</v>
      </c>
      <c r="E159" s="31">
        <f t="shared" si="10"/>
        <v>1189.3828621320865</v>
      </c>
      <c r="F159" s="31">
        <f t="shared" si="11"/>
        <v>393924.84885634057</v>
      </c>
    </row>
    <row r="160" spans="2:6" hidden="1" x14ac:dyDescent="0.25">
      <c r="B160" s="4">
        <v>138</v>
      </c>
      <c r="C160" s="31">
        <f t="shared" si="8"/>
        <v>2506.4303011936622</v>
      </c>
      <c r="D160" s="31">
        <f t="shared" si="9"/>
        <v>1313.0828295211354</v>
      </c>
      <c r="E160" s="31">
        <f t="shared" si="10"/>
        <v>1193.3474716725268</v>
      </c>
      <c r="F160" s="31">
        <f t="shared" si="11"/>
        <v>392731.50138466805</v>
      </c>
    </row>
    <row r="161" spans="2:6" hidden="1" x14ac:dyDescent="0.25">
      <c r="B161" s="4">
        <v>139</v>
      </c>
      <c r="C161" s="31">
        <f t="shared" si="8"/>
        <v>2506.4303011936622</v>
      </c>
      <c r="D161" s="31">
        <f t="shared" si="9"/>
        <v>1309.1050046155603</v>
      </c>
      <c r="E161" s="31">
        <f t="shared" si="10"/>
        <v>1197.3252965781019</v>
      </c>
      <c r="F161" s="31">
        <f t="shared" si="11"/>
        <v>391534.17608808994</v>
      </c>
    </row>
    <row r="162" spans="2:6" hidden="1" x14ac:dyDescent="0.25">
      <c r="B162" s="4">
        <v>140</v>
      </c>
      <c r="C162" s="31">
        <f t="shared" si="8"/>
        <v>2506.4303011936622</v>
      </c>
      <c r="D162" s="31">
        <f t="shared" si="9"/>
        <v>1305.1139202936331</v>
      </c>
      <c r="E162" s="31">
        <f t="shared" si="10"/>
        <v>1201.3163809000291</v>
      </c>
      <c r="F162" s="31">
        <f t="shared" si="11"/>
        <v>390332.8597071899</v>
      </c>
    </row>
    <row r="163" spans="2:6" hidden="1" x14ac:dyDescent="0.25">
      <c r="B163" s="4">
        <v>141</v>
      </c>
      <c r="C163" s="31">
        <f t="shared" si="8"/>
        <v>2506.4303011936622</v>
      </c>
      <c r="D163" s="31">
        <f t="shared" si="9"/>
        <v>1301.1095323572997</v>
      </c>
      <c r="E163" s="31">
        <f t="shared" si="10"/>
        <v>1205.3207688363625</v>
      </c>
      <c r="F163" s="31">
        <f t="shared" si="11"/>
        <v>389127.53893835354</v>
      </c>
    </row>
    <row r="164" spans="2:6" hidden="1" x14ac:dyDescent="0.25">
      <c r="B164" s="4">
        <v>142</v>
      </c>
      <c r="C164" s="31">
        <f t="shared" si="8"/>
        <v>2506.4303011936622</v>
      </c>
      <c r="D164" s="31">
        <f t="shared" si="9"/>
        <v>1297.0917964611785</v>
      </c>
      <c r="E164" s="31">
        <f t="shared" si="10"/>
        <v>1209.3385047324837</v>
      </c>
      <c r="F164" s="31">
        <f t="shared" si="11"/>
        <v>387918.20043362107</v>
      </c>
    </row>
    <row r="165" spans="2:6" hidden="1" x14ac:dyDescent="0.25">
      <c r="B165" s="4">
        <v>143</v>
      </c>
      <c r="C165" s="31">
        <f t="shared" si="8"/>
        <v>2506.4303011936622</v>
      </c>
      <c r="D165" s="31">
        <f t="shared" si="9"/>
        <v>1293.0606681120703</v>
      </c>
      <c r="E165" s="31">
        <f t="shared" si="10"/>
        <v>1213.3696330815919</v>
      </c>
      <c r="F165" s="31">
        <f t="shared" si="11"/>
        <v>386704.83080053946</v>
      </c>
    </row>
    <row r="166" spans="2:6" hidden="1" x14ac:dyDescent="0.25">
      <c r="B166" s="4">
        <v>144</v>
      </c>
      <c r="C166" s="31">
        <f t="shared" si="8"/>
        <v>2506.4303011936622</v>
      </c>
      <c r="D166" s="31">
        <f t="shared" si="9"/>
        <v>1289.016102668465</v>
      </c>
      <c r="E166" s="31">
        <f t="shared" si="10"/>
        <v>1217.4141985251972</v>
      </c>
      <c r="F166" s="31">
        <f t="shared" si="11"/>
        <v>385487.41660201427</v>
      </c>
    </row>
    <row r="167" spans="2:6" hidden="1" x14ac:dyDescent="0.25">
      <c r="B167" s="4">
        <v>145</v>
      </c>
      <c r="C167" s="31">
        <f t="shared" si="8"/>
        <v>2506.4303011936622</v>
      </c>
      <c r="D167" s="31">
        <f t="shared" si="9"/>
        <v>1284.9580553400476</v>
      </c>
      <c r="E167" s="31">
        <f t="shared" si="10"/>
        <v>1221.4722458536146</v>
      </c>
      <c r="F167" s="31">
        <f t="shared" si="11"/>
        <v>384265.94435616065</v>
      </c>
    </row>
    <row r="168" spans="2:6" hidden="1" x14ac:dyDescent="0.25">
      <c r="B168" s="4">
        <v>146</v>
      </c>
      <c r="C168" s="31">
        <f t="shared" si="8"/>
        <v>2506.4303011936622</v>
      </c>
      <c r="D168" s="31">
        <f t="shared" si="9"/>
        <v>1280.8864811872022</v>
      </c>
      <c r="E168" s="31">
        <f t="shared" si="10"/>
        <v>1225.54382000646</v>
      </c>
      <c r="F168" s="31">
        <f t="shared" si="11"/>
        <v>383040.40053615416</v>
      </c>
    </row>
    <row r="169" spans="2:6" hidden="1" x14ac:dyDescent="0.25">
      <c r="B169" s="4">
        <v>147</v>
      </c>
      <c r="C169" s="31">
        <f t="shared" si="8"/>
        <v>2506.4303011936622</v>
      </c>
      <c r="D169" s="31">
        <f t="shared" si="9"/>
        <v>1276.8013351205141</v>
      </c>
      <c r="E169" s="31">
        <f t="shared" si="10"/>
        <v>1229.6289660731481</v>
      </c>
      <c r="F169" s="31">
        <f t="shared" si="11"/>
        <v>381810.77157008101</v>
      </c>
    </row>
    <row r="170" spans="2:6" hidden="1" x14ac:dyDescent="0.25">
      <c r="B170" s="4">
        <v>148</v>
      </c>
      <c r="C170" s="31">
        <f t="shared" si="8"/>
        <v>2506.4303011936622</v>
      </c>
      <c r="D170" s="31">
        <f t="shared" si="9"/>
        <v>1272.7025719002702</v>
      </c>
      <c r="E170" s="31">
        <f t="shared" si="10"/>
        <v>1233.727729293392</v>
      </c>
      <c r="F170" s="31">
        <f t="shared" si="11"/>
        <v>380577.04384078761</v>
      </c>
    </row>
    <row r="171" spans="2:6" hidden="1" x14ac:dyDescent="0.25">
      <c r="B171" s="4">
        <v>149</v>
      </c>
      <c r="C171" s="31">
        <f t="shared" si="8"/>
        <v>2506.4303011936622</v>
      </c>
      <c r="D171" s="31">
        <f t="shared" si="9"/>
        <v>1268.5901461359588</v>
      </c>
      <c r="E171" s="31">
        <f t="shared" si="10"/>
        <v>1237.8401550577034</v>
      </c>
      <c r="F171" s="31">
        <f t="shared" si="11"/>
        <v>379339.20368572988</v>
      </c>
    </row>
    <row r="172" spans="2:6" hidden="1" x14ac:dyDescent="0.25">
      <c r="B172" s="4">
        <v>150</v>
      </c>
      <c r="C172" s="31">
        <f t="shared" si="8"/>
        <v>2506.4303011936622</v>
      </c>
      <c r="D172" s="31">
        <f t="shared" si="9"/>
        <v>1264.4640122857663</v>
      </c>
      <c r="E172" s="31">
        <f t="shared" si="10"/>
        <v>1241.9662889078959</v>
      </c>
      <c r="F172" s="31">
        <f t="shared" si="11"/>
        <v>378097.23739682196</v>
      </c>
    </row>
    <row r="173" spans="2:6" hidden="1" x14ac:dyDescent="0.25">
      <c r="B173" s="4">
        <v>151</v>
      </c>
      <c r="C173" s="31">
        <f t="shared" si="8"/>
        <v>2506.4303011936622</v>
      </c>
      <c r="D173" s="31">
        <f t="shared" si="9"/>
        <v>1260.3241246560733</v>
      </c>
      <c r="E173" s="31">
        <f t="shared" si="10"/>
        <v>1246.1061765375889</v>
      </c>
      <c r="F173" s="31">
        <f t="shared" si="11"/>
        <v>376851.13122028438</v>
      </c>
    </row>
    <row r="174" spans="2:6" hidden="1" x14ac:dyDescent="0.25">
      <c r="B174" s="4">
        <v>152</v>
      </c>
      <c r="C174" s="31">
        <f t="shared" si="8"/>
        <v>2506.4303011936622</v>
      </c>
      <c r="D174" s="31">
        <f t="shared" si="9"/>
        <v>1256.170437400948</v>
      </c>
      <c r="E174" s="31">
        <f t="shared" si="10"/>
        <v>1250.2598637927142</v>
      </c>
      <c r="F174" s="31">
        <f t="shared" si="11"/>
        <v>375600.8713564917</v>
      </c>
    </row>
    <row r="175" spans="2:6" hidden="1" x14ac:dyDescent="0.25">
      <c r="B175" s="4">
        <v>153</v>
      </c>
      <c r="C175" s="31">
        <f t="shared" si="8"/>
        <v>2506.4303011936622</v>
      </c>
      <c r="D175" s="31">
        <f t="shared" si="9"/>
        <v>1252.002904521639</v>
      </c>
      <c r="E175" s="31">
        <f t="shared" si="10"/>
        <v>1254.4273966720232</v>
      </c>
      <c r="F175" s="31">
        <f t="shared" si="11"/>
        <v>374346.44395981968</v>
      </c>
    </row>
    <row r="176" spans="2:6" hidden="1" x14ac:dyDescent="0.25">
      <c r="B176" s="4">
        <v>154</v>
      </c>
      <c r="C176" s="31">
        <f t="shared" si="8"/>
        <v>2506.4303011936622</v>
      </c>
      <c r="D176" s="31">
        <f t="shared" si="9"/>
        <v>1247.8214798660656</v>
      </c>
      <c r="E176" s="31">
        <f t="shared" si="10"/>
        <v>1258.6088213275966</v>
      </c>
      <c r="F176" s="31">
        <f t="shared" si="11"/>
        <v>373087.83513849205</v>
      </c>
    </row>
    <row r="177" spans="2:6" hidden="1" x14ac:dyDescent="0.25">
      <c r="B177" s="4">
        <v>155</v>
      </c>
      <c r="C177" s="31">
        <f t="shared" si="8"/>
        <v>2506.4303011936622</v>
      </c>
      <c r="D177" s="31">
        <f t="shared" si="9"/>
        <v>1243.626117128307</v>
      </c>
      <c r="E177" s="31">
        <f t="shared" si="10"/>
        <v>1262.8041840653552</v>
      </c>
      <c r="F177" s="31">
        <f t="shared" si="11"/>
        <v>371825.03095442668</v>
      </c>
    </row>
    <row r="178" spans="2:6" hidden="1" x14ac:dyDescent="0.25">
      <c r="B178" s="4">
        <v>156</v>
      </c>
      <c r="C178" s="31">
        <f t="shared" si="8"/>
        <v>2506.4303011936622</v>
      </c>
      <c r="D178" s="31">
        <f t="shared" si="9"/>
        <v>1239.416769848089</v>
      </c>
      <c r="E178" s="31">
        <f t="shared" si="10"/>
        <v>1267.0135313455733</v>
      </c>
      <c r="F178" s="31">
        <f t="shared" si="11"/>
        <v>370558.0174230811</v>
      </c>
    </row>
    <row r="179" spans="2:6" hidden="1" x14ac:dyDescent="0.25">
      <c r="B179" s="4">
        <v>157</v>
      </c>
      <c r="C179" s="31">
        <f t="shared" si="8"/>
        <v>2506.4303011936622</v>
      </c>
      <c r="D179" s="31">
        <f t="shared" si="9"/>
        <v>1235.1933914102704</v>
      </c>
      <c r="E179" s="31">
        <f t="shared" si="10"/>
        <v>1271.2369097833919</v>
      </c>
      <c r="F179" s="31">
        <f t="shared" si="11"/>
        <v>369286.78051329771</v>
      </c>
    </row>
    <row r="180" spans="2:6" hidden="1" x14ac:dyDescent="0.25">
      <c r="B180" s="4">
        <v>158</v>
      </c>
      <c r="C180" s="31">
        <f t="shared" si="8"/>
        <v>2506.4303011936622</v>
      </c>
      <c r="D180" s="31">
        <f t="shared" si="9"/>
        <v>1230.9559350443258</v>
      </c>
      <c r="E180" s="31">
        <f t="shared" si="10"/>
        <v>1275.4743661493364</v>
      </c>
      <c r="F180" s="31">
        <f t="shared" si="11"/>
        <v>368011.30614714837</v>
      </c>
    </row>
    <row r="181" spans="2:6" hidden="1" x14ac:dyDescent="0.25">
      <c r="B181" s="4">
        <v>159</v>
      </c>
      <c r="C181" s="31">
        <f t="shared" si="8"/>
        <v>2506.4303011936622</v>
      </c>
      <c r="D181" s="31">
        <f t="shared" si="9"/>
        <v>1226.7043538238279</v>
      </c>
      <c r="E181" s="31">
        <f t="shared" si="10"/>
        <v>1279.7259473698343</v>
      </c>
      <c r="F181" s="31">
        <f t="shared" si="11"/>
        <v>366731.58019977855</v>
      </c>
    </row>
    <row r="182" spans="2:6" hidden="1" x14ac:dyDescent="0.25">
      <c r="B182" s="4">
        <v>160</v>
      </c>
      <c r="C182" s="31">
        <f t="shared" si="8"/>
        <v>2506.4303011936622</v>
      </c>
      <c r="D182" s="31">
        <f t="shared" si="9"/>
        <v>1222.4386006659286</v>
      </c>
      <c r="E182" s="31">
        <f t="shared" si="10"/>
        <v>1283.9917005277337</v>
      </c>
      <c r="F182" s="31">
        <f t="shared" si="11"/>
        <v>365447.58849925082</v>
      </c>
    </row>
    <row r="183" spans="2:6" hidden="1" x14ac:dyDescent="0.25">
      <c r="B183" s="4">
        <v>161</v>
      </c>
      <c r="C183" s="31">
        <f t="shared" si="8"/>
        <v>2506.4303011936622</v>
      </c>
      <c r="D183" s="31">
        <f t="shared" si="9"/>
        <v>1218.1586283308361</v>
      </c>
      <c r="E183" s="31">
        <f t="shared" si="10"/>
        <v>1288.2716728628261</v>
      </c>
      <c r="F183" s="31">
        <f t="shared" si="11"/>
        <v>364159.31682638801</v>
      </c>
    </row>
    <row r="184" spans="2:6" hidden="1" x14ac:dyDescent="0.25">
      <c r="B184" s="4">
        <v>162</v>
      </c>
      <c r="C184" s="31">
        <f t="shared" si="8"/>
        <v>2506.4303011936622</v>
      </c>
      <c r="D184" s="31">
        <f t="shared" si="9"/>
        <v>1213.8643894212935</v>
      </c>
      <c r="E184" s="31">
        <f t="shared" si="10"/>
        <v>1292.5659117723687</v>
      </c>
      <c r="F184" s="31">
        <f t="shared" si="11"/>
        <v>362866.75091461564</v>
      </c>
    </row>
    <row r="185" spans="2:6" hidden="1" x14ac:dyDescent="0.25">
      <c r="B185" s="4">
        <v>163</v>
      </c>
      <c r="C185" s="31">
        <f t="shared" si="8"/>
        <v>2506.4303011936622</v>
      </c>
      <c r="D185" s="31">
        <f t="shared" si="9"/>
        <v>1209.5558363820521</v>
      </c>
      <c r="E185" s="31">
        <f t="shared" si="10"/>
        <v>1296.8744648116101</v>
      </c>
      <c r="F185" s="31">
        <f t="shared" si="11"/>
        <v>361569.87644980405</v>
      </c>
    </row>
    <row r="186" spans="2:6" hidden="1" x14ac:dyDescent="0.25">
      <c r="B186" s="4">
        <v>164</v>
      </c>
      <c r="C186" s="31">
        <f t="shared" si="8"/>
        <v>2506.4303011936622</v>
      </c>
      <c r="D186" s="31">
        <f t="shared" si="9"/>
        <v>1205.232921499347</v>
      </c>
      <c r="E186" s="31">
        <f t="shared" si="10"/>
        <v>1301.1973796943153</v>
      </c>
      <c r="F186" s="31">
        <f t="shared" si="11"/>
        <v>360268.67907010973</v>
      </c>
    </row>
    <row r="187" spans="2:6" hidden="1" x14ac:dyDescent="0.25">
      <c r="B187" s="4">
        <v>165</v>
      </c>
      <c r="C187" s="31">
        <f t="shared" si="8"/>
        <v>2506.4303011936622</v>
      </c>
      <c r="D187" s="31">
        <f t="shared" si="9"/>
        <v>1200.8955969003659</v>
      </c>
      <c r="E187" s="31">
        <f t="shared" si="10"/>
        <v>1305.5347042932963</v>
      </c>
      <c r="F187" s="31">
        <f t="shared" si="11"/>
        <v>358963.14436581644</v>
      </c>
    </row>
    <row r="188" spans="2:6" hidden="1" x14ac:dyDescent="0.25">
      <c r="B188" s="4">
        <v>166</v>
      </c>
      <c r="C188" s="31">
        <f t="shared" si="8"/>
        <v>2506.4303011936622</v>
      </c>
      <c r="D188" s="31">
        <f t="shared" si="9"/>
        <v>1196.5438145527214</v>
      </c>
      <c r="E188" s="31">
        <f t="shared" si="10"/>
        <v>1309.8864866409408</v>
      </c>
      <c r="F188" s="31">
        <f t="shared" si="11"/>
        <v>357653.25787917548</v>
      </c>
    </row>
    <row r="189" spans="2:6" hidden="1" x14ac:dyDescent="0.25">
      <c r="B189" s="4">
        <v>167</v>
      </c>
      <c r="C189" s="31">
        <f t="shared" si="8"/>
        <v>2506.4303011936622</v>
      </c>
      <c r="D189" s="31">
        <f t="shared" si="9"/>
        <v>1192.1775262639183</v>
      </c>
      <c r="E189" s="31">
        <f t="shared" si="10"/>
        <v>1314.252774929744</v>
      </c>
      <c r="F189" s="31">
        <f t="shared" si="11"/>
        <v>356339.00510424573</v>
      </c>
    </row>
    <row r="190" spans="2:6" hidden="1" x14ac:dyDescent="0.25">
      <c r="B190" s="4">
        <v>168</v>
      </c>
      <c r="C190" s="31">
        <f t="shared" si="8"/>
        <v>2506.4303011936622</v>
      </c>
      <c r="D190" s="31">
        <f t="shared" si="9"/>
        <v>1187.7966836808191</v>
      </c>
      <c r="E190" s="31">
        <f t="shared" si="10"/>
        <v>1318.6336175128431</v>
      </c>
      <c r="F190" s="31">
        <f t="shared" si="11"/>
        <v>355020.37148673291</v>
      </c>
    </row>
    <row r="191" spans="2:6" hidden="1" x14ac:dyDescent="0.25">
      <c r="B191" s="4">
        <v>169</v>
      </c>
      <c r="C191" s="31">
        <f t="shared" si="8"/>
        <v>2506.4303011936622</v>
      </c>
      <c r="D191" s="31">
        <f t="shared" si="9"/>
        <v>1183.4012382891099</v>
      </c>
      <c r="E191" s="31">
        <f t="shared" si="10"/>
        <v>1323.0290629045523</v>
      </c>
      <c r="F191" s="31">
        <f t="shared" si="11"/>
        <v>353697.34242382838</v>
      </c>
    </row>
    <row r="192" spans="2:6" hidden="1" x14ac:dyDescent="0.25">
      <c r="B192" s="4">
        <v>170</v>
      </c>
      <c r="C192" s="31">
        <f t="shared" si="8"/>
        <v>2506.4303011936622</v>
      </c>
      <c r="D192" s="31">
        <f t="shared" si="9"/>
        <v>1178.9911414127614</v>
      </c>
      <c r="E192" s="31">
        <f t="shared" si="10"/>
        <v>1327.4391597809008</v>
      </c>
      <c r="F192" s="31">
        <f t="shared" si="11"/>
        <v>352369.90326404746</v>
      </c>
    </row>
    <row r="193" spans="2:6" hidden="1" x14ac:dyDescent="0.25">
      <c r="B193" s="4">
        <v>171</v>
      </c>
      <c r="C193" s="31">
        <f t="shared" si="8"/>
        <v>2506.4303011936622</v>
      </c>
      <c r="D193" s="31">
        <f t="shared" si="9"/>
        <v>1174.5663442134917</v>
      </c>
      <c r="E193" s="31">
        <f t="shared" si="10"/>
        <v>1331.8639569801705</v>
      </c>
      <c r="F193" s="31">
        <f t="shared" si="11"/>
        <v>351038.03930706729</v>
      </c>
    </row>
    <row r="194" spans="2:6" hidden="1" x14ac:dyDescent="0.25">
      <c r="B194" s="4">
        <v>172</v>
      </c>
      <c r="C194" s="31">
        <f t="shared" si="8"/>
        <v>2506.4303011936622</v>
      </c>
      <c r="D194" s="31">
        <f t="shared" si="9"/>
        <v>1170.1267976902243</v>
      </c>
      <c r="E194" s="31">
        <f t="shared" si="10"/>
        <v>1336.3035035034379</v>
      </c>
      <c r="F194" s="31">
        <f t="shared" si="11"/>
        <v>349701.73580356385</v>
      </c>
    </row>
    <row r="195" spans="2:6" hidden="1" x14ac:dyDescent="0.25">
      <c r="B195" s="4">
        <v>173</v>
      </c>
      <c r="C195" s="31">
        <f t="shared" si="8"/>
        <v>2506.4303011936622</v>
      </c>
      <c r="D195" s="31">
        <f t="shared" si="9"/>
        <v>1165.6724526785463</v>
      </c>
      <c r="E195" s="31">
        <f t="shared" si="10"/>
        <v>1340.7578485151159</v>
      </c>
      <c r="F195" s="31">
        <f t="shared" si="11"/>
        <v>348360.97795504873</v>
      </c>
    </row>
    <row r="196" spans="2:6" hidden="1" x14ac:dyDescent="0.25">
      <c r="B196" s="4">
        <v>174</v>
      </c>
      <c r="C196" s="31">
        <f t="shared" si="8"/>
        <v>2506.4303011936622</v>
      </c>
      <c r="D196" s="31">
        <f t="shared" si="9"/>
        <v>1161.2032598501626</v>
      </c>
      <c r="E196" s="31">
        <f t="shared" si="10"/>
        <v>1345.2270413434996</v>
      </c>
      <c r="F196" s="31">
        <f t="shared" si="11"/>
        <v>347015.75091370521</v>
      </c>
    </row>
    <row r="197" spans="2:6" hidden="1" x14ac:dyDescent="0.25">
      <c r="B197" s="4">
        <v>175</v>
      </c>
      <c r="C197" s="31">
        <f t="shared" si="8"/>
        <v>2506.4303011936622</v>
      </c>
      <c r="D197" s="31">
        <f t="shared" si="9"/>
        <v>1156.7191697123508</v>
      </c>
      <c r="E197" s="31">
        <f t="shared" si="10"/>
        <v>1349.7111314813114</v>
      </c>
      <c r="F197" s="31">
        <f t="shared" si="11"/>
        <v>345666.03978222387</v>
      </c>
    </row>
    <row r="198" spans="2:6" hidden="1" x14ac:dyDescent="0.25">
      <c r="B198" s="4">
        <v>176</v>
      </c>
      <c r="C198" s="31">
        <f t="shared" si="8"/>
        <v>2506.4303011936622</v>
      </c>
      <c r="D198" s="31">
        <f t="shared" si="9"/>
        <v>1152.220132607413</v>
      </c>
      <c r="E198" s="31">
        <f t="shared" si="10"/>
        <v>1354.2101685862492</v>
      </c>
      <c r="F198" s="31">
        <f t="shared" si="11"/>
        <v>344311.82961363764</v>
      </c>
    </row>
    <row r="199" spans="2:6" hidden="1" x14ac:dyDescent="0.25">
      <c r="B199" s="4">
        <v>177</v>
      </c>
      <c r="C199" s="31">
        <f t="shared" si="8"/>
        <v>2506.4303011936622</v>
      </c>
      <c r="D199" s="31">
        <f t="shared" si="9"/>
        <v>1147.7060987121256</v>
      </c>
      <c r="E199" s="31">
        <f t="shared" si="10"/>
        <v>1358.7242024815366</v>
      </c>
      <c r="F199" s="31">
        <f t="shared" si="11"/>
        <v>342953.10541115608</v>
      </c>
    </row>
    <row r="200" spans="2:6" hidden="1" x14ac:dyDescent="0.25">
      <c r="B200" s="4">
        <v>178</v>
      </c>
      <c r="C200" s="31">
        <f t="shared" si="8"/>
        <v>2506.4303011936622</v>
      </c>
      <c r="D200" s="31">
        <f t="shared" si="9"/>
        <v>1143.1770180371871</v>
      </c>
      <c r="E200" s="31">
        <f t="shared" si="10"/>
        <v>1363.2532831564752</v>
      </c>
      <c r="F200" s="31">
        <f t="shared" si="11"/>
        <v>341589.85212799959</v>
      </c>
    </row>
    <row r="201" spans="2:6" hidden="1" x14ac:dyDescent="0.25">
      <c r="B201" s="4">
        <v>179</v>
      </c>
      <c r="C201" s="31">
        <f t="shared" si="8"/>
        <v>2506.4303011936622</v>
      </c>
      <c r="D201" s="31">
        <f t="shared" si="9"/>
        <v>1138.6328404266653</v>
      </c>
      <c r="E201" s="31">
        <f t="shared" si="10"/>
        <v>1367.7974607669969</v>
      </c>
      <c r="F201" s="31">
        <f t="shared" si="11"/>
        <v>340222.05466723262</v>
      </c>
    </row>
    <row r="202" spans="2:6" hidden="1" x14ac:dyDescent="0.25">
      <c r="B202" s="4">
        <v>180</v>
      </c>
      <c r="C202" s="31">
        <f t="shared" si="8"/>
        <v>2506.4303011936622</v>
      </c>
      <c r="D202" s="31">
        <f t="shared" si="9"/>
        <v>1134.0735155574421</v>
      </c>
      <c r="E202" s="31">
        <f t="shared" si="10"/>
        <v>1372.3567856362201</v>
      </c>
      <c r="F202" s="31">
        <f t="shared" si="11"/>
        <v>338849.6978815964</v>
      </c>
    </row>
    <row r="203" spans="2:6" hidden="1" x14ac:dyDescent="0.25">
      <c r="B203" s="4">
        <v>181</v>
      </c>
      <c r="C203" s="31">
        <f t="shared" si="8"/>
        <v>2506.4303011936622</v>
      </c>
      <c r="D203" s="31">
        <f t="shared" si="9"/>
        <v>1129.4989929386547</v>
      </c>
      <c r="E203" s="31">
        <f t="shared" si="10"/>
        <v>1376.9313082550075</v>
      </c>
      <c r="F203" s="31">
        <f t="shared" si="11"/>
        <v>337472.76657334139</v>
      </c>
    </row>
    <row r="204" spans="2:6" hidden="1" x14ac:dyDescent="0.25">
      <c r="B204" s="4">
        <v>182</v>
      </c>
      <c r="C204" s="31">
        <f t="shared" si="8"/>
        <v>2506.4303011936622</v>
      </c>
      <c r="D204" s="31">
        <f t="shared" si="9"/>
        <v>1124.909221911138</v>
      </c>
      <c r="E204" s="31">
        <f t="shared" si="10"/>
        <v>1381.5210792825242</v>
      </c>
      <c r="F204" s="31">
        <f t="shared" si="11"/>
        <v>336091.24549405888</v>
      </c>
    </row>
    <row r="205" spans="2:6" hidden="1" x14ac:dyDescent="0.25">
      <c r="B205" s="4">
        <v>183</v>
      </c>
      <c r="C205" s="31">
        <f t="shared" si="8"/>
        <v>2506.4303011936622</v>
      </c>
      <c r="D205" s="31">
        <f t="shared" si="9"/>
        <v>1120.3041516468629</v>
      </c>
      <c r="E205" s="31">
        <f t="shared" si="10"/>
        <v>1386.1261495467993</v>
      </c>
      <c r="F205" s="31">
        <f t="shared" si="11"/>
        <v>334705.11934451206</v>
      </c>
    </row>
    <row r="206" spans="2:6" hidden="1" x14ac:dyDescent="0.25">
      <c r="B206" s="4">
        <v>184</v>
      </c>
      <c r="C206" s="31">
        <f t="shared" si="8"/>
        <v>2506.4303011936622</v>
      </c>
      <c r="D206" s="31">
        <f t="shared" si="9"/>
        <v>1115.6837311483737</v>
      </c>
      <c r="E206" s="31">
        <f t="shared" si="10"/>
        <v>1390.7465700452885</v>
      </c>
      <c r="F206" s="31">
        <f t="shared" si="11"/>
        <v>333314.37277446676</v>
      </c>
    </row>
    <row r="207" spans="2:6" hidden="1" x14ac:dyDescent="0.25">
      <c r="B207" s="4">
        <v>185</v>
      </c>
      <c r="C207" s="31">
        <f t="shared" si="8"/>
        <v>2506.4303011936622</v>
      </c>
      <c r="D207" s="31">
        <f t="shared" si="9"/>
        <v>1111.0479092482226</v>
      </c>
      <c r="E207" s="31">
        <f t="shared" si="10"/>
        <v>1395.3823919454396</v>
      </c>
      <c r="F207" s="31">
        <f t="shared" si="11"/>
        <v>331918.9903825213</v>
      </c>
    </row>
    <row r="208" spans="2:6" hidden="1" x14ac:dyDescent="0.25">
      <c r="B208" s="4">
        <v>186</v>
      </c>
      <c r="C208" s="31">
        <f t="shared" si="8"/>
        <v>2506.4303011936622</v>
      </c>
      <c r="D208" s="31">
        <f t="shared" si="9"/>
        <v>1106.3966346084044</v>
      </c>
      <c r="E208" s="31">
        <f t="shared" si="10"/>
        <v>1400.0336665852578</v>
      </c>
      <c r="F208" s="31">
        <f t="shared" si="11"/>
        <v>330518.95671593602</v>
      </c>
    </row>
    <row r="209" spans="2:6" hidden="1" x14ac:dyDescent="0.25">
      <c r="B209" s="4">
        <v>187</v>
      </c>
      <c r="C209" s="31">
        <f t="shared" si="8"/>
        <v>2506.4303011936622</v>
      </c>
      <c r="D209" s="31">
        <f t="shared" si="9"/>
        <v>1101.7298557197869</v>
      </c>
      <c r="E209" s="31">
        <f t="shared" si="10"/>
        <v>1404.7004454738753</v>
      </c>
      <c r="F209" s="31">
        <f t="shared" si="11"/>
        <v>329114.25627046212</v>
      </c>
    </row>
    <row r="210" spans="2:6" hidden="1" x14ac:dyDescent="0.25">
      <c r="B210" s="4">
        <v>188</v>
      </c>
      <c r="C210" s="31">
        <f t="shared" si="8"/>
        <v>2506.4303011936622</v>
      </c>
      <c r="D210" s="31">
        <f t="shared" si="9"/>
        <v>1097.0475209015406</v>
      </c>
      <c r="E210" s="31">
        <f t="shared" si="10"/>
        <v>1409.3827802921217</v>
      </c>
      <c r="F210" s="31">
        <f t="shared" si="11"/>
        <v>327704.87349016999</v>
      </c>
    </row>
    <row r="211" spans="2:6" hidden="1" x14ac:dyDescent="0.25">
      <c r="B211" s="4">
        <v>189</v>
      </c>
      <c r="C211" s="31">
        <f t="shared" si="8"/>
        <v>2506.4303011936622</v>
      </c>
      <c r="D211" s="31">
        <f t="shared" si="9"/>
        <v>1092.3495783005667</v>
      </c>
      <c r="E211" s="31">
        <f t="shared" si="10"/>
        <v>1414.0807228930955</v>
      </c>
      <c r="F211" s="31">
        <f t="shared" si="11"/>
        <v>326290.79276727687</v>
      </c>
    </row>
    <row r="212" spans="2:6" hidden="1" x14ac:dyDescent="0.25">
      <c r="B212" s="4">
        <v>190</v>
      </c>
      <c r="C212" s="31">
        <f t="shared" si="8"/>
        <v>2506.4303011936622</v>
      </c>
      <c r="D212" s="31">
        <f t="shared" si="9"/>
        <v>1087.635975890923</v>
      </c>
      <c r="E212" s="31">
        <f t="shared" si="10"/>
        <v>1418.7943253027393</v>
      </c>
      <c r="F212" s="31">
        <f t="shared" si="11"/>
        <v>324871.99844197411</v>
      </c>
    </row>
    <row r="213" spans="2:6" hidden="1" x14ac:dyDescent="0.25">
      <c r="B213" s="4">
        <v>191</v>
      </c>
      <c r="C213" s="31">
        <f t="shared" si="8"/>
        <v>2506.4303011936622</v>
      </c>
      <c r="D213" s="31">
        <f t="shared" si="9"/>
        <v>1082.9066614732471</v>
      </c>
      <c r="E213" s="31">
        <f t="shared" si="10"/>
        <v>1423.5236397204151</v>
      </c>
      <c r="F213" s="31">
        <f t="shared" si="11"/>
        <v>323448.47480225371</v>
      </c>
    </row>
    <row r="214" spans="2:6" hidden="1" x14ac:dyDescent="0.25">
      <c r="B214" s="4">
        <v>192</v>
      </c>
      <c r="C214" s="31">
        <f t="shared" si="8"/>
        <v>2506.4303011936622</v>
      </c>
      <c r="D214" s="31">
        <f t="shared" si="9"/>
        <v>1078.161582674179</v>
      </c>
      <c r="E214" s="31">
        <f t="shared" si="10"/>
        <v>1428.2687185194832</v>
      </c>
      <c r="F214" s="31">
        <f t="shared" si="11"/>
        <v>322020.20608373423</v>
      </c>
    </row>
    <row r="215" spans="2:6" hidden="1" x14ac:dyDescent="0.25">
      <c r="B215" s="4">
        <v>193</v>
      </c>
      <c r="C215" s="31">
        <f t="shared" si="8"/>
        <v>2506.4303011936622</v>
      </c>
      <c r="D215" s="31">
        <f t="shared" si="9"/>
        <v>1073.4006869457808</v>
      </c>
      <c r="E215" s="31">
        <f t="shared" si="10"/>
        <v>1433.0296142478815</v>
      </c>
      <c r="F215" s="31">
        <f t="shared" si="11"/>
        <v>320587.17646948632</v>
      </c>
    </row>
    <row r="216" spans="2:6" hidden="1" x14ac:dyDescent="0.25">
      <c r="B216" s="4">
        <v>194</v>
      </c>
      <c r="C216" s="31">
        <f t="shared" ref="C216:C279" si="12">-$C$12</f>
        <v>2506.4303011936622</v>
      </c>
      <c r="D216" s="31">
        <f t="shared" ref="D216:D279" si="13">F215*C$10</f>
        <v>1068.6239215649546</v>
      </c>
      <c r="E216" s="31">
        <f t="shared" ref="E216:E279" si="14">C216-D216</f>
        <v>1437.8063796287076</v>
      </c>
      <c r="F216" s="31">
        <f t="shared" ref="F216:F279" si="15">F215-E216</f>
        <v>319149.37008985761</v>
      </c>
    </row>
    <row r="217" spans="2:6" hidden="1" x14ac:dyDescent="0.25">
      <c r="B217" s="4">
        <v>195</v>
      </c>
      <c r="C217" s="31">
        <f t="shared" si="12"/>
        <v>2506.4303011936622</v>
      </c>
      <c r="D217" s="31">
        <f t="shared" si="13"/>
        <v>1063.8312336328588</v>
      </c>
      <c r="E217" s="31">
        <f t="shared" si="14"/>
        <v>1442.5990675608034</v>
      </c>
      <c r="F217" s="31">
        <f t="shared" si="15"/>
        <v>317706.7710222968</v>
      </c>
    </row>
    <row r="218" spans="2:6" hidden="1" x14ac:dyDescent="0.25">
      <c r="B218" s="4">
        <v>196</v>
      </c>
      <c r="C218" s="31">
        <f t="shared" si="12"/>
        <v>2506.4303011936622</v>
      </c>
      <c r="D218" s="31">
        <f t="shared" si="13"/>
        <v>1059.0225700743226</v>
      </c>
      <c r="E218" s="31">
        <f t="shared" si="14"/>
        <v>1447.4077311193396</v>
      </c>
      <c r="F218" s="31">
        <f t="shared" si="15"/>
        <v>316259.36329117743</v>
      </c>
    </row>
    <row r="219" spans="2:6" hidden="1" x14ac:dyDescent="0.25">
      <c r="B219" s="4">
        <v>197</v>
      </c>
      <c r="C219" s="31">
        <f t="shared" si="12"/>
        <v>2506.4303011936622</v>
      </c>
      <c r="D219" s="31">
        <f t="shared" si="13"/>
        <v>1054.1978776372582</v>
      </c>
      <c r="E219" s="31">
        <f t="shared" si="14"/>
        <v>1452.232423556404</v>
      </c>
      <c r="F219" s="31">
        <f t="shared" si="15"/>
        <v>314807.13086762105</v>
      </c>
    </row>
    <row r="220" spans="2:6" hidden="1" x14ac:dyDescent="0.25">
      <c r="B220" s="4">
        <v>198</v>
      </c>
      <c r="C220" s="31">
        <f t="shared" si="12"/>
        <v>2506.4303011936622</v>
      </c>
      <c r="D220" s="31">
        <f t="shared" si="13"/>
        <v>1049.3571028920703</v>
      </c>
      <c r="E220" s="31">
        <f t="shared" si="14"/>
        <v>1457.0731983015919</v>
      </c>
      <c r="F220" s="31">
        <f t="shared" si="15"/>
        <v>313350.05766931945</v>
      </c>
    </row>
    <row r="221" spans="2:6" hidden="1" x14ac:dyDescent="0.25">
      <c r="B221" s="4">
        <v>199</v>
      </c>
      <c r="C221" s="31">
        <f t="shared" si="12"/>
        <v>2506.4303011936622</v>
      </c>
      <c r="D221" s="31">
        <f t="shared" si="13"/>
        <v>1044.5001922310648</v>
      </c>
      <c r="E221" s="31">
        <f t="shared" si="14"/>
        <v>1461.9301089625974</v>
      </c>
      <c r="F221" s="31">
        <f t="shared" si="15"/>
        <v>311888.12756035686</v>
      </c>
    </row>
    <row r="222" spans="2:6" hidden="1" x14ac:dyDescent="0.25">
      <c r="B222" s="4">
        <v>200</v>
      </c>
      <c r="C222" s="31">
        <f t="shared" si="12"/>
        <v>2506.4303011936622</v>
      </c>
      <c r="D222" s="31">
        <f t="shared" si="13"/>
        <v>1039.6270918678563</v>
      </c>
      <c r="E222" s="31">
        <f t="shared" si="14"/>
        <v>1466.8032093258059</v>
      </c>
      <c r="F222" s="31">
        <f t="shared" si="15"/>
        <v>310421.32435103104</v>
      </c>
    </row>
    <row r="223" spans="2:6" hidden="1" x14ac:dyDescent="0.25">
      <c r="B223" s="4">
        <v>201</v>
      </c>
      <c r="C223" s="31">
        <f t="shared" si="12"/>
        <v>2506.4303011936622</v>
      </c>
      <c r="D223" s="31">
        <f t="shared" si="13"/>
        <v>1034.7377478367703</v>
      </c>
      <c r="E223" s="31">
        <f t="shared" si="14"/>
        <v>1471.6925533568919</v>
      </c>
      <c r="F223" s="31">
        <f t="shared" si="15"/>
        <v>308949.63179767417</v>
      </c>
    </row>
    <row r="224" spans="2:6" hidden="1" x14ac:dyDescent="0.25">
      <c r="B224" s="4">
        <v>202</v>
      </c>
      <c r="C224" s="31">
        <f t="shared" si="12"/>
        <v>2506.4303011936622</v>
      </c>
      <c r="D224" s="31">
        <f t="shared" si="13"/>
        <v>1029.8321059922473</v>
      </c>
      <c r="E224" s="31">
        <f t="shared" si="14"/>
        <v>1476.5981952014149</v>
      </c>
      <c r="F224" s="31">
        <f t="shared" si="15"/>
        <v>307473.03360247274</v>
      </c>
    </row>
    <row r="225" spans="2:6" hidden="1" x14ac:dyDescent="0.25">
      <c r="B225" s="4">
        <v>203</v>
      </c>
      <c r="C225" s="31">
        <f t="shared" si="12"/>
        <v>2506.4303011936622</v>
      </c>
      <c r="D225" s="31">
        <f t="shared" si="13"/>
        <v>1024.9101120082425</v>
      </c>
      <c r="E225" s="31">
        <f t="shared" si="14"/>
        <v>1481.5201891854197</v>
      </c>
      <c r="F225" s="31">
        <f t="shared" si="15"/>
        <v>305991.51341328735</v>
      </c>
    </row>
    <row r="226" spans="2:6" hidden="1" x14ac:dyDescent="0.25">
      <c r="B226" s="4">
        <v>204</v>
      </c>
      <c r="C226" s="31">
        <f t="shared" si="12"/>
        <v>2506.4303011936622</v>
      </c>
      <c r="D226" s="31">
        <f t="shared" si="13"/>
        <v>1019.9717113776246</v>
      </c>
      <c r="E226" s="31">
        <f t="shared" si="14"/>
        <v>1486.4585898160376</v>
      </c>
      <c r="F226" s="31">
        <f t="shared" si="15"/>
        <v>304505.05482347129</v>
      </c>
    </row>
    <row r="227" spans="2:6" hidden="1" x14ac:dyDescent="0.25">
      <c r="B227" s="4">
        <v>205</v>
      </c>
      <c r="C227" s="31">
        <f t="shared" si="12"/>
        <v>2506.4303011936622</v>
      </c>
      <c r="D227" s="31">
        <f t="shared" si="13"/>
        <v>1015.016849411571</v>
      </c>
      <c r="E227" s="31">
        <f t="shared" si="14"/>
        <v>1491.4134517820912</v>
      </c>
      <c r="F227" s="31">
        <f t="shared" si="15"/>
        <v>303013.64137168921</v>
      </c>
    </row>
    <row r="228" spans="2:6" hidden="1" x14ac:dyDescent="0.25">
      <c r="B228" s="4">
        <v>206</v>
      </c>
      <c r="C228" s="31">
        <f t="shared" si="12"/>
        <v>2506.4303011936622</v>
      </c>
      <c r="D228" s="31">
        <f t="shared" si="13"/>
        <v>1010.0454712389641</v>
      </c>
      <c r="E228" s="31">
        <f t="shared" si="14"/>
        <v>1496.384829954698</v>
      </c>
      <c r="F228" s="31">
        <f t="shared" si="15"/>
        <v>301517.2565417345</v>
      </c>
    </row>
    <row r="229" spans="2:6" hidden="1" x14ac:dyDescent="0.25">
      <c r="B229" s="4">
        <v>207</v>
      </c>
      <c r="C229" s="31">
        <f t="shared" si="12"/>
        <v>2506.4303011936622</v>
      </c>
      <c r="D229" s="31">
        <f t="shared" si="13"/>
        <v>1005.0575218057818</v>
      </c>
      <c r="E229" s="31">
        <f t="shared" si="14"/>
        <v>1501.3727793878804</v>
      </c>
      <c r="F229" s="31">
        <f t="shared" si="15"/>
        <v>300015.88376234664</v>
      </c>
    </row>
    <row r="230" spans="2:6" hidden="1" x14ac:dyDescent="0.25">
      <c r="B230" s="4">
        <v>208</v>
      </c>
      <c r="C230" s="31">
        <f t="shared" si="12"/>
        <v>2506.4303011936622</v>
      </c>
      <c r="D230" s="31">
        <f t="shared" si="13"/>
        <v>1000.0529458744888</v>
      </c>
      <c r="E230" s="31">
        <f t="shared" si="14"/>
        <v>1506.3773553191734</v>
      </c>
      <c r="F230" s="31">
        <f t="shared" si="15"/>
        <v>298509.50640702748</v>
      </c>
    </row>
    <row r="231" spans="2:6" hidden="1" x14ac:dyDescent="0.25">
      <c r="B231" s="4">
        <v>209</v>
      </c>
      <c r="C231" s="31">
        <f t="shared" si="12"/>
        <v>2506.4303011936622</v>
      </c>
      <c r="D231" s="31">
        <f t="shared" si="13"/>
        <v>995.03168802342498</v>
      </c>
      <c r="E231" s="31">
        <f t="shared" si="14"/>
        <v>1511.3986131702372</v>
      </c>
      <c r="F231" s="31">
        <f t="shared" si="15"/>
        <v>296998.10779385723</v>
      </c>
    </row>
    <row r="232" spans="2:6" hidden="1" x14ac:dyDescent="0.25">
      <c r="B232" s="4">
        <v>210</v>
      </c>
      <c r="C232" s="31">
        <f t="shared" si="12"/>
        <v>2506.4303011936622</v>
      </c>
      <c r="D232" s="31">
        <f t="shared" si="13"/>
        <v>989.99369264619077</v>
      </c>
      <c r="E232" s="31">
        <f t="shared" si="14"/>
        <v>1516.4366085474715</v>
      </c>
      <c r="F232" s="31">
        <f t="shared" si="15"/>
        <v>295481.67118530977</v>
      </c>
    </row>
    <row r="233" spans="2:6" hidden="1" x14ac:dyDescent="0.25">
      <c r="B233" s="4">
        <v>211</v>
      </c>
      <c r="C233" s="31">
        <f t="shared" si="12"/>
        <v>2506.4303011936622</v>
      </c>
      <c r="D233" s="31">
        <f t="shared" si="13"/>
        <v>984.93890395103267</v>
      </c>
      <c r="E233" s="31">
        <f t="shared" si="14"/>
        <v>1521.4913972426295</v>
      </c>
      <c r="F233" s="31">
        <f t="shared" si="15"/>
        <v>293960.17978806712</v>
      </c>
    </row>
    <row r="234" spans="2:6" hidden="1" x14ac:dyDescent="0.25">
      <c r="B234" s="4">
        <v>212</v>
      </c>
      <c r="C234" s="31">
        <f t="shared" si="12"/>
        <v>2506.4303011936622</v>
      </c>
      <c r="D234" s="31">
        <f t="shared" si="13"/>
        <v>979.86726596022379</v>
      </c>
      <c r="E234" s="31">
        <f t="shared" si="14"/>
        <v>1526.5630352334383</v>
      </c>
      <c r="F234" s="31">
        <f t="shared" si="15"/>
        <v>292433.61675283371</v>
      </c>
    </row>
    <row r="235" spans="2:6" hidden="1" x14ac:dyDescent="0.25">
      <c r="B235" s="4">
        <v>213</v>
      </c>
      <c r="C235" s="31">
        <f t="shared" si="12"/>
        <v>2506.4303011936622</v>
      </c>
      <c r="D235" s="31">
        <f t="shared" si="13"/>
        <v>974.77872250944574</v>
      </c>
      <c r="E235" s="31">
        <f t="shared" si="14"/>
        <v>1531.6515786842165</v>
      </c>
      <c r="F235" s="31">
        <f t="shared" si="15"/>
        <v>290901.96517414949</v>
      </c>
    </row>
    <row r="236" spans="2:6" hidden="1" x14ac:dyDescent="0.25">
      <c r="B236" s="4">
        <v>214</v>
      </c>
      <c r="C236" s="31">
        <f t="shared" si="12"/>
        <v>2506.4303011936622</v>
      </c>
      <c r="D236" s="31">
        <f t="shared" si="13"/>
        <v>969.67321724716498</v>
      </c>
      <c r="E236" s="31">
        <f t="shared" si="14"/>
        <v>1536.7570839464972</v>
      </c>
      <c r="F236" s="31">
        <f t="shared" si="15"/>
        <v>289365.208090203</v>
      </c>
    </row>
    <row r="237" spans="2:6" hidden="1" x14ac:dyDescent="0.25">
      <c r="B237" s="4">
        <v>215</v>
      </c>
      <c r="C237" s="31">
        <f t="shared" si="12"/>
        <v>2506.4303011936622</v>
      </c>
      <c r="D237" s="31">
        <f t="shared" si="13"/>
        <v>964.55069363401003</v>
      </c>
      <c r="E237" s="31">
        <f t="shared" si="14"/>
        <v>1541.8796075596522</v>
      </c>
      <c r="F237" s="31">
        <f t="shared" si="15"/>
        <v>287823.32848264335</v>
      </c>
    </row>
    <row r="238" spans="2:6" hidden="1" x14ac:dyDescent="0.25">
      <c r="B238" s="4">
        <v>216</v>
      </c>
      <c r="C238" s="31">
        <f t="shared" si="12"/>
        <v>2506.4303011936622</v>
      </c>
      <c r="D238" s="31">
        <f t="shared" si="13"/>
        <v>959.41109494214459</v>
      </c>
      <c r="E238" s="31">
        <f t="shared" si="14"/>
        <v>1547.0192062515175</v>
      </c>
      <c r="F238" s="31">
        <f t="shared" si="15"/>
        <v>286276.30927639181</v>
      </c>
    </row>
    <row r="239" spans="2:6" hidden="1" x14ac:dyDescent="0.25">
      <c r="B239" s="4">
        <v>217</v>
      </c>
      <c r="C239" s="31">
        <f t="shared" si="12"/>
        <v>2506.4303011936622</v>
      </c>
      <c r="D239" s="31">
        <f t="shared" si="13"/>
        <v>954.25436425463943</v>
      </c>
      <c r="E239" s="31">
        <f t="shared" si="14"/>
        <v>1552.1759369390229</v>
      </c>
      <c r="F239" s="31">
        <f t="shared" si="15"/>
        <v>284724.13333945279</v>
      </c>
    </row>
    <row r="240" spans="2:6" hidden="1" x14ac:dyDescent="0.25">
      <c r="B240" s="4">
        <v>218</v>
      </c>
      <c r="C240" s="31">
        <f t="shared" si="12"/>
        <v>2506.4303011936622</v>
      </c>
      <c r="D240" s="31">
        <f t="shared" si="13"/>
        <v>949.08044446484269</v>
      </c>
      <c r="E240" s="31">
        <f t="shared" si="14"/>
        <v>1557.3498567288195</v>
      </c>
      <c r="F240" s="31">
        <f t="shared" si="15"/>
        <v>283166.78348272399</v>
      </c>
    </row>
    <row r="241" spans="2:6" hidden="1" x14ac:dyDescent="0.25">
      <c r="B241" s="4">
        <v>219</v>
      </c>
      <c r="C241" s="31">
        <f t="shared" si="12"/>
        <v>2506.4303011936622</v>
      </c>
      <c r="D241" s="31">
        <f t="shared" si="13"/>
        <v>943.88927827574673</v>
      </c>
      <c r="E241" s="31">
        <f t="shared" si="14"/>
        <v>1562.5410229179156</v>
      </c>
      <c r="F241" s="31">
        <f t="shared" si="15"/>
        <v>281604.24245980609</v>
      </c>
    </row>
    <row r="242" spans="2:6" hidden="1" x14ac:dyDescent="0.25">
      <c r="B242" s="4">
        <v>220</v>
      </c>
      <c r="C242" s="31">
        <f t="shared" si="12"/>
        <v>2506.4303011936622</v>
      </c>
      <c r="D242" s="31">
        <f t="shared" si="13"/>
        <v>938.68080819935369</v>
      </c>
      <c r="E242" s="31">
        <f t="shared" si="14"/>
        <v>1567.7494929943086</v>
      </c>
      <c r="F242" s="31">
        <f t="shared" si="15"/>
        <v>280036.49296681175</v>
      </c>
    </row>
    <row r="243" spans="2:6" hidden="1" x14ac:dyDescent="0.25">
      <c r="B243" s="4">
        <v>221</v>
      </c>
      <c r="C243" s="31">
        <f t="shared" si="12"/>
        <v>2506.4303011936622</v>
      </c>
      <c r="D243" s="31">
        <f t="shared" si="13"/>
        <v>933.45497655603924</v>
      </c>
      <c r="E243" s="31">
        <f t="shared" si="14"/>
        <v>1572.9753246376231</v>
      </c>
      <c r="F243" s="31">
        <f t="shared" si="15"/>
        <v>278463.51764217415</v>
      </c>
    </row>
    <row r="244" spans="2:6" hidden="1" x14ac:dyDescent="0.25">
      <c r="B244" s="4">
        <v>222</v>
      </c>
      <c r="C244" s="31">
        <f t="shared" si="12"/>
        <v>2506.4303011936622</v>
      </c>
      <c r="D244" s="31">
        <f t="shared" si="13"/>
        <v>928.21172547391393</v>
      </c>
      <c r="E244" s="31">
        <f t="shared" si="14"/>
        <v>1578.2185757197483</v>
      </c>
      <c r="F244" s="31">
        <f t="shared" si="15"/>
        <v>276885.2990664544</v>
      </c>
    </row>
    <row r="245" spans="2:6" hidden="1" x14ac:dyDescent="0.25">
      <c r="B245" s="4">
        <v>223</v>
      </c>
      <c r="C245" s="31">
        <f t="shared" si="12"/>
        <v>2506.4303011936622</v>
      </c>
      <c r="D245" s="31">
        <f t="shared" si="13"/>
        <v>922.95099688818141</v>
      </c>
      <c r="E245" s="31">
        <f t="shared" si="14"/>
        <v>1583.4793043054808</v>
      </c>
      <c r="F245" s="31">
        <f t="shared" si="15"/>
        <v>275301.81976214895</v>
      </c>
    </row>
    <row r="246" spans="2:6" hidden="1" x14ac:dyDescent="0.25">
      <c r="B246" s="4">
        <v>224</v>
      </c>
      <c r="C246" s="31">
        <f t="shared" si="12"/>
        <v>2506.4303011936622</v>
      </c>
      <c r="D246" s="31">
        <f t="shared" si="13"/>
        <v>917.67273254049655</v>
      </c>
      <c r="E246" s="31">
        <f t="shared" si="14"/>
        <v>1588.7575686531657</v>
      </c>
      <c r="F246" s="31">
        <f t="shared" si="15"/>
        <v>273713.0621934958</v>
      </c>
    </row>
    <row r="247" spans="2:6" hidden="1" x14ac:dyDescent="0.25">
      <c r="B247" s="4">
        <v>225</v>
      </c>
      <c r="C247" s="31">
        <f t="shared" si="12"/>
        <v>2506.4303011936622</v>
      </c>
      <c r="D247" s="31">
        <f t="shared" si="13"/>
        <v>912.3768739783194</v>
      </c>
      <c r="E247" s="31">
        <f t="shared" si="14"/>
        <v>1594.0534272153427</v>
      </c>
      <c r="F247" s="31">
        <f t="shared" si="15"/>
        <v>272119.00876628049</v>
      </c>
    </row>
    <row r="248" spans="2:6" hidden="1" x14ac:dyDescent="0.25">
      <c r="B248" s="4">
        <v>226</v>
      </c>
      <c r="C248" s="31">
        <f t="shared" si="12"/>
        <v>2506.4303011936622</v>
      </c>
      <c r="D248" s="31">
        <f t="shared" si="13"/>
        <v>907.06336255426834</v>
      </c>
      <c r="E248" s="31">
        <f t="shared" si="14"/>
        <v>1599.366938639394</v>
      </c>
      <c r="F248" s="31">
        <f t="shared" si="15"/>
        <v>270519.64182764111</v>
      </c>
    </row>
    <row r="249" spans="2:6" hidden="1" x14ac:dyDescent="0.25">
      <c r="B249" s="4">
        <v>227</v>
      </c>
      <c r="C249" s="31">
        <f t="shared" si="12"/>
        <v>2506.4303011936622</v>
      </c>
      <c r="D249" s="31">
        <f t="shared" si="13"/>
        <v>901.73213942547045</v>
      </c>
      <c r="E249" s="31">
        <f t="shared" si="14"/>
        <v>1604.6981617681918</v>
      </c>
      <c r="F249" s="31">
        <f t="shared" si="15"/>
        <v>268914.94366587291</v>
      </c>
    </row>
    <row r="250" spans="2:6" hidden="1" x14ac:dyDescent="0.25">
      <c r="B250" s="4">
        <v>228</v>
      </c>
      <c r="C250" s="31">
        <f t="shared" si="12"/>
        <v>2506.4303011936622</v>
      </c>
      <c r="D250" s="31">
        <f t="shared" si="13"/>
        <v>896.38314555290981</v>
      </c>
      <c r="E250" s="31">
        <f t="shared" si="14"/>
        <v>1610.0471556407524</v>
      </c>
      <c r="F250" s="31">
        <f t="shared" si="15"/>
        <v>267304.89651023218</v>
      </c>
    </row>
    <row r="251" spans="2:6" hidden="1" x14ac:dyDescent="0.25">
      <c r="B251" s="4">
        <v>229</v>
      </c>
      <c r="C251" s="31">
        <f t="shared" si="12"/>
        <v>2506.4303011936622</v>
      </c>
      <c r="D251" s="31">
        <f t="shared" si="13"/>
        <v>891.01632170077403</v>
      </c>
      <c r="E251" s="31">
        <f t="shared" si="14"/>
        <v>1615.4139794928883</v>
      </c>
      <c r="F251" s="31">
        <f t="shared" si="15"/>
        <v>265689.48253073927</v>
      </c>
    </row>
    <row r="252" spans="2:6" x14ac:dyDescent="0.25">
      <c r="B252" s="4">
        <v>230</v>
      </c>
      <c r="C252" s="31">
        <f t="shared" si="12"/>
        <v>2506.4303011936622</v>
      </c>
      <c r="D252" s="31">
        <f t="shared" si="13"/>
        <v>885.6316084357976</v>
      </c>
      <c r="E252" s="31">
        <f t="shared" si="14"/>
        <v>1620.7986927578645</v>
      </c>
      <c r="F252" s="31">
        <f t="shared" si="15"/>
        <v>264068.68383798143</v>
      </c>
    </row>
    <row r="253" spans="2:6" x14ac:dyDescent="0.25">
      <c r="B253" s="4">
        <v>231</v>
      </c>
      <c r="C253" s="31">
        <f t="shared" si="12"/>
        <v>2506.4303011936622</v>
      </c>
      <c r="D253" s="31">
        <f t="shared" si="13"/>
        <v>880.2289461266048</v>
      </c>
      <c r="E253" s="31">
        <f t="shared" si="14"/>
        <v>1626.2013550670574</v>
      </c>
      <c r="F253" s="31">
        <f t="shared" si="15"/>
        <v>262442.48248291435</v>
      </c>
    </row>
    <row r="254" spans="2:6" x14ac:dyDescent="0.25">
      <c r="B254" s="4">
        <v>232</v>
      </c>
      <c r="C254" s="31">
        <f t="shared" si="12"/>
        <v>2506.4303011936622</v>
      </c>
      <c r="D254" s="31">
        <f t="shared" si="13"/>
        <v>874.80827494304788</v>
      </c>
      <c r="E254" s="31">
        <f t="shared" si="14"/>
        <v>1631.6220262506145</v>
      </c>
      <c r="F254" s="31">
        <f t="shared" si="15"/>
        <v>260810.86045666374</v>
      </c>
    </row>
    <row r="255" spans="2:6" x14ac:dyDescent="0.25">
      <c r="B255" s="4">
        <v>233</v>
      </c>
      <c r="C255" s="31">
        <f t="shared" si="12"/>
        <v>2506.4303011936622</v>
      </c>
      <c r="D255" s="31">
        <f t="shared" si="13"/>
        <v>869.36953485554579</v>
      </c>
      <c r="E255" s="31">
        <f t="shared" si="14"/>
        <v>1637.0607663381165</v>
      </c>
      <c r="F255" s="31">
        <f t="shared" si="15"/>
        <v>259173.79969032563</v>
      </c>
    </row>
    <row r="256" spans="2:6" x14ac:dyDescent="0.25">
      <c r="B256" s="4">
        <v>234</v>
      </c>
      <c r="C256" s="31">
        <f t="shared" si="12"/>
        <v>2506.4303011936622</v>
      </c>
      <c r="D256" s="31">
        <f t="shared" si="13"/>
        <v>863.91266563441877</v>
      </c>
      <c r="E256" s="31">
        <f t="shared" si="14"/>
        <v>1642.5176355592434</v>
      </c>
      <c r="F256" s="31">
        <f t="shared" si="15"/>
        <v>257531.28205476637</v>
      </c>
    </row>
    <row r="257" spans="2:6" x14ac:dyDescent="0.25">
      <c r="B257" s="4">
        <v>235</v>
      </c>
      <c r="C257" s="31">
        <f t="shared" si="12"/>
        <v>2506.4303011936622</v>
      </c>
      <c r="D257" s="31">
        <f t="shared" si="13"/>
        <v>858.43760684922131</v>
      </c>
      <c r="E257" s="31">
        <f t="shared" si="14"/>
        <v>1647.9926943444409</v>
      </c>
      <c r="F257" s="31">
        <f t="shared" si="15"/>
        <v>255883.28936042194</v>
      </c>
    </row>
    <row r="258" spans="2:6" x14ac:dyDescent="0.25">
      <c r="B258" s="4">
        <v>236</v>
      </c>
      <c r="C258" s="31">
        <f t="shared" si="12"/>
        <v>2506.4303011936622</v>
      </c>
      <c r="D258" s="31">
        <f t="shared" si="13"/>
        <v>852.94429786807325</v>
      </c>
      <c r="E258" s="31">
        <f t="shared" si="14"/>
        <v>1653.4860033255891</v>
      </c>
      <c r="F258" s="31">
        <f t="shared" si="15"/>
        <v>254229.80335709636</v>
      </c>
    </row>
    <row r="259" spans="2:6" x14ac:dyDescent="0.25">
      <c r="B259" s="4">
        <v>237</v>
      </c>
      <c r="C259" s="31">
        <f t="shared" si="12"/>
        <v>2506.4303011936622</v>
      </c>
      <c r="D259" s="31">
        <f t="shared" si="13"/>
        <v>847.43267785698788</v>
      </c>
      <c r="E259" s="31">
        <f t="shared" si="14"/>
        <v>1658.9976233366742</v>
      </c>
      <c r="F259" s="31">
        <f t="shared" si="15"/>
        <v>252570.80573375968</v>
      </c>
    </row>
    <row r="260" spans="2:6" x14ac:dyDescent="0.25">
      <c r="B260" s="4">
        <v>238</v>
      </c>
      <c r="C260" s="31">
        <f t="shared" si="12"/>
        <v>2506.4303011936622</v>
      </c>
      <c r="D260" s="31">
        <f t="shared" si="13"/>
        <v>841.90268577919903</v>
      </c>
      <c r="E260" s="31">
        <f t="shared" si="14"/>
        <v>1664.5276154144631</v>
      </c>
      <c r="F260" s="31">
        <f t="shared" si="15"/>
        <v>250906.27811834522</v>
      </c>
    </row>
    <row r="261" spans="2:6" x14ac:dyDescent="0.25">
      <c r="B261" s="4">
        <v>239</v>
      </c>
      <c r="C261" s="31">
        <f t="shared" si="12"/>
        <v>2506.4303011936622</v>
      </c>
      <c r="D261" s="31">
        <f t="shared" si="13"/>
        <v>836.35426039448407</v>
      </c>
      <c r="E261" s="31">
        <f t="shared" si="14"/>
        <v>1670.0760407991781</v>
      </c>
      <c r="F261" s="31">
        <f t="shared" si="15"/>
        <v>249236.20207754604</v>
      </c>
    </row>
    <row r="262" spans="2:6" x14ac:dyDescent="0.25">
      <c r="B262" s="4">
        <v>240</v>
      </c>
      <c r="C262" s="31">
        <f t="shared" si="12"/>
        <v>2506.4303011936622</v>
      </c>
      <c r="D262" s="31">
        <f t="shared" si="13"/>
        <v>830.78734025848689</v>
      </c>
      <c r="E262" s="31">
        <f t="shared" si="14"/>
        <v>1675.6429609351753</v>
      </c>
      <c r="F262" s="31">
        <f t="shared" si="15"/>
        <v>247560.55911661088</v>
      </c>
    </row>
    <row r="263" spans="2:6" x14ac:dyDescent="0.25">
      <c r="B263" s="4">
        <v>241</v>
      </c>
      <c r="C263" s="31">
        <f t="shared" si="12"/>
        <v>2506.4303011936622</v>
      </c>
      <c r="D263" s="31">
        <f t="shared" si="13"/>
        <v>825.20186372203636</v>
      </c>
      <c r="E263" s="31">
        <f t="shared" si="14"/>
        <v>1681.228437471626</v>
      </c>
      <c r="F263" s="31">
        <f t="shared" si="15"/>
        <v>245879.33067913924</v>
      </c>
    </row>
    <row r="264" spans="2:6" x14ac:dyDescent="0.25">
      <c r="B264" s="4">
        <v>242</v>
      </c>
      <c r="C264" s="31">
        <f t="shared" si="12"/>
        <v>2506.4303011936622</v>
      </c>
      <c r="D264" s="31">
        <f t="shared" si="13"/>
        <v>819.59776893046421</v>
      </c>
      <c r="E264" s="31">
        <f t="shared" si="14"/>
        <v>1686.8325322631981</v>
      </c>
      <c r="F264" s="31">
        <f t="shared" si="15"/>
        <v>244192.49814687605</v>
      </c>
    </row>
    <row r="265" spans="2:6" x14ac:dyDescent="0.25">
      <c r="B265" s="4">
        <v>243</v>
      </c>
      <c r="C265" s="31">
        <f t="shared" si="12"/>
        <v>2506.4303011936622</v>
      </c>
      <c r="D265" s="31">
        <f t="shared" si="13"/>
        <v>813.97499382292028</v>
      </c>
      <c r="E265" s="31">
        <f t="shared" si="14"/>
        <v>1692.455307370742</v>
      </c>
      <c r="F265" s="31">
        <f t="shared" si="15"/>
        <v>242500.0428395053</v>
      </c>
    </row>
    <row r="266" spans="2:6" ht="8.25" customHeight="1" x14ac:dyDescent="0.25">
      <c r="B266" s="4">
        <v>244</v>
      </c>
      <c r="C266" s="31">
        <f t="shared" si="12"/>
        <v>2506.4303011936622</v>
      </c>
      <c r="D266" s="31">
        <f t="shared" si="13"/>
        <v>808.33347613168439</v>
      </c>
      <c r="E266" s="31">
        <f t="shared" si="14"/>
        <v>1698.0968250619778</v>
      </c>
      <c r="F266" s="31">
        <f t="shared" si="15"/>
        <v>240801.94601444333</v>
      </c>
    </row>
    <row r="267" spans="2:6" x14ac:dyDescent="0.25">
      <c r="B267" s="4">
        <v>245</v>
      </c>
      <c r="C267" s="31">
        <f t="shared" si="12"/>
        <v>2506.4303011936622</v>
      </c>
      <c r="D267" s="31">
        <f t="shared" si="13"/>
        <v>802.67315338147785</v>
      </c>
      <c r="E267" s="31">
        <f t="shared" si="14"/>
        <v>1703.7571478121845</v>
      </c>
      <c r="F267" s="31">
        <f t="shared" si="15"/>
        <v>239098.18886663113</v>
      </c>
    </row>
    <row r="268" spans="2:6" x14ac:dyDescent="0.25">
      <c r="B268" s="4">
        <v>246</v>
      </c>
      <c r="C268" s="31">
        <f t="shared" si="12"/>
        <v>2506.4303011936622</v>
      </c>
      <c r="D268" s="31">
        <f t="shared" si="13"/>
        <v>796.99396288877051</v>
      </c>
      <c r="E268" s="31">
        <f t="shared" si="14"/>
        <v>1709.4363383048917</v>
      </c>
      <c r="F268" s="31">
        <f t="shared" si="15"/>
        <v>237388.75252832624</v>
      </c>
    </row>
    <row r="269" spans="2:6" x14ac:dyDescent="0.25">
      <c r="B269" s="4">
        <v>247</v>
      </c>
      <c r="C269" s="31">
        <f t="shared" si="12"/>
        <v>2506.4303011936622</v>
      </c>
      <c r="D269" s="31">
        <f t="shared" si="13"/>
        <v>791.29584176108756</v>
      </c>
      <c r="E269" s="31">
        <f t="shared" si="14"/>
        <v>1715.1344594325747</v>
      </c>
      <c r="F269" s="31">
        <f t="shared" si="15"/>
        <v>235673.61806889367</v>
      </c>
    </row>
    <row r="270" spans="2:6" x14ac:dyDescent="0.25">
      <c r="B270" s="4">
        <v>248</v>
      </c>
      <c r="C270" s="31">
        <f t="shared" si="12"/>
        <v>2506.4303011936622</v>
      </c>
      <c r="D270" s="31">
        <f t="shared" si="13"/>
        <v>785.57872689631233</v>
      </c>
      <c r="E270" s="31">
        <f t="shared" si="14"/>
        <v>1720.85157429735</v>
      </c>
      <c r="F270" s="31">
        <f t="shared" si="15"/>
        <v>233952.76649459632</v>
      </c>
    </row>
    <row r="271" spans="2:6" x14ac:dyDescent="0.25">
      <c r="B271" s="4">
        <v>249</v>
      </c>
      <c r="C271" s="31">
        <f t="shared" si="12"/>
        <v>2506.4303011936622</v>
      </c>
      <c r="D271" s="31">
        <f t="shared" si="13"/>
        <v>779.84255498198775</v>
      </c>
      <c r="E271" s="31">
        <f t="shared" si="14"/>
        <v>1726.5877462116746</v>
      </c>
      <c r="F271" s="31">
        <f t="shared" si="15"/>
        <v>232226.17874838464</v>
      </c>
    </row>
    <row r="272" spans="2:6" x14ac:dyDescent="0.25">
      <c r="B272" s="4">
        <v>250</v>
      </c>
      <c r="C272" s="31">
        <f t="shared" si="12"/>
        <v>2506.4303011936622</v>
      </c>
      <c r="D272" s="31">
        <f t="shared" si="13"/>
        <v>774.08726249461552</v>
      </c>
      <c r="E272" s="31">
        <f t="shared" si="14"/>
        <v>1732.3430386990467</v>
      </c>
      <c r="F272" s="31">
        <f t="shared" si="15"/>
        <v>230493.83570968561</v>
      </c>
    </row>
    <row r="273" spans="2:6" x14ac:dyDescent="0.25">
      <c r="B273" s="4">
        <v>251</v>
      </c>
      <c r="C273" s="31">
        <f t="shared" si="12"/>
        <v>2506.4303011936622</v>
      </c>
      <c r="D273" s="31">
        <f t="shared" si="13"/>
        <v>768.3127856989521</v>
      </c>
      <c r="E273" s="31">
        <f t="shared" si="14"/>
        <v>1738.11751549471</v>
      </c>
      <c r="F273" s="31">
        <f t="shared" si="15"/>
        <v>228755.71819419091</v>
      </c>
    </row>
    <row r="274" spans="2:6" x14ac:dyDescent="0.25">
      <c r="B274" s="4">
        <v>252</v>
      </c>
      <c r="C274" s="31">
        <f t="shared" si="12"/>
        <v>2506.4303011936622</v>
      </c>
      <c r="D274" s="31">
        <f t="shared" si="13"/>
        <v>762.51906064730304</v>
      </c>
      <c r="E274" s="31">
        <f t="shared" si="14"/>
        <v>1743.9112405463593</v>
      </c>
      <c r="F274" s="31">
        <f t="shared" si="15"/>
        <v>227011.80695364455</v>
      </c>
    </row>
    <row r="275" spans="2:6" x14ac:dyDescent="0.25">
      <c r="B275" s="4">
        <v>253</v>
      </c>
      <c r="C275" s="31">
        <f t="shared" si="12"/>
        <v>2506.4303011936622</v>
      </c>
      <c r="D275" s="31">
        <f t="shared" si="13"/>
        <v>756.70602317881526</v>
      </c>
      <c r="E275" s="31">
        <f t="shared" si="14"/>
        <v>1749.724278014847</v>
      </c>
      <c r="F275" s="31">
        <f t="shared" si="15"/>
        <v>225262.0826756297</v>
      </c>
    </row>
    <row r="276" spans="2:6" x14ac:dyDescent="0.25">
      <c r="B276" s="4">
        <v>254</v>
      </c>
      <c r="C276" s="31">
        <f t="shared" si="12"/>
        <v>2506.4303011936622</v>
      </c>
      <c r="D276" s="31">
        <f t="shared" si="13"/>
        <v>750.87360891876574</v>
      </c>
      <c r="E276" s="31">
        <f t="shared" si="14"/>
        <v>1755.5566922748965</v>
      </c>
      <c r="F276" s="31">
        <f t="shared" si="15"/>
        <v>223506.5259833548</v>
      </c>
    </row>
    <row r="277" spans="2:6" x14ac:dyDescent="0.25">
      <c r="B277" s="4">
        <v>255</v>
      </c>
      <c r="C277" s="31">
        <f t="shared" si="12"/>
        <v>2506.4303011936622</v>
      </c>
      <c r="D277" s="31">
        <f t="shared" si="13"/>
        <v>745.02175327784937</v>
      </c>
      <c r="E277" s="31">
        <f t="shared" si="14"/>
        <v>1761.408547915813</v>
      </c>
      <c r="F277" s="31">
        <f t="shared" si="15"/>
        <v>221745.117435439</v>
      </c>
    </row>
    <row r="278" spans="2:6" x14ac:dyDescent="0.25">
      <c r="B278" s="4">
        <v>256</v>
      </c>
      <c r="C278" s="31">
        <f t="shared" si="12"/>
        <v>2506.4303011936622</v>
      </c>
      <c r="D278" s="31">
        <f t="shared" si="13"/>
        <v>739.15039145146341</v>
      </c>
      <c r="E278" s="31">
        <f t="shared" si="14"/>
        <v>1767.2799097421989</v>
      </c>
      <c r="F278" s="31">
        <f t="shared" si="15"/>
        <v>219977.83752569678</v>
      </c>
    </row>
    <row r="279" spans="2:6" x14ac:dyDescent="0.25">
      <c r="B279" s="4">
        <v>257</v>
      </c>
      <c r="C279" s="31">
        <f t="shared" si="12"/>
        <v>2506.4303011936622</v>
      </c>
      <c r="D279" s="31">
        <f t="shared" si="13"/>
        <v>733.25945841898931</v>
      </c>
      <c r="E279" s="31">
        <f t="shared" si="14"/>
        <v>1773.170842774673</v>
      </c>
      <c r="F279" s="31">
        <f t="shared" si="15"/>
        <v>218204.66668292211</v>
      </c>
    </row>
    <row r="280" spans="2:6" x14ac:dyDescent="0.25">
      <c r="B280" s="4">
        <v>258</v>
      </c>
      <c r="C280" s="31">
        <f t="shared" ref="C280:C343" si="16">-$C$12</f>
        <v>2506.4303011936622</v>
      </c>
      <c r="D280" s="31">
        <f t="shared" ref="D280:D343" si="17">F279*C$10</f>
        <v>727.34888894307369</v>
      </c>
      <c r="E280" s="31">
        <f t="shared" ref="E280:E343" si="18">C280-D280</f>
        <v>1779.0814122505885</v>
      </c>
      <c r="F280" s="31">
        <f t="shared" ref="F280:F343" si="19">F279-E280</f>
        <v>216425.58527067152</v>
      </c>
    </row>
    <row r="281" spans="2:6" x14ac:dyDescent="0.25">
      <c r="B281" s="4">
        <v>259</v>
      </c>
      <c r="C281" s="31">
        <f t="shared" si="16"/>
        <v>2506.4303011936622</v>
      </c>
      <c r="D281" s="31">
        <f t="shared" si="17"/>
        <v>721.41861756890512</v>
      </c>
      <c r="E281" s="31">
        <f t="shared" si="18"/>
        <v>1785.0116836247571</v>
      </c>
      <c r="F281" s="31">
        <f t="shared" si="19"/>
        <v>214640.57358704676</v>
      </c>
    </row>
    <row r="282" spans="2:6" x14ac:dyDescent="0.25">
      <c r="B282" s="4">
        <v>260</v>
      </c>
      <c r="C282" s="31">
        <f t="shared" si="16"/>
        <v>2506.4303011936622</v>
      </c>
      <c r="D282" s="31">
        <f t="shared" si="17"/>
        <v>715.46857862348929</v>
      </c>
      <c r="E282" s="31">
        <f t="shared" si="18"/>
        <v>1790.9617225701729</v>
      </c>
      <c r="F282" s="31">
        <f t="shared" si="19"/>
        <v>212849.61186447658</v>
      </c>
    </row>
    <row r="283" spans="2:6" x14ac:dyDescent="0.25">
      <c r="B283" s="4">
        <v>261</v>
      </c>
      <c r="C283" s="31">
        <f t="shared" si="16"/>
        <v>2506.4303011936622</v>
      </c>
      <c r="D283" s="31">
        <f t="shared" si="17"/>
        <v>709.49870621492198</v>
      </c>
      <c r="E283" s="31">
        <f t="shared" si="18"/>
        <v>1796.9315949787401</v>
      </c>
      <c r="F283" s="31">
        <f t="shared" si="19"/>
        <v>211052.68026949785</v>
      </c>
    </row>
    <row r="284" spans="2:6" x14ac:dyDescent="0.25">
      <c r="B284" s="4">
        <v>262</v>
      </c>
      <c r="C284" s="31">
        <f t="shared" si="16"/>
        <v>2506.4303011936622</v>
      </c>
      <c r="D284" s="31">
        <f t="shared" si="17"/>
        <v>703.50893423165951</v>
      </c>
      <c r="E284" s="31">
        <f t="shared" si="18"/>
        <v>1802.9213669620026</v>
      </c>
      <c r="F284" s="31">
        <f t="shared" si="19"/>
        <v>209249.75890253586</v>
      </c>
    </row>
    <row r="285" spans="2:6" x14ac:dyDescent="0.25">
      <c r="B285" s="4">
        <v>263</v>
      </c>
      <c r="C285" s="31">
        <f t="shared" si="16"/>
        <v>2506.4303011936622</v>
      </c>
      <c r="D285" s="31">
        <f t="shared" si="17"/>
        <v>697.49919634178627</v>
      </c>
      <c r="E285" s="31">
        <f t="shared" si="18"/>
        <v>1808.9311048518759</v>
      </c>
      <c r="F285" s="31">
        <f t="shared" si="19"/>
        <v>207440.82779768397</v>
      </c>
    </row>
    <row r="286" spans="2:6" x14ac:dyDescent="0.25">
      <c r="B286" s="4">
        <v>264</v>
      </c>
      <c r="C286" s="31">
        <f t="shared" si="16"/>
        <v>2506.4303011936622</v>
      </c>
      <c r="D286" s="31">
        <f t="shared" si="17"/>
        <v>691.46942599227998</v>
      </c>
      <c r="E286" s="31">
        <f t="shared" si="18"/>
        <v>1814.9608752013824</v>
      </c>
      <c r="F286" s="31">
        <f t="shared" si="19"/>
        <v>205625.86692248259</v>
      </c>
    </row>
    <row r="287" spans="2:6" x14ac:dyDescent="0.25">
      <c r="B287" s="4">
        <v>265</v>
      </c>
      <c r="C287" s="31">
        <f t="shared" si="16"/>
        <v>2506.4303011936622</v>
      </c>
      <c r="D287" s="31">
        <f t="shared" si="17"/>
        <v>685.4195564082753</v>
      </c>
      <c r="E287" s="31">
        <f t="shared" si="18"/>
        <v>1821.010744785387</v>
      </c>
      <c r="F287" s="31">
        <f t="shared" si="19"/>
        <v>203804.85617769719</v>
      </c>
    </row>
    <row r="288" spans="2:6" x14ac:dyDescent="0.25">
      <c r="B288" s="4">
        <v>266</v>
      </c>
      <c r="C288" s="31">
        <f t="shared" si="16"/>
        <v>2506.4303011936622</v>
      </c>
      <c r="D288" s="31">
        <f t="shared" si="17"/>
        <v>679.34952059232398</v>
      </c>
      <c r="E288" s="31">
        <f t="shared" si="18"/>
        <v>1827.0807806013381</v>
      </c>
      <c r="F288" s="31">
        <f t="shared" si="19"/>
        <v>201977.77539709586</v>
      </c>
    </row>
    <row r="289" spans="2:6" x14ac:dyDescent="0.25">
      <c r="B289" s="4">
        <v>267</v>
      </c>
      <c r="C289" s="31">
        <f t="shared" si="16"/>
        <v>2506.4303011936622</v>
      </c>
      <c r="D289" s="31">
        <f t="shared" si="17"/>
        <v>673.25925132365296</v>
      </c>
      <c r="E289" s="31">
        <f t="shared" si="18"/>
        <v>1833.1710498700093</v>
      </c>
      <c r="F289" s="31">
        <f t="shared" si="19"/>
        <v>200144.60434722586</v>
      </c>
    </row>
    <row r="290" spans="2:6" x14ac:dyDescent="0.25">
      <c r="B290" s="4">
        <v>268</v>
      </c>
      <c r="C290" s="31">
        <f t="shared" si="16"/>
        <v>2506.4303011936622</v>
      </c>
      <c r="D290" s="31">
        <f t="shared" si="17"/>
        <v>667.14868115741956</v>
      </c>
      <c r="E290" s="31">
        <f t="shared" si="18"/>
        <v>1839.2816200362427</v>
      </c>
      <c r="F290" s="31">
        <f t="shared" si="19"/>
        <v>198305.32272718963</v>
      </c>
    </row>
    <row r="291" spans="2:6" x14ac:dyDescent="0.25">
      <c r="B291" s="4">
        <v>269</v>
      </c>
      <c r="C291" s="31">
        <f t="shared" si="16"/>
        <v>2506.4303011936622</v>
      </c>
      <c r="D291" s="31">
        <f t="shared" si="17"/>
        <v>661.0177424239655</v>
      </c>
      <c r="E291" s="31">
        <f t="shared" si="18"/>
        <v>1845.4125587696967</v>
      </c>
      <c r="F291" s="31">
        <f t="shared" si="19"/>
        <v>196459.91016841994</v>
      </c>
    </row>
    <row r="292" spans="2:6" x14ac:dyDescent="0.25">
      <c r="B292" s="4">
        <v>270</v>
      </c>
      <c r="C292" s="31">
        <f t="shared" si="16"/>
        <v>2506.4303011936622</v>
      </c>
      <c r="D292" s="31">
        <f t="shared" si="17"/>
        <v>654.86636722806657</v>
      </c>
      <c r="E292" s="31">
        <f t="shared" si="18"/>
        <v>1851.5639339655957</v>
      </c>
      <c r="F292" s="31">
        <f t="shared" si="19"/>
        <v>194608.34623445434</v>
      </c>
    </row>
    <row r="293" spans="2:6" x14ac:dyDescent="0.25">
      <c r="B293" s="4">
        <v>271</v>
      </c>
      <c r="C293" s="31">
        <f t="shared" si="16"/>
        <v>2506.4303011936622</v>
      </c>
      <c r="D293" s="31">
        <f t="shared" si="17"/>
        <v>648.69448744818112</v>
      </c>
      <c r="E293" s="31">
        <f t="shared" si="18"/>
        <v>1857.7358137454812</v>
      </c>
      <c r="F293" s="31">
        <f t="shared" si="19"/>
        <v>192750.61042070886</v>
      </c>
    </row>
    <row r="294" spans="2:6" x14ac:dyDescent="0.25">
      <c r="B294" s="4">
        <v>272</v>
      </c>
      <c r="C294" s="31">
        <f t="shared" si="16"/>
        <v>2506.4303011936622</v>
      </c>
      <c r="D294" s="31">
        <f t="shared" si="17"/>
        <v>642.50203473569627</v>
      </c>
      <c r="E294" s="31">
        <f t="shared" si="18"/>
        <v>1863.9282664579659</v>
      </c>
      <c r="F294" s="31">
        <f t="shared" si="19"/>
        <v>190886.68215425091</v>
      </c>
    </row>
    <row r="295" spans="2:6" x14ac:dyDescent="0.25">
      <c r="B295" s="4">
        <v>273</v>
      </c>
      <c r="C295" s="31">
        <f t="shared" si="16"/>
        <v>2506.4303011936622</v>
      </c>
      <c r="D295" s="31">
        <f t="shared" si="17"/>
        <v>636.28894051416978</v>
      </c>
      <c r="E295" s="31">
        <f t="shared" si="18"/>
        <v>1870.1413606794924</v>
      </c>
      <c r="F295" s="31">
        <f t="shared" si="19"/>
        <v>189016.54079357142</v>
      </c>
    </row>
    <row r="296" spans="2:6" x14ac:dyDescent="0.25">
      <c r="B296" s="4">
        <v>274</v>
      </c>
      <c r="C296" s="31">
        <f t="shared" si="16"/>
        <v>2506.4303011936622</v>
      </c>
      <c r="D296" s="31">
        <f t="shared" si="17"/>
        <v>630.05513597857146</v>
      </c>
      <c r="E296" s="31">
        <f t="shared" si="18"/>
        <v>1876.3751652150909</v>
      </c>
      <c r="F296" s="31">
        <f t="shared" si="19"/>
        <v>187140.16562835634</v>
      </c>
    </row>
    <row r="297" spans="2:6" x14ac:dyDescent="0.25">
      <c r="B297" s="4">
        <v>275</v>
      </c>
      <c r="C297" s="31">
        <f t="shared" si="16"/>
        <v>2506.4303011936622</v>
      </c>
      <c r="D297" s="31">
        <f t="shared" si="17"/>
        <v>623.80055209452121</v>
      </c>
      <c r="E297" s="31">
        <f t="shared" si="18"/>
        <v>1882.629749099141</v>
      </c>
      <c r="F297" s="31">
        <f t="shared" si="19"/>
        <v>185257.53587925719</v>
      </c>
    </row>
    <row r="298" spans="2:6" x14ac:dyDescent="0.25">
      <c r="B298" s="4">
        <v>276</v>
      </c>
      <c r="C298" s="31">
        <f t="shared" si="16"/>
        <v>2506.4303011936622</v>
      </c>
      <c r="D298" s="31">
        <f t="shared" si="17"/>
        <v>617.52511959752405</v>
      </c>
      <c r="E298" s="31">
        <f t="shared" si="18"/>
        <v>1888.9051815961382</v>
      </c>
      <c r="F298" s="31">
        <f t="shared" si="19"/>
        <v>183368.63069766105</v>
      </c>
    </row>
    <row r="299" spans="2:6" x14ac:dyDescent="0.25">
      <c r="B299" s="4">
        <v>277</v>
      </c>
      <c r="C299" s="31">
        <f t="shared" si="16"/>
        <v>2506.4303011936622</v>
      </c>
      <c r="D299" s="31">
        <f t="shared" si="17"/>
        <v>611.22876899220353</v>
      </c>
      <c r="E299" s="31">
        <f t="shared" si="18"/>
        <v>1895.2015322014586</v>
      </c>
      <c r="F299" s="31">
        <f t="shared" si="19"/>
        <v>181473.42916545959</v>
      </c>
    </row>
    <row r="300" spans="2:6" x14ac:dyDescent="0.25">
      <c r="B300" s="4">
        <v>278</v>
      </c>
      <c r="C300" s="31">
        <f t="shared" si="16"/>
        <v>2506.4303011936622</v>
      </c>
      <c r="D300" s="31">
        <f t="shared" si="17"/>
        <v>604.91143055153202</v>
      </c>
      <c r="E300" s="31">
        <f t="shared" si="18"/>
        <v>1901.5188706421302</v>
      </c>
      <c r="F300" s="31">
        <f t="shared" si="19"/>
        <v>179571.91029481747</v>
      </c>
    </row>
    <row r="301" spans="2:6" x14ac:dyDescent="0.25">
      <c r="B301" s="4">
        <v>279</v>
      </c>
      <c r="C301" s="31">
        <f t="shared" si="16"/>
        <v>2506.4303011936622</v>
      </c>
      <c r="D301" s="31">
        <f t="shared" si="17"/>
        <v>598.57303431605828</v>
      </c>
      <c r="E301" s="31">
        <f t="shared" si="18"/>
        <v>1907.8572668776039</v>
      </c>
      <c r="F301" s="31">
        <f t="shared" si="19"/>
        <v>177664.05302793987</v>
      </c>
    </row>
    <row r="302" spans="2:6" x14ac:dyDescent="0.25">
      <c r="B302" s="4">
        <v>280</v>
      </c>
      <c r="C302" s="31">
        <f t="shared" si="16"/>
        <v>2506.4303011936622</v>
      </c>
      <c r="D302" s="31">
        <f t="shared" si="17"/>
        <v>592.21351009313298</v>
      </c>
      <c r="E302" s="31">
        <f t="shared" si="18"/>
        <v>1914.2167911005292</v>
      </c>
      <c r="F302" s="31">
        <f t="shared" si="19"/>
        <v>175749.83623683933</v>
      </c>
    </row>
    <row r="303" spans="2:6" x14ac:dyDescent="0.25">
      <c r="B303" s="4">
        <v>281</v>
      </c>
      <c r="C303" s="31">
        <f t="shared" si="16"/>
        <v>2506.4303011936622</v>
      </c>
      <c r="D303" s="31">
        <f t="shared" si="17"/>
        <v>585.83278745613109</v>
      </c>
      <c r="E303" s="31">
        <f t="shared" si="18"/>
        <v>1920.5975137375312</v>
      </c>
      <c r="F303" s="31">
        <f t="shared" si="19"/>
        <v>173829.23872310179</v>
      </c>
    </row>
    <row r="304" spans="2:6" x14ac:dyDescent="0.25">
      <c r="B304" s="4">
        <v>282</v>
      </c>
      <c r="C304" s="31">
        <f t="shared" si="16"/>
        <v>2506.4303011936622</v>
      </c>
      <c r="D304" s="31">
        <f t="shared" si="17"/>
        <v>579.43079574367266</v>
      </c>
      <c r="E304" s="31">
        <f t="shared" si="18"/>
        <v>1926.9995054499896</v>
      </c>
      <c r="F304" s="31">
        <f t="shared" si="19"/>
        <v>171902.2392176518</v>
      </c>
    </row>
    <row r="305" spans="2:6" x14ac:dyDescent="0.25">
      <c r="B305" s="4">
        <v>283</v>
      </c>
      <c r="C305" s="31">
        <f t="shared" si="16"/>
        <v>2506.4303011936622</v>
      </c>
      <c r="D305" s="31">
        <f t="shared" si="17"/>
        <v>573.00746405883933</v>
      </c>
      <c r="E305" s="31">
        <f t="shared" si="18"/>
        <v>1933.4228371348229</v>
      </c>
      <c r="F305" s="31">
        <f t="shared" si="19"/>
        <v>169968.81638051698</v>
      </c>
    </row>
    <row r="306" spans="2:6" x14ac:dyDescent="0.25">
      <c r="B306" s="4">
        <v>284</v>
      </c>
      <c r="C306" s="31">
        <f t="shared" si="16"/>
        <v>2506.4303011936622</v>
      </c>
      <c r="D306" s="31">
        <f t="shared" si="17"/>
        <v>566.56272126838996</v>
      </c>
      <c r="E306" s="31">
        <f t="shared" si="18"/>
        <v>1939.8675799252724</v>
      </c>
      <c r="F306" s="31">
        <f t="shared" si="19"/>
        <v>168028.94880059169</v>
      </c>
    </row>
    <row r="307" spans="2:6" x14ac:dyDescent="0.25">
      <c r="B307" s="4">
        <v>285</v>
      </c>
      <c r="C307" s="31">
        <f t="shared" si="16"/>
        <v>2506.4303011936622</v>
      </c>
      <c r="D307" s="31">
        <f t="shared" si="17"/>
        <v>560.09649600197235</v>
      </c>
      <c r="E307" s="31">
        <f t="shared" si="18"/>
        <v>1946.3338051916899</v>
      </c>
      <c r="F307" s="31">
        <f t="shared" si="19"/>
        <v>166082.61499540001</v>
      </c>
    </row>
    <row r="308" spans="2:6" x14ac:dyDescent="0.25">
      <c r="B308" s="4">
        <v>286</v>
      </c>
      <c r="C308" s="31">
        <f t="shared" si="16"/>
        <v>2506.4303011936622</v>
      </c>
      <c r="D308" s="31">
        <f t="shared" si="17"/>
        <v>553.60871665133345</v>
      </c>
      <c r="E308" s="31">
        <f t="shared" si="18"/>
        <v>1952.8215845423288</v>
      </c>
      <c r="F308" s="31">
        <f t="shared" si="19"/>
        <v>164129.79341085767</v>
      </c>
    </row>
    <row r="309" spans="2:6" x14ac:dyDescent="0.25">
      <c r="B309" s="4">
        <v>287</v>
      </c>
      <c r="C309" s="31">
        <f t="shared" si="16"/>
        <v>2506.4303011936622</v>
      </c>
      <c r="D309" s="31">
        <f t="shared" si="17"/>
        <v>547.09931136952559</v>
      </c>
      <c r="E309" s="31">
        <f t="shared" si="18"/>
        <v>1959.3309898241366</v>
      </c>
      <c r="F309" s="31">
        <f t="shared" si="19"/>
        <v>162170.46242103353</v>
      </c>
    </row>
    <row r="310" spans="2:6" x14ac:dyDescent="0.25">
      <c r="B310" s="4">
        <v>288</v>
      </c>
      <c r="C310" s="31">
        <f t="shared" si="16"/>
        <v>2506.4303011936622</v>
      </c>
      <c r="D310" s="31">
        <f t="shared" si="17"/>
        <v>540.56820807011184</v>
      </c>
      <c r="E310" s="31">
        <f t="shared" si="18"/>
        <v>1965.8620931235505</v>
      </c>
      <c r="F310" s="31">
        <f t="shared" si="19"/>
        <v>160204.60032790998</v>
      </c>
    </row>
    <row r="311" spans="2:6" x14ac:dyDescent="0.25">
      <c r="B311" s="4">
        <v>289</v>
      </c>
      <c r="C311" s="31">
        <f t="shared" si="16"/>
        <v>2506.4303011936622</v>
      </c>
      <c r="D311" s="31">
        <f t="shared" si="17"/>
        <v>534.01533442636662</v>
      </c>
      <c r="E311" s="31">
        <f t="shared" si="18"/>
        <v>1972.4149667672955</v>
      </c>
      <c r="F311" s="31">
        <f t="shared" si="19"/>
        <v>158232.18536114268</v>
      </c>
    </row>
    <row r="312" spans="2:6" x14ac:dyDescent="0.25">
      <c r="B312" s="4">
        <v>290</v>
      </c>
      <c r="C312" s="31">
        <f t="shared" si="16"/>
        <v>2506.4303011936622</v>
      </c>
      <c r="D312" s="31">
        <f t="shared" si="17"/>
        <v>527.44061787047565</v>
      </c>
      <c r="E312" s="31">
        <f t="shared" si="18"/>
        <v>1978.9896833231865</v>
      </c>
      <c r="F312" s="31">
        <f t="shared" si="19"/>
        <v>156253.19567781949</v>
      </c>
    </row>
    <row r="313" spans="2:6" x14ac:dyDescent="0.25">
      <c r="B313" s="4">
        <v>291</v>
      </c>
      <c r="C313" s="31">
        <f t="shared" si="16"/>
        <v>2506.4303011936622</v>
      </c>
      <c r="D313" s="31">
        <f t="shared" si="17"/>
        <v>520.84398559273166</v>
      </c>
      <c r="E313" s="31">
        <f t="shared" si="18"/>
        <v>1985.5863156009304</v>
      </c>
      <c r="F313" s="31">
        <f t="shared" si="19"/>
        <v>154267.60936221856</v>
      </c>
    </row>
    <row r="314" spans="2:6" x14ac:dyDescent="0.25">
      <c r="B314" s="4">
        <v>292</v>
      </c>
      <c r="C314" s="31">
        <f t="shared" si="16"/>
        <v>2506.4303011936622</v>
      </c>
      <c r="D314" s="31">
        <f t="shared" si="17"/>
        <v>514.22536454072861</v>
      </c>
      <c r="E314" s="31">
        <f t="shared" si="18"/>
        <v>1992.2049366529336</v>
      </c>
      <c r="F314" s="31">
        <f t="shared" si="19"/>
        <v>152275.40442556562</v>
      </c>
    </row>
    <row r="315" spans="2:6" x14ac:dyDescent="0.25">
      <c r="B315" s="4">
        <v>293</v>
      </c>
      <c r="C315" s="31">
        <f t="shared" si="16"/>
        <v>2506.4303011936622</v>
      </c>
      <c r="D315" s="31">
        <f t="shared" si="17"/>
        <v>507.58468141855212</v>
      </c>
      <c r="E315" s="31">
        <f t="shared" si="18"/>
        <v>1998.8456197751102</v>
      </c>
      <c r="F315" s="31">
        <f t="shared" si="19"/>
        <v>150276.5588057905</v>
      </c>
    </row>
    <row r="316" spans="2:6" x14ac:dyDescent="0.25">
      <c r="B316" s="4">
        <v>294</v>
      </c>
      <c r="C316" s="31">
        <f t="shared" si="16"/>
        <v>2506.4303011936622</v>
      </c>
      <c r="D316" s="31">
        <f t="shared" si="17"/>
        <v>500.92186268596834</v>
      </c>
      <c r="E316" s="31">
        <f t="shared" si="18"/>
        <v>2005.5084385076939</v>
      </c>
      <c r="F316" s="31">
        <f t="shared" si="19"/>
        <v>148271.05036728279</v>
      </c>
    </row>
    <row r="317" spans="2:6" x14ac:dyDescent="0.25">
      <c r="B317" s="4">
        <v>295</v>
      </c>
      <c r="C317" s="31">
        <f t="shared" si="16"/>
        <v>2506.4303011936622</v>
      </c>
      <c r="D317" s="31">
        <f t="shared" si="17"/>
        <v>494.23683455760931</v>
      </c>
      <c r="E317" s="31">
        <f t="shared" si="18"/>
        <v>2012.193466636053</v>
      </c>
      <c r="F317" s="31">
        <f t="shared" si="19"/>
        <v>146258.85690064673</v>
      </c>
    </row>
    <row r="318" spans="2:6" x14ac:dyDescent="0.25">
      <c r="B318" s="4">
        <v>296</v>
      </c>
      <c r="C318" s="31">
        <f t="shared" si="16"/>
        <v>2506.4303011936622</v>
      </c>
      <c r="D318" s="31">
        <f t="shared" si="17"/>
        <v>487.52952300215577</v>
      </c>
      <c r="E318" s="31">
        <f t="shared" si="18"/>
        <v>2018.9007781915066</v>
      </c>
      <c r="F318" s="31">
        <f t="shared" si="19"/>
        <v>144239.95612245522</v>
      </c>
    </row>
    <row r="319" spans="2:6" x14ac:dyDescent="0.25">
      <c r="B319" s="4">
        <v>297</v>
      </c>
      <c r="C319" s="31">
        <f t="shared" si="16"/>
        <v>2506.4303011936622</v>
      </c>
      <c r="D319" s="31">
        <f t="shared" si="17"/>
        <v>480.79985374151744</v>
      </c>
      <c r="E319" s="31">
        <f t="shared" si="18"/>
        <v>2025.6304474521448</v>
      </c>
      <c r="F319" s="31">
        <f t="shared" si="19"/>
        <v>142214.32567500309</v>
      </c>
    </row>
    <row r="320" spans="2:6" x14ac:dyDescent="0.25">
      <c r="B320" s="4">
        <v>298</v>
      </c>
      <c r="C320" s="31">
        <f t="shared" si="16"/>
        <v>2506.4303011936622</v>
      </c>
      <c r="D320" s="31">
        <f t="shared" si="17"/>
        <v>474.04775225001032</v>
      </c>
      <c r="E320" s="31">
        <f t="shared" si="18"/>
        <v>2032.382548943652</v>
      </c>
      <c r="F320" s="31">
        <f t="shared" si="19"/>
        <v>140181.94312605943</v>
      </c>
    </row>
    <row r="321" spans="2:6" x14ac:dyDescent="0.25">
      <c r="B321" s="4">
        <v>299</v>
      </c>
      <c r="C321" s="31">
        <f t="shared" si="16"/>
        <v>2506.4303011936622</v>
      </c>
      <c r="D321" s="31">
        <f t="shared" si="17"/>
        <v>467.27314375353149</v>
      </c>
      <c r="E321" s="31">
        <f t="shared" si="18"/>
        <v>2039.1571574401307</v>
      </c>
      <c r="F321" s="31">
        <f t="shared" si="19"/>
        <v>138142.78596861931</v>
      </c>
    </row>
    <row r="322" spans="2:6" x14ac:dyDescent="0.25">
      <c r="B322" s="4">
        <v>300</v>
      </c>
      <c r="C322" s="31">
        <f t="shared" si="16"/>
        <v>2506.4303011936622</v>
      </c>
      <c r="D322" s="31">
        <f t="shared" si="17"/>
        <v>460.47595322873104</v>
      </c>
      <c r="E322" s="31">
        <f t="shared" si="18"/>
        <v>2045.9543479649312</v>
      </c>
      <c r="F322" s="31">
        <f t="shared" si="19"/>
        <v>136096.83162065438</v>
      </c>
    </row>
    <row r="323" spans="2:6" x14ac:dyDescent="0.25">
      <c r="B323" s="4">
        <v>301</v>
      </c>
      <c r="C323" s="31">
        <f t="shared" si="16"/>
        <v>2506.4303011936622</v>
      </c>
      <c r="D323" s="31">
        <f t="shared" si="17"/>
        <v>453.65610540218131</v>
      </c>
      <c r="E323" s="31">
        <f t="shared" si="18"/>
        <v>2052.7741957914809</v>
      </c>
      <c r="F323" s="31">
        <f t="shared" si="19"/>
        <v>134044.0574248629</v>
      </c>
    </row>
    <row r="324" spans="2:6" x14ac:dyDescent="0.25">
      <c r="B324" s="4">
        <v>302</v>
      </c>
      <c r="C324" s="31">
        <f t="shared" si="16"/>
        <v>2506.4303011936622</v>
      </c>
      <c r="D324" s="31">
        <f t="shared" si="17"/>
        <v>446.81352474954303</v>
      </c>
      <c r="E324" s="31">
        <f t="shared" si="18"/>
        <v>2059.6167764441193</v>
      </c>
      <c r="F324" s="31">
        <f t="shared" si="19"/>
        <v>131984.44064841879</v>
      </c>
    </row>
    <row r="325" spans="2:6" x14ac:dyDescent="0.25">
      <c r="B325" s="4">
        <v>303</v>
      </c>
      <c r="C325" s="31">
        <f t="shared" si="16"/>
        <v>2506.4303011936622</v>
      </c>
      <c r="D325" s="31">
        <f t="shared" si="17"/>
        <v>439.94813549472934</v>
      </c>
      <c r="E325" s="31">
        <f t="shared" si="18"/>
        <v>2066.4821656989329</v>
      </c>
      <c r="F325" s="31">
        <f t="shared" si="19"/>
        <v>129917.95848271986</v>
      </c>
    </row>
    <row r="326" spans="2:6" x14ac:dyDescent="0.25">
      <c r="B326" s="4">
        <v>304</v>
      </c>
      <c r="C326" s="31">
        <f t="shared" si="16"/>
        <v>2506.4303011936622</v>
      </c>
      <c r="D326" s="31">
        <f t="shared" si="17"/>
        <v>433.05986160906622</v>
      </c>
      <c r="E326" s="31">
        <f t="shared" si="18"/>
        <v>2073.3704395845962</v>
      </c>
      <c r="F326" s="31">
        <f t="shared" si="19"/>
        <v>127844.58804313526</v>
      </c>
    </row>
    <row r="327" spans="2:6" x14ac:dyDescent="0.25">
      <c r="B327" s="4">
        <v>305</v>
      </c>
      <c r="C327" s="31">
        <f t="shared" si="16"/>
        <v>2506.4303011936622</v>
      </c>
      <c r="D327" s="31">
        <f t="shared" si="17"/>
        <v>426.14862681045088</v>
      </c>
      <c r="E327" s="31">
        <f t="shared" si="18"/>
        <v>2080.2816743832113</v>
      </c>
      <c r="F327" s="31">
        <f t="shared" si="19"/>
        <v>125764.30636875205</v>
      </c>
    </row>
    <row r="328" spans="2:6" x14ac:dyDescent="0.25">
      <c r="B328" s="4">
        <v>306</v>
      </c>
      <c r="C328" s="31">
        <f t="shared" si="16"/>
        <v>2506.4303011936622</v>
      </c>
      <c r="D328" s="31">
        <f t="shared" si="17"/>
        <v>419.21435456250686</v>
      </c>
      <c r="E328" s="31">
        <f t="shared" si="18"/>
        <v>2087.2159466311555</v>
      </c>
      <c r="F328" s="31">
        <f t="shared" si="19"/>
        <v>123677.09042212089</v>
      </c>
    </row>
    <row r="329" spans="2:6" x14ac:dyDescent="0.25">
      <c r="B329" s="4">
        <v>307</v>
      </c>
      <c r="C329" s="31">
        <f t="shared" si="16"/>
        <v>2506.4303011936622</v>
      </c>
      <c r="D329" s="31">
        <f t="shared" si="17"/>
        <v>412.25696807373635</v>
      </c>
      <c r="E329" s="31">
        <f t="shared" si="18"/>
        <v>2094.1733331199257</v>
      </c>
      <c r="F329" s="31">
        <f t="shared" si="19"/>
        <v>121582.91708900097</v>
      </c>
    </row>
    <row r="330" spans="2:6" x14ac:dyDescent="0.25">
      <c r="B330" s="4">
        <v>308</v>
      </c>
      <c r="C330" s="31">
        <f t="shared" si="16"/>
        <v>2506.4303011936622</v>
      </c>
      <c r="D330" s="31">
        <f t="shared" si="17"/>
        <v>405.27639029666994</v>
      </c>
      <c r="E330" s="31">
        <f t="shared" si="18"/>
        <v>2101.1539108969923</v>
      </c>
      <c r="F330" s="31">
        <f t="shared" si="19"/>
        <v>119481.76317810398</v>
      </c>
    </row>
    <row r="331" spans="2:6" x14ac:dyDescent="0.25">
      <c r="B331" s="4">
        <v>309</v>
      </c>
      <c r="C331" s="31">
        <f t="shared" si="16"/>
        <v>2506.4303011936622</v>
      </c>
      <c r="D331" s="31">
        <f t="shared" si="17"/>
        <v>398.27254392701332</v>
      </c>
      <c r="E331" s="31">
        <f t="shared" si="18"/>
        <v>2108.1577572666488</v>
      </c>
      <c r="F331" s="31">
        <f t="shared" si="19"/>
        <v>117373.60542083734</v>
      </c>
    </row>
    <row r="332" spans="2:6" x14ac:dyDescent="0.25">
      <c r="B332" s="4">
        <v>310</v>
      </c>
      <c r="C332" s="31">
        <f t="shared" si="16"/>
        <v>2506.4303011936622</v>
      </c>
      <c r="D332" s="31">
        <f t="shared" si="17"/>
        <v>391.24535140279113</v>
      </c>
      <c r="E332" s="31">
        <f t="shared" si="18"/>
        <v>2115.1849497908711</v>
      </c>
      <c r="F332" s="31">
        <f t="shared" si="19"/>
        <v>115258.42047104647</v>
      </c>
    </row>
    <row r="333" spans="2:6" x14ac:dyDescent="0.25">
      <c r="B333" s="4">
        <v>311</v>
      </c>
      <c r="C333" s="31">
        <f t="shared" si="16"/>
        <v>2506.4303011936622</v>
      </c>
      <c r="D333" s="31">
        <f t="shared" si="17"/>
        <v>384.19473490348827</v>
      </c>
      <c r="E333" s="31">
        <f t="shared" si="18"/>
        <v>2122.2355662901741</v>
      </c>
      <c r="F333" s="31">
        <f t="shared" si="19"/>
        <v>113136.1849047563</v>
      </c>
    </row>
    <row r="334" spans="2:6" x14ac:dyDescent="0.25">
      <c r="B334" s="4">
        <v>312</v>
      </c>
      <c r="C334" s="31">
        <f t="shared" si="16"/>
        <v>2506.4303011936622</v>
      </c>
      <c r="D334" s="31">
        <f t="shared" si="17"/>
        <v>377.12061634918769</v>
      </c>
      <c r="E334" s="31">
        <f t="shared" si="18"/>
        <v>2129.3096848444748</v>
      </c>
      <c r="F334" s="31">
        <f t="shared" si="19"/>
        <v>111006.87521991183</v>
      </c>
    </row>
    <row r="335" spans="2:6" x14ac:dyDescent="0.25">
      <c r="B335" s="4">
        <v>313</v>
      </c>
      <c r="C335" s="31">
        <f t="shared" si="16"/>
        <v>2506.4303011936622</v>
      </c>
      <c r="D335" s="31">
        <f t="shared" si="17"/>
        <v>370.0229173997061</v>
      </c>
      <c r="E335" s="31">
        <f t="shared" si="18"/>
        <v>2136.4073837939559</v>
      </c>
      <c r="F335" s="31">
        <f t="shared" si="19"/>
        <v>108870.46783611788</v>
      </c>
    </row>
    <row r="336" spans="2:6" x14ac:dyDescent="0.25">
      <c r="B336" s="4">
        <v>314</v>
      </c>
      <c r="C336" s="31">
        <f t="shared" si="16"/>
        <v>2506.4303011936622</v>
      </c>
      <c r="D336" s="31">
        <f t="shared" si="17"/>
        <v>362.90155945372629</v>
      </c>
      <c r="E336" s="31">
        <f t="shared" si="18"/>
        <v>2143.5287417399359</v>
      </c>
      <c r="F336" s="31">
        <f t="shared" si="19"/>
        <v>106726.93909437794</v>
      </c>
    </row>
    <row r="337" spans="2:6" x14ac:dyDescent="0.25">
      <c r="B337" s="4">
        <v>315</v>
      </c>
      <c r="C337" s="31">
        <f t="shared" si="16"/>
        <v>2506.4303011936622</v>
      </c>
      <c r="D337" s="31">
        <f t="shared" si="17"/>
        <v>355.75646364792652</v>
      </c>
      <c r="E337" s="31">
        <f t="shared" si="18"/>
        <v>2150.6738375457358</v>
      </c>
      <c r="F337" s="31">
        <f t="shared" si="19"/>
        <v>104576.26525683221</v>
      </c>
    </row>
    <row r="338" spans="2:6" x14ac:dyDescent="0.25">
      <c r="B338" s="4">
        <v>316</v>
      </c>
      <c r="C338" s="31">
        <f t="shared" si="16"/>
        <v>2506.4303011936622</v>
      </c>
      <c r="D338" s="31">
        <f t="shared" si="17"/>
        <v>348.58755085610738</v>
      </c>
      <c r="E338" s="31">
        <f t="shared" si="18"/>
        <v>2157.8427503375547</v>
      </c>
      <c r="F338" s="31">
        <f t="shared" si="19"/>
        <v>102418.42250649465</v>
      </c>
    </row>
    <row r="339" spans="2:6" x14ac:dyDescent="0.25">
      <c r="B339" s="4">
        <v>317</v>
      </c>
      <c r="C339" s="31">
        <f t="shared" si="16"/>
        <v>2506.4303011936622</v>
      </c>
      <c r="D339" s="31">
        <f t="shared" si="17"/>
        <v>341.39474168831555</v>
      </c>
      <c r="E339" s="31">
        <f t="shared" si="18"/>
        <v>2165.0355595053466</v>
      </c>
      <c r="F339" s="31">
        <f t="shared" si="19"/>
        <v>100253.38694698931</v>
      </c>
    </row>
    <row r="340" spans="2:6" x14ac:dyDescent="0.25">
      <c r="B340" s="4">
        <v>318</v>
      </c>
      <c r="C340" s="31">
        <f t="shared" si="16"/>
        <v>2506.4303011936622</v>
      </c>
      <c r="D340" s="31">
        <f t="shared" si="17"/>
        <v>334.1779564899644</v>
      </c>
      <c r="E340" s="31">
        <f t="shared" si="18"/>
        <v>2172.2523447036979</v>
      </c>
      <c r="F340" s="31">
        <f t="shared" si="19"/>
        <v>98081.134602285616</v>
      </c>
    </row>
    <row r="341" spans="2:6" x14ac:dyDescent="0.25">
      <c r="B341" s="4">
        <v>319</v>
      </c>
      <c r="C341" s="31">
        <f t="shared" si="16"/>
        <v>2506.4303011936622</v>
      </c>
      <c r="D341" s="31">
        <f t="shared" si="17"/>
        <v>326.93711534095206</v>
      </c>
      <c r="E341" s="31">
        <f t="shared" si="18"/>
        <v>2179.4931858527102</v>
      </c>
      <c r="F341" s="31">
        <f t="shared" si="19"/>
        <v>95901.641416432903</v>
      </c>
    </row>
    <row r="342" spans="2:6" x14ac:dyDescent="0.25">
      <c r="B342" s="4">
        <v>320</v>
      </c>
      <c r="C342" s="31">
        <f t="shared" si="16"/>
        <v>2506.4303011936622</v>
      </c>
      <c r="D342" s="31">
        <f t="shared" si="17"/>
        <v>319.67213805477638</v>
      </c>
      <c r="E342" s="31">
        <f t="shared" si="18"/>
        <v>2186.7581631388857</v>
      </c>
      <c r="F342" s="31">
        <f t="shared" si="19"/>
        <v>93714.883253294014</v>
      </c>
    </row>
    <row r="343" spans="2:6" x14ac:dyDescent="0.25">
      <c r="B343" s="4">
        <v>321</v>
      </c>
      <c r="C343" s="31">
        <f t="shared" si="16"/>
        <v>2506.4303011936622</v>
      </c>
      <c r="D343" s="31">
        <f t="shared" si="17"/>
        <v>312.38294417764672</v>
      </c>
      <c r="E343" s="31">
        <f t="shared" si="18"/>
        <v>2194.0473570160157</v>
      </c>
      <c r="F343" s="31">
        <f t="shared" si="19"/>
        <v>91520.835896278004</v>
      </c>
    </row>
    <row r="344" spans="2:6" x14ac:dyDescent="0.25">
      <c r="B344" s="4">
        <v>322</v>
      </c>
      <c r="C344" s="31">
        <f t="shared" ref="C344:C382" si="20">-$C$12</f>
        <v>2506.4303011936622</v>
      </c>
      <c r="D344" s="31">
        <f t="shared" ref="D344:D367" si="21">F343*C$10</f>
        <v>305.06945298759337</v>
      </c>
      <c r="E344" s="31">
        <f t="shared" ref="E344:E382" si="22">C344-D344</f>
        <v>2201.360848206069</v>
      </c>
      <c r="F344" s="31">
        <f t="shared" ref="F344:F382" si="23">F343-E344</f>
        <v>89319.475048071938</v>
      </c>
    </row>
    <row r="345" spans="2:6" x14ac:dyDescent="0.25">
      <c r="B345" s="4">
        <v>323</v>
      </c>
      <c r="C345" s="31">
        <f t="shared" si="20"/>
        <v>2506.4303011936622</v>
      </c>
      <c r="D345" s="31">
        <f t="shared" si="21"/>
        <v>297.73158349357317</v>
      </c>
      <c r="E345" s="31">
        <f t="shared" si="22"/>
        <v>2208.6987177000892</v>
      </c>
      <c r="F345" s="31">
        <f t="shared" si="23"/>
        <v>87110.776330371853</v>
      </c>
    </row>
    <row r="346" spans="2:6" x14ac:dyDescent="0.25">
      <c r="B346" s="4">
        <v>324</v>
      </c>
      <c r="C346" s="31">
        <f t="shared" si="20"/>
        <v>2506.4303011936622</v>
      </c>
      <c r="D346" s="31">
        <f t="shared" si="21"/>
        <v>290.36925443457284</v>
      </c>
      <c r="E346" s="31">
        <f t="shared" si="22"/>
        <v>2216.0610467590895</v>
      </c>
      <c r="F346" s="31">
        <f t="shared" si="23"/>
        <v>84894.715283612764</v>
      </c>
    </row>
    <row r="347" spans="2:6" x14ac:dyDescent="0.25">
      <c r="B347" s="4">
        <v>325</v>
      </c>
      <c r="C347" s="31">
        <f t="shared" si="20"/>
        <v>2506.4303011936622</v>
      </c>
      <c r="D347" s="31">
        <f t="shared" si="21"/>
        <v>282.98238427870922</v>
      </c>
      <c r="E347" s="31">
        <f t="shared" si="22"/>
        <v>2223.4479169149531</v>
      </c>
      <c r="F347" s="31">
        <f t="shared" si="23"/>
        <v>82671.267366697808</v>
      </c>
    </row>
    <row r="348" spans="2:6" x14ac:dyDescent="0.25">
      <c r="B348" s="4">
        <v>326</v>
      </c>
      <c r="C348" s="31">
        <f t="shared" si="20"/>
        <v>2506.4303011936622</v>
      </c>
      <c r="D348" s="31">
        <f t="shared" si="21"/>
        <v>275.57089122232605</v>
      </c>
      <c r="E348" s="31">
        <f t="shared" si="22"/>
        <v>2230.8594099713364</v>
      </c>
      <c r="F348" s="31">
        <f t="shared" si="23"/>
        <v>80440.407956726471</v>
      </c>
    </row>
    <row r="349" spans="2:6" x14ac:dyDescent="0.25">
      <c r="B349" s="4">
        <v>327</v>
      </c>
      <c r="C349" s="31">
        <f t="shared" si="20"/>
        <v>2506.4303011936622</v>
      </c>
      <c r="D349" s="31">
        <f t="shared" si="21"/>
        <v>268.13469318908824</v>
      </c>
      <c r="E349" s="31">
        <f t="shared" si="22"/>
        <v>2238.2956080045742</v>
      </c>
      <c r="F349" s="31">
        <f t="shared" si="23"/>
        <v>78202.112348721901</v>
      </c>
    </row>
    <row r="350" spans="2:6" x14ac:dyDescent="0.25">
      <c r="B350" s="4">
        <v>328</v>
      </c>
      <c r="C350" s="31">
        <f t="shared" si="20"/>
        <v>2506.4303011936622</v>
      </c>
      <c r="D350" s="31">
        <f t="shared" si="21"/>
        <v>260.67370782907301</v>
      </c>
      <c r="E350" s="31">
        <f t="shared" si="22"/>
        <v>2245.7565933645892</v>
      </c>
      <c r="F350" s="31">
        <f t="shared" si="23"/>
        <v>75956.355755357305</v>
      </c>
    </row>
    <row r="351" spans="2:6" x14ac:dyDescent="0.25">
      <c r="B351" s="4">
        <v>329</v>
      </c>
      <c r="C351" s="31">
        <f t="shared" si="20"/>
        <v>2506.4303011936622</v>
      </c>
      <c r="D351" s="31">
        <f t="shared" si="21"/>
        <v>253.18785251785769</v>
      </c>
      <c r="E351" s="31">
        <f t="shared" si="22"/>
        <v>2253.2424486758046</v>
      </c>
      <c r="F351" s="31">
        <f t="shared" si="23"/>
        <v>73703.113306681495</v>
      </c>
    </row>
    <row r="352" spans="2:6" x14ac:dyDescent="0.25">
      <c r="B352" s="4">
        <v>330</v>
      </c>
      <c r="C352" s="31">
        <f t="shared" si="20"/>
        <v>2506.4303011936622</v>
      </c>
      <c r="D352" s="31">
        <f t="shared" si="21"/>
        <v>245.67704435560501</v>
      </c>
      <c r="E352" s="31">
        <f t="shared" si="22"/>
        <v>2260.753256838057</v>
      </c>
      <c r="F352" s="31">
        <f t="shared" si="23"/>
        <v>71442.360049843439</v>
      </c>
    </row>
    <row r="353" spans="2:6" x14ac:dyDescent="0.25">
      <c r="B353" s="4">
        <v>331</v>
      </c>
      <c r="C353" s="31">
        <f t="shared" si="20"/>
        <v>2506.4303011936622</v>
      </c>
      <c r="D353" s="31">
        <f t="shared" si="21"/>
        <v>238.14120016614481</v>
      </c>
      <c r="E353" s="31">
        <f t="shared" si="22"/>
        <v>2268.2891010275175</v>
      </c>
      <c r="F353" s="31">
        <f t="shared" si="23"/>
        <v>69174.070948815919</v>
      </c>
    </row>
    <row r="354" spans="2:6" x14ac:dyDescent="0.25">
      <c r="B354" s="4">
        <v>332</v>
      </c>
      <c r="C354" s="31">
        <f t="shared" si="20"/>
        <v>2506.4303011936622</v>
      </c>
      <c r="D354" s="31">
        <f t="shared" si="21"/>
        <v>230.58023649605309</v>
      </c>
      <c r="E354" s="31">
        <f t="shared" si="22"/>
        <v>2275.850064697609</v>
      </c>
      <c r="F354" s="31">
        <f t="shared" si="23"/>
        <v>66898.220884118316</v>
      </c>
    </row>
    <row r="355" spans="2:6" x14ac:dyDescent="0.25">
      <c r="B355" s="4">
        <v>333</v>
      </c>
      <c r="C355" s="31">
        <f t="shared" si="20"/>
        <v>2506.4303011936622</v>
      </c>
      <c r="D355" s="31">
        <f t="shared" si="21"/>
        <v>222.99406961372773</v>
      </c>
      <c r="E355" s="31">
        <f t="shared" si="22"/>
        <v>2283.4362315799344</v>
      </c>
      <c r="F355" s="31">
        <f t="shared" si="23"/>
        <v>64614.784652538379</v>
      </c>
    </row>
    <row r="356" spans="2:6" x14ac:dyDescent="0.25">
      <c r="B356" s="4">
        <v>334</v>
      </c>
      <c r="C356" s="31">
        <f t="shared" si="20"/>
        <v>2506.4303011936622</v>
      </c>
      <c r="D356" s="31">
        <f t="shared" si="21"/>
        <v>215.38261550846127</v>
      </c>
      <c r="E356" s="31">
        <f t="shared" si="22"/>
        <v>2291.047685685201</v>
      </c>
      <c r="F356" s="31">
        <f t="shared" si="23"/>
        <v>62323.736966853176</v>
      </c>
    </row>
    <row r="357" spans="2:6" x14ac:dyDescent="0.25">
      <c r="B357" s="4">
        <v>335</v>
      </c>
      <c r="C357" s="31">
        <f t="shared" si="20"/>
        <v>2506.4303011936622</v>
      </c>
      <c r="D357" s="31">
        <f t="shared" si="21"/>
        <v>207.7457898895106</v>
      </c>
      <c r="E357" s="31">
        <f t="shared" si="22"/>
        <v>2298.6845113041518</v>
      </c>
      <c r="F357" s="31">
        <f t="shared" si="23"/>
        <v>60025.052455549026</v>
      </c>
    </row>
    <row r="358" spans="2:6" x14ac:dyDescent="0.25">
      <c r="B358" s="4">
        <v>336</v>
      </c>
      <c r="C358" s="31">
        <f t="shared" si="20"/>
        <v>2506.4303011936622</v>
      </c>
      <c r="D358" s="31">
        <f t="shared" si="21"/>
        <v>200.08350818516342</v>
      </c>
      <c r="E358" s="31">
        <f t="shared" si="22"/>
        <v>2306.3467930084989</v>
      </c>
      <c r="F358" s="31">
        <f t="shared" si="23"/>
        <v>57718.705662540524</v>
      </c>
    </row>
    <row r="359" spans="2:6" x14ac:dyDescent="0.25">
      <c r="B359" s="4">
        <v>337</v>
      </c>
      <c r="C359" s="31">
        <f t="shared" si="20"/>
        <v>2506.4303011936622</v>
      </c>
      <c r="D359" s="31">
        <f t="shared" si="21"/>
        <v>192.39568554180175</v>
      </c>
      <c r="E359" s="31">
        <f t="shared" si="22"/>
        <v>2314.0346156518603</v>
      </c>
      <c r="F359" s="31">
        <f t="shared" si="23"/>
        <v>55404.671046888667</v>
      </c>
    </row>
    <row r="360" spans="2:6" x14ac:dyDescent="0.25">
      <c r="B360" s="4">
        <v>338</v>
      </c>
      <c r="C360" s="31">
        <f t="shared" si="20"/>
        <v>2506.4303011936622</v>
      </c>
      <c r="D360" s="31">
        <f t="shared" si="21"/>
        <v>184.68223682296224</v>
      </c>
      <c r="E360" s="31">
        <f t="shared" si="22"/>
        <v>2321.7480643706999</v>
      </c>
      <c r="F360" s="31">
        <f t="shared" si="23"/>
        <v>53082.922982517965</v>
      </c>
    </row>
    <row r="361" spans="2:6" x14ac:dyDescent="0.25">
      <c r="B361" s="4">
        <v>339</v>
      </c>
      <c r="C361" s="31">
        <f t="shared" si="20"/>
        <v>2506.4303011936622</v>
      </c>
      <c r="D361" s="31">
        <f t="shared" si="21"/>
        <v>176.94307660839323</v>
      </c>
      <c r="E361" s="31">
        <f t="shared" si="22"/>
        <v>2329.4872245852689</v>
      </c>
      <c r="F361" s="31">
        <f t="shared" si="23"/>
        <v>50753.435757932697</v>
      </c>
    </row>
    <row r="362" spans="2:6" x14ac:dyDescent="0.25">
      <c r="B362" s="4">
        <v>340</v>
      </c>
      <c r="C362" s="31">
        <f t="shared" si="20"/>
        <v>2506.4303011936622</v>
      </c>
      <c r="D362" s="31">
        <f t="shared" si="21"/>
        <v>169.17811919310901</v>
      </c>
      <c r="E362" s="31">
        <f t="shared" si="22"/>
        <v>2337.2521820005531</v>
      </c>
      <c r="F362" s="31">
        <f t="shared" si="23"/>
        <v>48416.18357593214</v>
      </c>
    </row>
    <row r="363" spans="2:6" x14ac:dyDescent="0.25">
      <c r="B363" s="4">
        <v>341</v>
      </c>
      <c r="C363" s="31">
        <f t="shared" si="20"/>
        <v>2506.4303011936622</v>
      </c>
      <c r="D363" s="31">
        <f t="shared" si="21"/>
        <v>161.38727858644049</v>
      </c>
      <c r="E363" s="31">
        <f t="shared" si="22"/>
        <v>2345.0430226072217</v>
      </c>
      <c r="F363" s="31">
        <f t="shared" si="23"/>
        <v>46071.14055332492</v>
      </c>
    </row>
    <row r="364" spans="2:6" x14ac:dyDescent="0.25">
      <c r="B364" s="4">
        <v>342</v>
      </c>
      <c r="C364" s="31">
        <f t="shared" si="20"/>
        <v>2506.4303011936622</v>
      </c>
      <c r="D364" s="31">
        <f t="shared" si="21"/>
        <v>153.57046851108308</v>
      </c>
      <c r="E364" s="31">
        <f t="shared" si="22"/>
        <v>2352.8598326825791</v>
      </c>
      <c r="F364" s="31">
        <f t="shared" si="23"/>
        <v>43718.280720642339</v>
      </c>
    </row>
    <row r="365" spans="2:6" x14ac:dyDescent="0.25">
      <c r="B365" s="4">
        <v>343</v>
      </c>
      <c r="C365" s="31">
        <f t="shared" si="20"/>
        <v>2506.4303011936622</v>
      </c>
      <c r="D365" s="31">
        <f t="shared" si="21"/>
        <v>145.72760240214114</v>
      </c>
      <c r="E365" s="31">
        <f t="shared" si="22"/>
        <v>2360.702698791521</v>
      </c>
      <c r="F365" s="31">
        <f t="shared" si="23"/>
        <v>41357.578021850815</v>
      </c>
    </row>
    <row r="366" spans="2:6" x14ac:dyDescent="0.25">
      <c r="B366" s="4">
        <v>344</v>
      </c>
      <c r="C366" s="31">
        <f t="shared" si="20"/>
        <v>2506.4303011936622</v>
      </c>
      <c r="D366" s="31">
        <f t="shared" si="21"/>
        <v>137.8585934061694</v>
      </c>
      <c r="E366" s="31">
        <f t="shared" si="22"/>
        <v>2368.5717077874929</v>
      </c>
      <c r="F366" s="31">
        <f t="shared" si="23"/>
        <v>38989.006314063321</v>
      </c>
    </row>
    <row r="367" spans="2:6" x14ac:dyDescent="0.25">
      <c r="B367" s="4">
        <v>345</v>
      </c>
      <c r="C367" s="31">
        <f t="shared" si="20"/>
        <v>2506.4303011936622</v>
      </c>
      <c r="D367" s="31">
        <f t="shared" si="21"/>
        <v>129.96335438021109</v>
      </c>
      <c r="E367" s="31">
        <f t="shared" si="22"/>
        <v>2376.4669468134512</v>
      </c>
      <c r="F367" s="31">
        <f t="shared" si="23"/>
        <v>36612.539367249869</v>
      </c>
    </row>
    <row r="368" spans="2:6" x14ac:dyDescent="0.25">
      <c r="B368" s="4">
        <v>346</v>
      </c>
      <c r="C368" s="31">
        <f t="shared" si="20"/>
        <v>2506.4303011936622</v>
      </c>
      <c r="D368" s="31">
        <f t="shared" ref="D368:D382" si="24">F367*C$10</f>
        <v>122.0417978908329</v>
      </c>
      <c r="E368" s="31">
        <f t="shared" si="22"/>
        <v>2384.3885033028291</v>
      </c>
      <c r="F368" s="31">
        <f t="shared" si="23"/>
        <v>34228.150863947041</v>
      </c>
    </row>
    <row r="369" spans="2:6" x14ac:dyDescent="0.25">
      <c r="B369" s="4">
        <v>347</v>
      </c>
      <c r="C369" s="31">
        <f t="shared" si="20"/>
        <v>2506.4303011936622</v>
      </c>
      <c r="D369" s="31">
        <f t="shared" si="24"/>
        <v>114.09383621315681</v>
      </c>
      <c r="E369" s="31">
        <f t="shared" si="22"/>
        <v>2392.3364649805053</v>
      </c>
      <c r="F369" s="31">
        <f t="shared" si="23"/>
        <v>31835.814398966537</v>
      </c>
    </row>
    <row r="370" spans="2:6" x14ac:dyDescent="0.25">
      <c r="B370" s="4">
        <v>348</v>
      </c>
      <c r="C370" s="31">
        <f t="shared" si="20"/>
        <v>2506.4303011936622</v>
      </c>
      <c r="D370" s="31">
        <f t="shared" si="24"/>
        <v>106.11938132988847</v>
      </c>
      <c r="E370" s="31">
        <f t="shared" si="22"/>
        <v>2400.310919863774</v>
      </c>
      <c r="F370" s="31">
        <f t="shared" si="23"/>
        <v>29435.503479102765</v>
      </c>
    </row>
    <row r="371" spans="2:6" x14ac:dyDescent="0.25">
      <c r="B371" s="4">
        <v>349</v>
      </c>
      <c r="C371" s="31">
        <f t="shared" si="20"/>
        <v>2506.4303011936622</v>
      </c>
      <c r="D371" s="31">
        <f t="shared" si="24"/>
        <v>98.118344930342559</v>
      </c>
      <c r="E371" s="31">
        <f t="shared" si="22"/>
        <v>2408.3119562633196</v>
      </c>
      <c r="F371" s="31">
        <f t="shared" si="23"/>
        <v>27027.191522839446</v>
      </c>
    </row>
    <row r="372" spans="2:6" x14ac:dyDescent="0.25">
      <c r="B372" s="4">
        <v>350</v>
      </c>
      <c r="C372" s="31">
        <f t="shared" si="20"/>
        <v>2506.4303011936622</v>
      </c>
      <c r="D372" s="31">
        <f t="shared" si="24"/>
        <v>90.09063840946483</v>
      </c>
      <c r="E372" s="31">
        <f t="shared" si="22"/>
        <v>2416.3396627841976</v>
      </c>
      <c r="F372" s="31">
        <f t="shared" si="23"/>
        <v>24610.851860055249</v>
      </c>
    </row>
    <row r="373" spans="2:6" x14ac:dyDescent="0.25">
      <c r="B373" s="4">
        <v>351</v>
      </c>
      <c r="C373" s="31">
        <f t="shared" si="20"/>
        <v>2506.4303011936622</v>
      </c>
      <c r="D373" s="31">
        <f t="shared" si="24"/>
        <v>82.036172866850833</v>
      </c>
      <c r="E373" s="31">
        <f t="shared" si="22"/>
        <v>2424.3941283268114</v>
      </c>
      <c r="F373" s="31">
        <f t="shared" si="23"/>
        <v>22186.457731728438</v>
      </c>
    </row>
    <row r="374" spans="2:6" x14ac:dyDescent="0.25">
      <c r="B374" s="4">
        <v>352</v>
      </c>
      <c r="C374" s="31">
        <f t="shared" si="20"/>
        <v>2506.4303011936622</v>
      </c>
      <c r="D374" s="31">
        <f t="shared" si="24"/>
        <v>73.954859105761471</v>
      </c>
      <c r="E374" s="31">
        <f t="shared" si="22"/>
        <v>2432.4754420879008</v>
      </c>
      <c r="F374" s="31">
        <f t="shared" si="23"/>
        <v>19753.982289640539</v>
      </c>
    </row>
    <row r="375" spans="2:6" x14ac:dyDescent="0.25">
      <c r="B375" s="4">
        <v>353</v>
      </c>
      <c r="C375" s="31">
        <f t="shared" si="20"/>
        <v>2506.4303011936622</v>
      </c>
      <c r="D375" s="31">
        <f t="shared" si="24"/>
        <v>65.846607632135132</v>
      </c>
      <c r="E375" s="31">
        <f t="shared" si="22"/>
        <v>2440.5836935615271</v>
      </c>
      <c r="F375" s="31">
        <f t="shared" si="23"/>
        <v>17313.398596079012</v>
      </c>
    </row>
    <row r="376" spans="2:6" x14ac:dyDescent="0.25">
      <c r="B376" s="4">
        <v>354</v>
      </c>
      <c r="C376" s="31">
        <f t="shared" si="20"/>
        <v>2506.4303011936622</v>
      </c>
      <c r="D376" s="31">
        <f t="shared" si="24"/>
        <v>57.711328653596709</v>
      </c>
      <c r="E376" s="31">
        <f t="shared" si="22"/>
        <v>2448.7189725400654</v>
      </c>
      <c r="F376" s="31">
        <f t="shared" si="23"/>
        <v>14864.679623538947</v>
      </c>
    </row>
    <row r="377" spans="2:6" x14ac:dyDescent="0.25">
      <c r="B377" s="4">
        <v>355</v>
      </c>
      <c r="C377" s="31">
        <f t="shared" si="20"/>
        <v>2506.4303011936622</v>
      </c>
      <c r="D377" s="31">
        <f t="shared" si="24"/>
        <v>49.54893207846316</v>
      </c>
      <c r="E377" s="31">
        <f t="shared" si="22"/>
        <v>2456.881369115199</v>
      </c>
      <c r="F377" s="31">
        <f t="shared" si="23"/>
        <v>12407.798254423747</v>
      </c>
    </row>
    <row r="378" spans="2:6" x14ac:dyDescent="0.25">
      <c r="B378" s="4">
        <v>356</v>
      </c>
      <c r="C378" s="31">
        <f t="shared" si="20"/>
        <v>2506.4303011936622</v>
      </c>
      <c r="D378" s="31">
        <f t="shared" si="24"/>
        <v>41.359327514745829</v>
      </c>
      <c r="E378" s="31">
        <f t="shared" si="22"/>
        <v>2465.0709736789163</v>
      </c>
      <c r="F378" s="31">
        <f t="shared" si="23"/>
        <v>9942.7272807448317</v>
      </c>
    </row>
    <row r="379" spans="2:6" x14ac:dyDescent="0.25">
      <c r="B379" s="4">
        <v>357</v>
      </c>
      <c r="C379" s="31">
        <f t="shared" si="20"/>
        <v>2506.4303011936622</v>
      </c>
      <c r="D379" s="31">
        <f t="shared" si="24"/>
        <v>33.142424269149444</v>
      </c>
      <c r="E379" s="31">
        <f t="shared" si="22"/>
        <v>2473.2878769245126</v>
      </c>
      <c r="F379" s="31">
        <f t="shared" si="23"/>
        <v>7469.4394038203191</v>
      </c>
    </row>
    <row r="380" spans="2:6" x14ac:dyDescent="0.25">
      <c r="B380" s="4">
        <v>358</v>
      </c>
      <c r="C380" s="31">
        <f t="shared" si="20"/>
        <v>2506.4303011936622</v>
      </c>
      <c r="D380" s="31">
        <f t="shared" si="24"/>
        <v>24.898131346067732</v>
      </c>
      <c r="E380" s="31">
        <f t="shared" si="22"/>
        <v>2481.5321698475946</v>
      </c>
      <c r="F380" s="31">
        <f t="shared" si="23"/>
        <v>4987.9072339727245</v>
      </c>
    </row>
    <row r="381" spans="2:6" x14ac:dyDescent="0.25">
      <c r="B381" s="4">
        <v>359</v>
      </c>
      <c r="C381" s="31">
        <f t="shared" si="20"/>
        <v>2506.4303011936622</v>
      </c>
      <c r="D381" s="31">
        <f t="shared" si="24"/>
        <v>16.626357446575749</v>
      </c>
      <c r="E381" s="31">
        <f t="shared" si="22"/>
        <v>2489.8039437470866</v>
      </c>
      <c r="F381" s="31">
        <f t="shared" si="23"/>
        <v>2498.1032902256379</v>
      </c>
    </row>
    <row r="382" spans="2:6" x14ac:dyDescent="0.25">
      <c r="B382" s="4">
        <v>360</v>
      </c>
      <c r="C382" s="31">
        <f t="shared" si="20"/>
        <v>2506.4303011936622</v>
      </c>
      <c r="D382" s="31">
        <f t="shared" si="24"/>
        <v>8.3270109674187935</v>
      </c>
      <c r="E382" s="31">
        <f t="shared" si="22"/>
        <v>2498.1032902262436</v>
      </c>
      <c r="F382" s="31">
        <f t="shared" si="23"/>
        <v>-6.0572347138077021E-10</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D79A6-E797-412D-9301-A298CA5F9A7B}">
  <sheetPr>
    <tabColor rgb="FF0000FF"/>
  </sheetPr>
  <dimension ref="B1:S17"/>
  <sheetViews>
    <sheetView showGridLines="0" zoomScale="111" zoomScaleNormal="111" workbookViewId="0"/>
  </sheetViews>
  <sheetFormatPr defaultColWidth="8.85546875" defaultRowHeight="15" x14ac:dyDescent="0.25"/>
  <cols>
    <col min="1" max="1" width="1.42578125" customWidth="1"/>
    <col min="4" max="4" width="10.7109375" bestFit="1" customWidth="1"/>
    <col min="5" max="5" width="10.140625" customWidth="1"/>
    <col min="6" max="6" width="14.42578125" bestFit="1" customWidth="1"/>
    <col min="7" max="7" width="25.140625" bestFit="1" customWidth="1"/>
    <col min="9" max="9" width="15" bestFit="1" customWidth="1"/>
    <col min="10" max="10" width="32.42578125" customWidth="1"/>
    <col min="12" max="12" width="2" customWidth="1"/>
    <col min="13" max="13" width="12.42578125" customWidth="1"/>
    <col min="14" max="14" width="19" customWidth="1"/>
    <col min="15" max="15" width="11.140625" customWidth="1"/>
    <col min="17" max="17" width="12.42578125" customWidth="1"/>
    <col min="18" max="18" width="19" customWidth="1"/>
  </cols>
  <sheetData>
    <row r="1" spans="2:19" ht="6" customHeight="1" x14ac:dyDescent="0.25"/>
    <row r="2" spans="2:19" ht="135.94999999999999" customHeight="1" x14ac:dyDescent="0.25">
      <c r="B2" s="83" t="s">
        <v>406</v>
      </c>
      <c r="C2" s="84"/>
      <c r="D2" s="84"/>
      <c r="E2" s="84"/>
      <c r="F2" s="84"/>
      <c r="G2" s="84"/>
      <c r="H2" s="84"/>
      <c r="I2" s="84"/>
      <c r="J2" s="85"/>
    </row>
    <row r="3" spans="2:19" ht="6" customHeight="1" x14ac:dyDescent="0.25"/>
    <row r="4" spans="2:19" x14ac:dyDescent="0.25">
      <c r="C4" s="69" t="s">
        <v>386</v>
      </c>
      <c r="D4" s="4">
        <v>0.15</v>
      </c>
      <c r="F4" s="1" t="s">
        <v>399</v>
      </c>
      <c r="M4" s="70" t="s">
        <v>397</v>
      </c>
      <c r="N4" s="70"/>
      <c r="Q4" s="70" t="s">
        <v>398</v>
      </c>
      <c r="R4" s="70"/>
    </row>
    <row r="5" spans="2:19" ht="6" customHeight="1" x14ac:dyDescent="0.25"/>
    <row r="6" spans="2:19" x14ac:dyDescent="0.25">
      <c r="B6" s="6" t="s">
        <v>387</v>
      </c>
      <c r="C6" s="6" t="s">
        <v>357</v>
      </c>
      <c r="D6" s="6" t="s">
        <v>388</v>
      </c>
      <c r="F6" s="71" t="s">
        <v>389</v>
      </c>
      <c r="G6" s="71" t="s">
        <v>390</v>
      </c>
      <c r="I6" s="6" t="s">
        <v>391</v>
      </c>
      <c r="J6" s="6" t="s">
        <v>390</v>
      </c>
      <c r="M6" s="71" t="s">
        <v>392</v>
      </c>
      <c r="N6" s="71" t="s">
        <v>393</v>
      </c>
      <c r="Q6" s="71" t="s">
        <v>392</v>
      </c>
      <c r="R6" s="71" t="s">
        <v>393</v>
      </c>
    </row>
    <row r="7" spans="2:19" x14ac:dyDescent="0.25">
      <c r="B7" s="72">
        <v>44197</v>
      </c>
      <c r="C7" s="4" t="s">
        <v>394</v>
      </c>
      <c r="D7" s="4">
        <v>-100000</v>
      </c>
      <c r="F7" s="73">
        <f>D7/(1+$D$4)^RIGHT(C7)</f>
        <v>-100000</v>
      </c>
      <c r="G7" s="4" t="str" cm="1">
        <f t="array" aca="1" ref="G7:G13" ca="1">_xlfn.IFNA(_xlfn.FORMULATEXT(F7:F13),"")</f>
        <v>=D7/(1+$D$4)^RIGHT(C7)</v>
      </c>
      <c r="I7" s="49" cm="1">
        <f t="array" ref="I7:I12">D7:D12/(1+D4)^((B7:B12-B7)/365)</f>
        <v>-100000</v>
      </c>
      <c r="J7" s="4" t="str" cm="1">
        <f t="array" aca="1" ref="J7:J13" ca="1">_xlfn.IFNA(_xlfn.FORMULATEXT(I7:I13),"")</f>
        <v>=D7:D12/(1+D4)^((B7:B12-B7)/365)</v>
      </c>
      <c r="M7">
        <f>ROWS(M$7:M7)-1</f>
        <v>0</v>
      </c>
      <c r="N7">
        <f>(B7-$B$7)/365</f>
        <v>0</v>
      </c>
      <c r="Q7" cm="1">
        <f t="array" ref="Q7:Q12">_xlfn.SEQUENCE(ROWS(D7:D12),,0)</f>
        <v>0</v>
      </c>
      <c r="R7" cm="1">
        <f t="array" ref="R7:R12">(B7:B12-B7)/365</f>
        <v>0</v>
      </c>
    </row>
    <row r="8" spans="2:19" x14ac:dyDescent="0.25">
      <c r="B8" s="72">
        <v>44562</v>
      </c>
      <c r="C8" s="4" t="s">
        <v>356</v>
      </c>
      <c r="D8" s="4">
        <v>55000</v>
      </c>
      <c r="F8" s="73">
        <f t="shared" ref="F8:F12" si="0">D8/(1+$D$4)^RIGHT(C8)</f>
        <v>47826.086956521744</v>
      </c>
      <c r="G8" s="4" t="str">
        <f ca="1"/>
        <v>=D8/(1+$D$4)^RIGHT(C8)</v>
      </c>
      <c r="I8" s="49">
        <v>47826.086956521744</v>
      </c>
      <c r="J8" s="4" t="str">
        <f ca="1"/>
        <v/>
      </c>
      <c r="M8">
        <f>ROWS(M$7:M8)-1</f>
        <v>1</v>
      </c>
      <c r="N8">
        <f t="shared" ref="N8:N12" si="1">(B8-$B$7)/365</f>
        <v>1</v>
      </c>
      <c r="Q8">
        <v>1</v>
      </c>
      <c r="R8">
        <v>1</v>
      </c>
    </row>
    <row r="9" spans="2:19" x14ac:dyDescent="0.25">
      <c r="B9" s="72">
        <v>44927</v>
      </c>
      <c r="C9" s="4" t="s">
        <v>358</v>
      </c>
      <c r="D9" s="4">
        <v>10000</v>
      </c>
      <c r="F9" s="73">
        <f t="shared" si="0"/>
        <v>7561.436672967865</v>
      </c>
      <c r="G9" s="4" t="str">
        <f ca="1"/>
        <v>=D9/(1+$D$4)^RIGHT(C9)</v>
      </c>
      <c r="I9" s="49">
        <v>7561.436672967865</v>
      </c>
      <c r="J9" s="4" t="str">
        <f ca="1"/>
        <v/>
      </c>
      <c r="M9">
        <f>ROWS(M$7:M9)-1</f>
        <v>2</v>
      </c>
      <c r="N9">
        <f t="shared" si="1"/>
        <v>2</v>
      </c>
      <c r="Q9">
        <v>2</v>
      </c>
      <c r="R9">
        <v>2</v>
      </c>
    </row>
    <row r="10" spans="2:19" x14ac:dyDescent="0.25">
      <c r="B10" s="72">
        <v>45292</v>
      </c>
      <c r="C10" s="4" t="s">
        <v>359</v>
      </c>
      <c r="D10" s="4">
        <v>20000</v>
      </c>
      <c r="F10" s="73">
        <f t="shared" si="0"/>
        <v>13150.324648639767</v>
      </c>
      <c r="G10" s="4" t="str">
        <f ca="1"/>
        <v>=D10/(1+$D$4)^RIGHT(C10)</v>
      </c>
      <c r="I10" s="49">
        <v>13150.324648639767</v>
      </c>
      <c r="J10" s="4" t="str">
        <f ca="1"/>
        <v/>
      </c>
      <c r="L10" s="74"/>
      <c r="M10">
        <f>ROWS(M$7:M10)-1</f>
        <v>3</v>
      </c>
      <c r="N10">
        <f t="shared" si="1"/>
        <v>3</v>
      </c>
      <c r="Q10">
        <v>3</v>
      </c>
      <c r="R10">
        <v>3</v>
      </c>
    </row>
    <row r="11" spans="2:19" x14ac:dyDescent="0.25">
      <c r="B11" s="72">
        <v>45658</v>
      </c>
      <c r="C11" s="4" t="s">
        <v>363</v>
      </c>
      <c r="D11" s="4">
        <v>30000</v>
      </c>
      <c r="F11" s="73">
        <f t="shared" si="0"/>
        <v>17152.597367791001</v>
      </c>
      <c r="G11" s="4" t="str">
        <f ca="1"/>
        <v>=D11/(1+$D$4)^RIGHT(C11)</v>
      </c>
      <c r="I11" s="49">
        <v>17146.03073378318</v>
      </c>
      <c r="J11" s="4" t="str">
        <f ca="1"/>
        <v/>
      </c>
      <c r="M11">
        <f>ROWS(M$7:M11)-1</f>
        <v>4</v>
      </c>
      <c r="N11">
        <f t="shared" si="1"/>
        <v>4.0027397260273974</v>
      </c>
      <c r="O11" s="74">
        <v>45351</v>
      </c>
      <c r="Q11">
        <v>4</v>
      </c>
      <c r="R11">
        <v>4.0027397260273974</v>
      </c>
      <c r="S11" s="74">
        <v>45351</v>
      </c>
    </row>
    <row r="12" spans="2:19" x14ac:dyDescent="0.25">
      <c r="B12" s="72">
        <v>46023</v>
      </c>
      <c r="C12" s="4" t="s">
        <v>364</v>
      </c>
      <c r="D12" s="4">
        <v>30000</v>
      </c>
      <c r="F12" s="73">
        <f t="shared" si="0"/>
        <v>14915.302058948697</v>
      </c>
      <c r="G12" s="4" t="str">
        <f ca="1"/>
        <v>=D12/(1+$D$4)^RIGHT(C12)</v>
      </c>
      <c r="I12" s="49">
        <v>14909.591942420157</v>
      </c>
      <c r="J12" s="4" t="str">
        <f ca="1"/>
        <v/>
      </c>
      <c r="M12">
        <f>ROWS(M$7:M12)-1</f>
        <v>5</v>
      </c>
      <c r="N12">
        <f t="shared" si="1"/>
        <v>5.0027397260273974</v>
      </c>
      <c r="Q12">
        <v>5</v>
      </c>
      <c r="R12">
        <v>5.0027397260273974</v>
      </c>
    </row>
    <row r="13" spans="2:19" x14ac:dyDescent="0.25">
      <c r="F13" s="34">
        <f>SUM(F7:F12)</f>
        <v>605.74770486907619</v>
      </c>
      <c r="G13" s="4" t="str">
        <f ca="1"/>
        <v>=SUM(F7:F12)</v>
      </c>
      <c r="I13" s="34">
        <f>SUM(_xlfn.ANCHORARRAY(I7))</f>
        <v>593.47095433271534</v>
      </c>
      <c r="J13" s="4" t="str">
        <f ca="1"/>
        <v>=SUM(I7#)</v>
      </c>
    </row>
    <row r="15" spans="2:19" x14ac:dyDescent="0.25">
      <c r="E15" s="27" t="s">
        <v>9</v>
      </c>
      <c r="F15" s="49"/>
      <c r="G15" s="4" t="str" cm="1">
        <f t="array" aca="1" ref="G15:G17" ca="1">_xlfn.IFNA(_xlfn.FORMULATEXT(F15:F17),"")</f>
        <v/>
      </c>
      <c r="M15" s="75" t="str">
        <f>M11&amp;"*365:"</f>
        <v>4*365:</v>
      </c>
      <c r="N15" s="76">
        <f>M11*365</f>
        <v>1460</v>
      </c>
      <c r="O15" s="4" t="str">
        <f ca="1">_xlfn.FORMULATEXT(N15)</f>
        <v>=M11*365</v>
      </c>
    </row>
    <row r="16" spans="2:19" x14ac:dyDescent="0.25">
      <c r="E16" s="27" t="s">
        <v>256</v>
      </c>
      <c r="F16" s="49"/>
      <c r="G16" s="4" t="str">
        <f ca="1"/>
        <v/>
      </c>
    </row>
    <row r="17" spans="4:7" x14ac:dyDescent="0.25">
      <c r="D17" t="s">
        <v>395</v>
      </c>
      <c r="E17" s="27" t="s">
        <v>396</v>
      </c>
      <c r="F17" s="49"/>
      <c r="G17" s="4" t="str">
        <f ca="1"/>
        <v/>
      </c>
    </row>
  </sheetData>
  <mergeCells count="1">
    <mergeCell ref="B2:J2"/>
  </mergeCells>
  <pageMargins left="0.7" right="0.7" top="0.75" bottom="0.75" header="0.3" footer="0.3"/>
  <pageSetup orientation="portrait" r:id="rId1"/>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FAD09-9BCA-4D68-B4C1-1E2AD9A42202}">
  <sheetPr>
    <tabColor rgb="FFFF0000"/>
  </sheetPr>
  <dimension ref="B1:S17"/>
  <sheetViews>
    <sheetView showGridLines="0" zoomScale="111" zoomScaleNormal="111" workbookViewId="0"/>
  </sheetViews>
  <sheetFormatPr defaultColWidth="8.85546875" defaultRowHeight="15" x14ac:dyDescent="0.25"/>
  <cols>
    <col min="1" max="1" width="1.42578125" customWidth="1"/>
    <col min="4" max="4" width="10.7109375" bestFit="1" customWidth="1"/>
    <col min="5" max="5" width="10.140625" customWidth="1"/>
    <col min="6" max="6" width="14.42578125" bestFit="1" customWidth="1"/>
    <col min="7" max="7" width="25.140625" bestFit="1" customWidth="1"/>
    <col min="9" max="9" width="15" bestFit="1" customWidth="1"/>
    <col min="10" max="10" width="32.42578125" customWidth="1"/>
    <col min="12" max="12" width="2" customWidth="1"/>
    <col min="13" max="13" width="12.42578125" customWidth="1"/>
    <col min="14" max="14" width="19" customWidth="1"/>
    <col min="15" max="15" width="11.140625" customWidth="1"/>
    <col min="17" max="17" width="12.42578125" customWidth="1"/>
    <col min="18" max="18" width="19" customWidth="1"/>
  </cols>
  <sheetData>
    <row r="1" spans="2:19" ht="6" customHeight="1" x14ac:dyDescent="0.25"/>
    <row r="2" spans="2:19" ht="89.1" customHeight="1" x14ac:dyDescent="0.25">
      <c r="B2" s="86" t="s">
        <v>406</v>
      </c>
      <c r="C2" s="87"/>
      <c r="D2" s="87"/>
      <c r="E2" s="87"/>
      <c r="F2" s="87"/>
      <c r="G2" s="87"/>
      <c r="H2" s="87"/>
      <c r="I2" s="87"/>
      <c r="J2" s="88"/>
    </row>
    <row r="3" spans="2:19" ht="6" customHeight="1" x14ac:dyDescent="0.25"/>
    <row r="4" spans="2:19" x14ac:dyDescent="0.25">
      <c r="C4" s="69" t="s">
        <v>386</v>
      </c>
      <c r="D4" s="4">
        <v>0.15</v>
      </c>
      <c r="F4" s="1" t="s">
        <v>399</v>
      </c>
      <c r="M4" s="70" t="s">
        <v>397</v>
      </c>
      <c r="N4" s="70"/>
      <c r="Q4" s="70" t="s">
        <v>398</v>
      </c>
      <c r="R4" s="70"/>
    </row>
    <row r="5" spans="2:19" ht="6" customHeight="1" x14ac:dyDescent="0.25"/>
    <row r="6" spans="2:19" x14ac:dyDescent="0.25">
      <c r="B6" s="6" t="s">
        <v>387</v>
      </c>
      <c r="C6" s="6" t="s">
        <v>357</v>
      </c>
      <c r="D6" s="6" t="s">
        <v>388</v>
      </c>
      <c r="F6" s="71" t="s">
        <v>389</v>
      </c>
      <c r="G6" s="71" t="s">
        <v>390</v>
      </c>
      <c r="I6" s="6" t="s">
        <v>391</v>
      </c>
      <c r="J6" s="6" t="s">
        <v>390</v>
      </c>
      <c r="M6" s="71" t="s">
        <v>392</v>
      </c>
      <c r="N6" s="71" t="s">
        <v>393</v>
      </c>
      <c r="Q6" s="71" t="s">
        <v>392</v>
      </c>
      <c r="R6" s="71" t="s">
        <v>393</v>
      </c>
    </row>
    <row r="7" spans="2:19" x14ac:dyDescent="0.25">
      <c r="B7" s="72">
        <v>44197</v>
      </c>
      <c r="C7" s="4" t="s">
        <v>394</v>
      </c>
      <c r="D7" s="4">
        <v>-100000</v>
      </c>
      <c r="F7" s="73">
        <f>D7/(1+$D$4)^RIGHT(C7)</f>
        <v>-100000</v>
      </c>
      <c r="G7" s="4" t="str" cm="1">
        <f t="array" aca="1" ref="G7:G13" ca="1">_xlfn.IFNA(_xlfn.FORMULATEXT(F7:F13),"")</f>
        <v>=D7/(1+$D$4)^RIGHT(C7)</v>
      </c>
      <c r="I7" s="49" cm="1">
        <f t="array" ref="I7:I12">D7:D12/(1+D4)^((B7:B12-B7)/365)</f>
        <v>-100000</v>
      </c>
      <c r="J7" s="4" t="str" cm="1">
        <f t="array" aca="1" ref="J7:J13" ca="1">_xlfn.IFNA(_xlfn.FORMULATEXT(I7:I13),"")</f>
        <v>=D7:D12/(1+D4)^((B7:B12-B7)/365)</v>
      </c>
      <c r="M7">
        <f>ROWS(M$7:M7)-1</f>
        <v>0</v>
      </c>
      <c r="N7">
        <f>(B7-$B$7)/365</f>
        <v>0</v>
      </c>
      <c r="Q7" cm="1">
        <f t="array" ref="Q7:Q12">_xlfn.SEQUENCE(ROWS(D7:D12),,0)</f>
        <v>0</v>
      </c>
      <c r="R7" cm="1">
        <f t="array" ref="R7:R12">(B7:B12-B7)/365</f>
        <v>0</v>
      </c>
    </row>
    <row r="8" spans="2:19" x14ac:dyDescent="0.25">
      <c r="B8" s="72">
        <v>44562</v>
      </c>
      <c r="C8" s="4" t="s">
        <v>356</v>
      </c>
      <c r="D8" s="4">
        <v>55000</v>
      </c>
      <c r="F8" s="73">
        <f t="shared" ref="F8:F12" si="0">D8/(1+$D$4)^RIGHT(C8)</f>
        <v>47826.086956521744</v>
      </c>
      <c r="G8" s="4" t="str">
        <f ca="1"/>
        <v>=D8/(1+$D$4)^RIGHT(C8)</v>
      </c>
      <c r="I8" s="49">
        <v>47826.086956521744</v>
      </c>
      <c r="J8" s="4" t="str">
        <f ca="1"/>
        <v/>
      </c>
      <c r="M8">
        <f>ROWS(M$7:M8)-1</f>
        <v>1</v>
      </c>
      <c r="N8">
        <f t="shared" ref="N8:N12" si="1">(B8-$B$7)/365</f>
        <v>1</v>
      </c>
      <c r="Q8">
        <v>1</v>
      </c>
      <c r="R8">
        <v>1</v>
      </c>
    </row>
    <row r="9" spans="2:19" x14ac:dyDescent="0.25">
      <c r="B9" s="72">
        <v>44927</v>
      </c>
      <c r="C9" s="4" t="s">
        <v>358</v>
      </c>
      <c r="D9" s="4">
        <v>10000</v>
      </c>
      <c r="F9" s="73">
        <f t="shared" si="0"/>
        <v>7561.436672967865</v>
      </c>
      <c r="G9" s="4" t="str">
        <f ca="1"/>
        <v>=D9/(1+$D$4)^RIGHT(C9)</v>
      </c>
      <c r="I9" s="49">
        <v>7561.436672967865</v>
      </c>
      <c r="J9" s="4" t="str">
        <f ca="1"/>
        <v/>
      </c>
      <c r="M9">
        <f>ROWS(M$7:M9)-1</f>
        <v>2</v>
      </c>
      <c r="N9">
        <f t="shared" si="1"/>
        <v>2</v>
      </c>
      <c r="Q9">
        <v>2</v>
      </c>
      <c r="R9">
        <v>2</v>
      </c>
    </row>
    <row r="10" spans="2:19" x14ac:dyDescent="0.25">
      <c r="B10" s="72">
        <v>45292</v>
      </c>
      <c r="C10" s="4" t="s">
        <v>359</v>
      </c>
      <c r="D10" s="4">
        <v>20000</v>
      </c>
      <c r="F10" s="73">
        <f t="shared" si="0"/>
        <v>13150.324648639767</v>
      </c>
      <c r="G10" s="4" t="str">
        <f ca="1"/>
        <v>=D10/(1+$D$4)^RIGHT(C10)</v>
      </c>
      <c r="I10" s="49">
        <v>13150.324648639767</v>
      </c>
      <c r="J10" s="4" t="str">
        <f ca="1"/>
        <v/>
      </c>
      <c r="L10" s="74"/>
      <c r="M10">
        <f>ROWS(M$7:M10)-1</f>
        <v>3</v>
      </c>
      <c r="N10">
        <f t="shared" si="1"/>
        <v>3</v>
      </c>
      <c r="Q10">
        <v>3</v>
      </c>
      <c r="R10">
        <v>3</v>
      </c>
    </row>
    <row r="11" spans="2:19" x14ac:dyDescent="0.25">
      <c r="B11" s="72">
        <v>45658</v>
      </c>
      <c r="C11" s="4" t="s">
        <v>363</v>
      </c>
      <c r="D11" s="4">
        <v>30000</v>
      </c>
      <c r="F11" s="73">
        <f t="shared" si="0"/>
        <v>17152.597367791001</v>
      </c>
      <c r="G11" s="4" t="str">
        <f ca="1"/>
        <v>=D11/(1+$D$4)^RIGHT(C11)</v>
      </c>
      <c r="I11" s="49">
        <v>17146.03073378318</v>
      </c>
      <c r="J11" s="4" t="str">
        <f ca="1"/>
        <v/>
      </c>
      <c r="M11">
        <f>ROWS(M$7:M11)-1</f>
        <v>4</v>
      </c>
      <c r="N11">
        <f t="shared" si="1"/>
        <v>4.0027397260273974</v>
      </c>
      <c r="O11" s="74">
        <v>45351</v>
      </c>
      <c r="Q11">
        <v>4</v>
      </c>
      <c r="R11">
        <v>4.0027397260273974</v>
      </c>
      <c r="S11" s="74">
        <v>45351</v>
      </c>
    </row>
    <row r="12" spans="2:19" x14ac:dyDescent="0.25">
      <c r="B12" s="72">
        <v>46023</v>
      </c>
      <c r="C12" s="4" t="s">
        <v>364</v>
      </c>
      <c r="D12" s="4">
        <v>30000</v>
      </c>
      <c r="F12" s="73">
        <f t="shared" si="0"/>
        <v>14915.302058948697</v>
      </c>
      <c r="G12" s="4" t="str">
        <f ca="1"/>
        <v>=D12/(1+$D$4)^RIGHT(C12)</v>
      </c>
      <c r="I12" s="49">
        <v>14909.591942420157</v>
      </c>
      <c r="J12" s="4" t="str">
        <f ca="1"/>
        <v/>
      </c>
      <c r="M12">
        <f>ROWS(M$7:M12)-1</f>
        <v>5</v>
      </c>
      <c r="N12">
        <f t="shared" si="1"/>
        <v>5.0027397260273974</v>
      </c>
      <c r="Q12">
        <v>5</v>
      </c>
      <c r="R12">
        <v>5.0027397260273974</v>
      </c>
    </row>
    <row r="13" spans="2:19" x14ac:dyDescent="0.25">
      <c r="F13" s="34">
        <f>SUM(F7:F12)</f>
        <v>605.74770486907619</v>
      </c>
      <c r="G13" s="4" t="str">
        <f ca="1"/>
        <v>=SUM(F7:F12)</v>
      </c>
      <c r="I13" s="34">
        <f>SUM(_xlfn.ANCHORARRAY(I7))</f>
        <v>593.47095433271534</v>
      </c>
      <c r="J13" s="4" t="str">
        <f ca="1"/>
        <v>=SUM(I7#)</v>
      </c>
    </row>
    <row r="15" spans="2:19" x14ac:dyDescent="0.25">
      <c r="E15" s="27" t="s">
        <v>9</v>
      </c>
      <c r="F15" s="49">
        <f>NPV(D4,D8:D12)+D7</f>
        <v>605.74770486906345</v>
      </c>
      <c r="G15" s="4" t="str" cm="1">
        <f t="array" aca="1" ref="G15:G17" ca="1">_xlfn.IFNA(_xlfn.FORMULATEXT(F15:F17),"")</f>
        <v>=NPV(D4,D8:D12)+D7</v>
      </c>
      <c r="M15" s="75" t="str">
        <f>M11&amp;"*365:"</f>
        <v>4*365:</v>
      </c>
      <c r="N15" s="76">
        <f>M11*365</f>
        <v>1460</v>
      </c>
      <c r="O15" s="4" t="str">
        <f ca="1">_xlfn.FORMULATEXT(N15)</f>
        <v>=M11*365</v>
      </c>
    </row>
    <row r="16" spans="2:19" x14ac:dyDescent="0.25">
      <c r="E16" s="27" t="s">
        <v>256</v>
      </c>
      <c r="F16" s="49">
        <f>XNPV(D4,D7:D12,B7:B12)</f>
        <v>593.47095433271534</v>
      </c>
      <c r="G16" s="4" t="str">
        <f ca="1"/>
        <v>=XNPV(D4,D7:D12,B7:B12)</v>
      </c>
    </row>
    <row r="17" spans="4:7" x14ac:dyDescent="0.25">
      <c r="D17" t="s">
        <v>395</v>
      </c>
      <c r="E17" s="27" t="s">
        <v>396</v>
      </c>
      <c r="F17" s="49">
        <f>NPV-XNPV</f>
        <v>12.276750536348118</v>
      </c>
      <c r="G17" s="4" t="str">
        <f ca="1"/>
        <v>=NPV-XNPV</v>
      </c>
    </row>
  </sheetData>
  <mergeCells count="1">
    <mergeCell ref="B2:J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4</vt:i4>
      </vt:variant>
    </vt:vector>
  </HeadingPairs>
  <TitlesOfParts>
    <vt:vector size="53" baseType="lpstr">
      <vt:lpstr>VisiCalc</vt:lpstr>
      <vt:lpstr>WorksheetFinancialFunctions</vt:lpstr>
      <vt:lpstr>DAXFinancialFunctions</vt:lpstr>
      <vt:lpstr>Ch21(1)</vt:lpstr>
      <vt:lpstr>Ch21(2)</vt:lpstr>
      <vt:lpstr>Ch21(3)</vt:lpstr>
      <vt:lpstr>Ch21(4)</vt:lpstr>
      <vt:lpstr>Ch21(4an)</vt:lpstr>
      <vt:lpstr>Ch21(5)</vt:lpstr>
      <vt:lpstr>Ch21(5an)</vt:lpstr>
      <vt:lpstr>Ch21(6)</vt:lpstr>
      <vt:lpstr>Ch21(6an)</vt:lpstr>
      <vt:lpstr>Ch21(7)</vt:lpstr>
      <vt:lpstr>Ch21(7an)</vt:lpstr>
      <vt:lpstr>Ch21(8)</vt:lpstr>
      <vt:lpstr>Ch21(8an)</vt:lpstr>
      <vt:lpstr>Ch21(9)</vt:lpstr>
      <vt:lpstr>Ch21(9an)</vt:lpstr>
      <vt:lpstr>Ch21(10)</vt:lpstr>
      <vt:lpstr>Ch21(10an)</vt:lpstr>
      <vt:lpstr>Ch21(11)</vt:lpstr>
      <vt:lpstr>Ch21(11an)</vt:lpstr>
      <vt:lpstr>Ch21(12)</vt:lpstr>
      <vt:lpstr>Ch21(12an)</vt:lpstr>
      <vt:lpstr>Ch21(13)</vt:lpstr>
      <vt:lpstr>Ch21(13an)</vt:lpstr>
      <vt:lpstr>Ch21(14)</vt:lpstr>
      <vt:lpstr>Ch21(14an)</vt:lpstr>
      <vt:lpstr>Practice Problems ==&gt;</vt:lpstr>
      <vt:lpstr>PPCh21(1)</vt:lpstr>
      <vt:lpstr>PPCh21(1an)</vt:lpstr>
      <vt:lpstr>PPCh21(2)</vt:lpstr>
      <vt:lpstr>PPCh21(2an)</vt:lpstr>
      <vt:lpstr>PPCh21(3)</vt:lpstr>
      <vt:lpstr>PPCh21(3an)</vt:lpstr>
      <vt:lpstr>PPCh21(4)</vt:lpstr>
      <vt:lpstr>PPCh21(4an)</vt:lpstr>
      <vt:lpstr>PPCh21(5)</vt:lpstr>
      <vt:lpstr>PPCh21(5an)</vt:lpstr>
      <vt:lpstr>PPCh21(6)</vt:lpstr>
      <vt:lpstr>PPCh21(6an)</vt:lpstr>
      <vt:lpstr>PPCh21(7)</vt:lpstr>
      <vt:lpstr>PPCh21(7an)</vt:lpstr>
      <vt:lpstr>PPCh21(8)</vt:lpstr>
      <vt:lpstr>PPCh21(8an)</vt:lpstr>
      <vt:lpstr>PPCh21(9)</vt:lpstr>
      <vt:lpstr>PPCh21(9an)</vt:lpstr>
      <vt:lpstr>PPCh21(10)</vt:lpstr>
      <vt:lpstr>PPCh21(10an)</vt:lpstr>
      <vt:lpstr>'PPCh21(10)'!NPV</vt:lpstr>
      <vt:lpstr>'PPCh21(10an)'!NPV</vt:lpstr>
      <vt:lpstr>'PPCh21(10)'!XNPV</vt:lpstr>
      <vt:lpstr>'PPCh21(10an)'!XNPV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Girvin, Michael</dc:creator>
  <cp:lastModifiedBy>Girvin, Michael</cp:lastModifiedBy>
  <dcterms:created xsi:type="dcterms:W3CDTF">2015-06-05T18:17:20Z</dcterms:created>
  <dcterms:modified xsi:type="dcterms:W3CDTF">2022-02-28T21:38:05Z</dcterms:modified>
</cp:coreProperties>
</file>