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2 Master\3 python\Ammonia\1 LCOA\"/>
    </mc:Choice>
  </mc:AlternateContent>
  <xr:revisionPtr revIDLastSave="0" documentId="13_ncr:1_{D95191D3-1D5C-492E-9D73-AFFF131FAC41}" xr6:coauthVersionLast="47" xr6:coauthVersionMax="47" xr10:uidLastSave="{00000000-0000-0000-0000-000000000000}"/>
  <bookViews>
    <workbookView xWindow="-110" yWindow="-110" windowWidth="19420" windowHeight="10420" firstSheet="2" activeTab="15" xr2:uid="{00000000-000D-0000-FFFF-FFFF00000000}"/>
  </bookViews>
  <sheets>
    <sheet name="CG" sheetId="50" r:id="rId1"/>
    <sheet name="CG_CCS" sheetId="11" r:id="rId2"/>
    <sheet name="SMR" sheetId="12" r:id="rId3"/>
    <sheet name="SMR_CCS" sheetId="44" r:id="rId4"/>
    <sheet name="PV" sheetId="21" r:id="rId5"/>
    <sheet name="Wind" sheetId="68" r:id="rId6"/>
    <sheet name="Cost" sheetId="65" r:id="rId7"/>
    <sheet name="Cost(1)" sheetId="74" state="hidden" r:id="rId8"/>
    <sheet name="Exchange Rate" sheetId="2" r:id="rId9"/>
    <sheet name="Province" sheetId="37" r:id="rId10"/>
    <sheet name="Sheet5" sheetId="76" state="hidden" r:id="rId11"/>
    <sheet name="Sheet6" sheetId="75" state="hidden" r:id="rId12"/>
    <sheet name="Sheet1" sheetId="70" state="hidden" r:id="rId13"/>
    <sheet name="Sheet2" sheetId="71" state="hidden" r:id="rId14"/>
    <sheet name="Sheet3" sheetId="72" state="hidden" r:id="rId15"/>
    <sheet name="Ammonia_Comparison" sheetId="8" r:id="rId16"/>
    <sheet name="LCOE_20-50_comparison" sheetId="69" state="hidden" r:id="rId17"/>
  </sheets>
  <definedNames>
    <definedName name="_xlnm._FilterDatabase" localSheetId="8" hidden="1">'Exchange Rate'!$J$2:$K$21</definedName>
    <definedName name="_xlnm._FilterDatabase" localSheetId="9" hidden="1">Province!$A$2:$I$37</definedName>
    <definedName name="_xlnm._FilterDatabase" localSheetId="12" hidden="1">Sheet1!$B$1:$D$30</definedName>
    <definedName name="_xlnm._FilterDatabase" localSheetId="13" hidden="1">Sheet2!$B$1:$D$30</definedName>
    <definedName name="_xlnm._FilterDatabase" localSheetId="14" hidden="1">Sheet3!$B$1:$D$30</definedName>
    <definedName name="_xlnm._FilterDatabase" localSheetId="10" hidden="1">Sheet5!$A$1:$B$32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28" i="2"/>
  <c r="G62" i="12"/>
  <c r="C28" i="50" l="1"/>
  <c r="C27" i="50"/>
  <c r="C8" i="21" l="1"/>
  <c r="C7" i="21"/>
  <c r="E10" i="65"/>
  <c r="C6" i="69"/>
  <c r="D6" i="69"/>
  <c r="E6" i="69"/>
  <c r="F6" i="69"/>
  <c r="B17" i="69"/>
  <c r="B18" i="69" s="1"/>
  <c r="B19" i="69" s="1"/>
  <c r="C17" i="69"/>
  <c r="D17" i="69"/>
  <c r="D18" i="69" s="1"/>
  <c r="D19" i="69" s="1"/>
  <c r="E17" i="69"/>
  <c r="C18" i="69"/>
  <c r="C19" i="69" s="1"/>
  <c r="E18" i="69"/>
  <c r="E19" i="69" s="1"/>
  <c r="C31" i="11" l="1"/>
  <c r="C18" i="50"/>
  <c r="I8" i="2" l="1"/>
  <c r="C8" i="68"/>
  <c r="C7" i="68"/>
  <c r="E5" i="65"/>
  <c r="N4" i="65"/>
  <c r="M4" i="65"/>
  <c r="L4" i="65"/>
  <c r="K4" i="65"/>
  <c r="J4" i="65"/>
  <c r="I4" i="65"/>
  <c r="H4" i="65"/>
  <c r="G4" i="65"/>
  <c r="F4" i="65"/>
  <c r="E4" i="65" s="1"/>
  <c r="G82" i="44" l="1"/>
  <c r="G75" i="11" l="1"/>
  <c r="H34" i="37"/>
  <c r="I34" i="37"/>
  <c r="C3" i="21"/>
  <c r="C124" i="68"/>
  <c r="C124" i="21"/>
  <c r="C58" i="50"/>
  <c r="E51" i="12"/>
  <c r="G51" i="12"/>
  <c r="E52" i="12"/>
  <c r="G52" i="12" s="1"/>
  <c r="G53" i="12"/>
  <c r="G54" i="12"/>
  <c r="C55" i="12"/>
  <c r="G55" i="12"/>
  <c r="C56" i="12"/>
  <c r="G56" i="12"/>
  <c r="C57" i="12"/>
  <c r="G57" i="12" s="1"/>
  <c r="C58" i="12"/>
  <c r="G58" i="12"/>
  <c r="C59" i="12"/>
  <c r="G59" i="12"/>
  <c r="C60" i="12"/>
  <c r="G60" i="12"/>
  <c r="C61" i="12"/>
  <c r="G61" i="12" s="1"/>
  <c r="G81" i="44" l="1"/>
  <c r="C80" i="44"/>
  <c r="G80" i="44" s="1"/>
  <c r="G78" i="44"/>
  <c r="G79" i="44"/>
  <c r="C77" i="44"/>
  <c r="G77" i="44" s="1"/>
  <c r="C76" i="44"/>
  <c r="G76" i="44" s="1"/>
  <c r="C75" i="44"/>
  <c r="G75" i="44" s="1"/>
  <c r="C74" i="44"/>
  <c r="G74" i="44" s="1"/>
  <c r="C73" i="44"/>
  <c r="G73" i="44" s="1"/>
  <c r="C72" i="44"/>
  <c r="G72" i="44" s="1"/>
  <c r="C71" i="44"/>
  <c r="G71" i="44" s="1"/>
  <c r="G70" i="44"/>
  <c r="G69" i="44"/>
  <c r="E68" i="44"/>
  <c r="G68" i="44" s="1"/>
  <c r="E67" i="44"/>
  <c r="G67" i="44" s="1"/>
  <c r="C34" i="44"/>
  <c r="C33" i="44"/>
  <c r="C32" i="44"/>
  <c r="D34" i="37"/>
  <c r="E34" i="37"/>
  <c r="F34" i="37"/>
  <c r="G34" i="37"/>
  <c r="C34" i="37"/>
  <c r="E74" i="11"/>
  <c r="G74" i="11" s="1"/>
  <c r="C73" i="11"/>
  <c r="G73" i="11" s="1"/>
  <c r="G71" i="11"/>
  <c r="G72" i="11"/>
  <c r="C70" i="11"/>
  <c r="G70" i="11" s="1"/>
  <c r="G69" i="11"/>
  <c r="G68" i="11"/>
  <c r="G67" i="11"/>
  <c r="C66" i="11"/>
  <c r="G66" i="11" s="1"/>
  <c r="G65" i="11"/>
  <c r="G64" i="11"/>
  <c r="G63" i="11"/>
  <c r="E62" i="11"/>
  <c r="G62" i="11" s="1"/>
  <c r="E61" i="11"/>
  <c r="G61" i="11" s="1"/>
  <c r="C33" i="11" l="1"/>
  <c r="C32" i="11"/>
  <c r="F24" i="65" l="1"/>
  <c r="E24" i="65" s="1"/>
  <c r="E50" i="50" l="1"/>
  <c r="E49" i="50"/>
  <c r="L10" i="65" l="1"/>
  <c r="H10" i="65"/>
  <c r="C19" i="50"/>
  <c r="M26" i="65"/>
  <c r="K26" i="65"/>
  <c r="F26" i="65"/>
  <c r="E26" i="65" s="1"/>
  <c r="N25" i="65"/>
  <c r="L25" i="65"/>
  <c r="J25" i="65"/>
  <c r="I25" i="65"/>
  <c r="H25" i="65"/>
  <c r="G25" i="65"/>
  <c r="M24" i="65"/>
  <c r="K24" i="65"/>
  <c r="M23" i="65"/>
  <c r="K23" i="65"/>
  <c r="F23" i="65"/>
  <c r="N22" i="65"/>
  <c r="L22" i="65"/>
  <c r="J22" i="65"/>
  <c r="I22" i="65"/>
  <c r="H22" i="65"/>
  <c r="G22" i="65"/>
  <c r="M21" i="65"/>
  <c r="K21" i="65"/>
  <c r="F21" i="65"/>
  <c r="E21" i="65" s="1"/>
  <c r="M20" i="65"/>
  <c r="K20" i="65"/>
  <c r="F20" i="65"/>
  <c r="E20" i="65" s="1"/>
  <c r="N19" i="65"/>
  <c r="L19" i="65"/>
  <c r="J19" i="65"/>
  <c r="I19" i="65"/>
  <c r="H19" i="65"/>
  <c r="G19" i="65"/>
  <c r="M18" i="65"/>
  <c r="K18" i="65"/>
  <c r="F18" i="65"/>
  <c r="F19" i="65" s="1"/>
  <c r="M8" i="65"/>
  <c r="K8" i="65"/>
  <c r="I8" i="65"/>
  <c r="G8" i="65"/>
  <c r="E8" i="65" s="1"/>
  <c r="L6" i="65"/>
  <c r="L7" i="65" s="1"/>
  <c r="H6" i="65"/>
  <c r="F6" i="65"/>
  <c r="F7" i="65" s="1"/>
  <c r="M22" i="65" l="1"/>
  <c r="M19" i="65"/>
  <c r="K10" i="65"/>
  <c r="N6" i="65"/>
  <c r="N7" i="65" s="1"/>
  <c r="F22" i="65"/>
  <c r="E22" i="65" s="1"/>
  <c r="G6" i="65"/>
  <c r="G7" i="65" s="1"/>
  <c r="E7" i="65" s="1"/>
  <c r="C3" i="68" s="1"/>
  <c r="K19" i="65"/>
  <c r="F25" i="65"/>
  <c r="M25" i="65"/>
  <c r="K25" i="65"/>
  <c r="N10" i="65"/>
  <c r="M6" i="65"/>
  <c r="M7" i="65" s="1"/>
  <c r="E18" i="65"/>
  <c r="K22" i="65"/>
  <c r="E6" i="65"/>
  <c r="E19" i="65"/>
  <c r="E23" i="65"/>
  <c r="F10" i="65"/>
  <c r="J10" i="65"/>
  <c r="I6" i="65"/>
  <c r="I7" i="65" s="1"/>
  <c r="J6" i="65"/>
  <c r="J7" i="65" s="1"/>
  <c r="K6" i="65"/>
  <c r="K7" i="65" s="1"/>
  <c r="H7" i="65"/>
  <c r="E25" i="65" l="1"/>
  <c r="I10" i="65"/>
  <c r="G10" i="65"/>
  <c r="M10" i="65"/>
  <c r="C4" i="21" l="1"/>
  <c r="C4" i="68"/>
  <c r="C22" i="50" l="1"/>
  <c r="C25" i="11"/>
  <c r="C24" i="11"/>
  <c r="G58" i="50" l="1"/>
  <c r="G57" i="50"/>
  <c r="C55" i="50"/>
  <c r="G55" i="50" s="1"/>
  <c r="G56" i="50"/>
  <c r="G52" i="50"/>
  <c r="G54" i="50"/>
  <c r="G53" i="50"/>
  <c r="G51" i="50"/>
  <c r="G50" i="50"/>
  <c r="G49" i="50"/>
  <c r="C26" i="50"/>
  <c r="C25" i="50"/>
  <c r="C24" i="50"/>
  <c r="C23" i="50"/>
  <c r="C21" i="50"/>
  <c r="C20" i="50"/>
  <c r="C8" i="44" l="1"/>
  <c r="C31" i="44"/>
  <c r="C30" i="44"/>
  <c r="C29" i="44"/>
  <c r="C28" i="44"/>
  <c r="C27" i="44"/>
  <c r="C26" i="44"/>
  <c r="C25" i="44"/>
  <c r="C23" i="44"/>
  <c r="C22" i="44"/>
  <c r="C21" i="44"/>
  <c r="C24" i="44" l="1"/>
  <c r="K13" i="8" l="1"/>
  <c r="J13" i="8"/>
  <c r="G11" i="8" l="1"/>
  <c r="J23" i="8" l="1"/>
  <c r="I19" i="8"/>
  <c r="G19" i="8"/>
  <c r="K17" i="8"/>
  <c r="G12" i="8"/>
  <c r="G13" i="8" s="1"/>
  <c r="C22" i="11" l="1"/>
  <c r="C23" i="11"/>
  <c r="C26" i="11"/>
  <c r="C27" i="11"/>
  <c r="C28" i="11"/>
  <c r="C29" i="11"/>
  <c r="C30" i="11"/>
  <c r="C21" i="11"/>
  <c r="C19" i="12" l="1"/>
  <c r="C20" i="12"/>
  <c r="C21" i="12"/>
  <c r="C22" i="12"/>
  <c r="C23" i="12"/>
  <c r="C24" i="12"/>
  <c r="C25" i="12"/>
  <c r="C26" i="12"/>
  <c r="C27" i="12"/>
  <c r="C28" i="12"/>
  <c r="C18" i="12"/>
  <c r="F6" i="8" l="1"/>
  <c r="G6" i="8"/>
  <c r="H6" i="8"/>
  <c r="I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sqh</author>
  </authors>
  <commentList>
    <comment ref="C2" authorId="0" shapeId="0" xr:uid="{A3445325-C5C1-4C3F-8243-548C60CFE896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文献中CAPEX成本对应1年20万吨CG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sqh</author>
  </authors>
  <commentList>
    <comment ref="C2" authorId="0" shapeId="0" xr:uid="{5C27D818-4A32-4B26-BADC-FF1E682CBCDB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文献中CAPEX成本对应1年20万吨CG</t>
        </r>
      </text>
    </comment>
  </commentList>
</comments>
</file>

<file path=xl/sharedStrings.xml><?xml version="1.0" encoding="utf-8"?>
<sst xmlns="http://schemas.openxmlformats.org/spreadsheetml/2006/main" count="1210" uniqueCount="389">
  <si>
    <t>Reference</t>
    <phoneticPr fontId="1" type="noConversion"/>
  </si>
  <si>
    <t>Total ($)</t>
    <phoneticPr fontId="1" type="noConversion"/>
  </si>
  <si>
    <t>Haber-Bosch loop</t>
  </si>
  <si>
    <t>Cost</t>
    <phoneticPr fontId="1" type="noConversion"/>
  </si>
  <si>
    <t>Unit</t>
    <phoneticPr fontId="1" type="noConversion"/>
  </si>
  <si>
    <t>Input</t>
    <phoneticPr fontId="1" type="noConversion"/>
  </si>
  <si>
    <t xml:space="preserve">NH3 synthesis catalyst </t>
  </si>
  <si>
    <t>m3</t>
    <phoneticPr fontId="1" type="noConversion"/>
  </si>
  <si>
    <t>kg</t>
    <phoneticPr fontId="1" type="noConversion"/>
  </si>
  <si>
    <t>RMB 2018</t>
    <phoneticPr fontId="1" type="noConversion"/>
  </si>
  <si>
    <t>Total (RMB)</t>
    <phoneticPr fontId="1" type="noConversion"/>
  </si>
  <si>
    <t>RMB/USD</t>
    <phoneticPr fontId="1" type="noConversion"/>
  </si>
  <si>
    <r>
      <t>2012</t>
    </r>
    <r>
      <rPr>
        <sz val="10"/>
        <color theme="1"/>
        <rFont val="宋体"/>
        <family val="1"/>
        <charset val="134"/>
      </rPr>
      <t>年</t>
    </r>
    <phoneticPr fontId="1" type="noConversion"/>
  </si>
  <si>
    <r>
      <t>2013</t>
    </r>
    <r>
      <rPr>
        <sz val="10"/>
        <color theme="1"/>
        <rFont val="宋体"/>
        <family val="1"/>
        <charset val="134"/>
      </rPr>
      <t>年</t>
    </r>
    <phoneticPr fontId="1" type="noConversion"/>
  </si>
  <si>
    <r>
      <t>2014年</t>
    </r>
    <r>
      <rPr>
        <sz val="10"/>
        <color theme="1"/>
        <rFont val="宋体"/>
        <family val="1"/>
        <charset val="134"/>
      </rPr>
      <t/>
    </r>
  </si>
  <si>
    <r>
      <t>2015年</t>
    </r>
    <r>
      <rPr>
        <sz val="10"/>
        <color theme="1"/>
        <rFont val="宋体"/>
        <family val="1"/>
        <charset val="134"/>
      </rPr>
      <t/>
    </r>
  </si>
  <si>
    <r>
      <t>2016年</t>
    </r>
    <r>
      <rPr>
        <sz val="10"/>
        <color theme="1"/>
        <rFont val="宋体"/>
        <family val="1"/>
        <charset val="134"/>
      </rPr>
      <t/>
    </r>
  </si>
  <si>
    <r>
      <t>2017年</t>
    </r>
    <r>
      <rPr>
        <sz val="10"/>
        <color theme="1"/>
        <rFont val="宋体"/>
        <family val="1"/>
        <charset val="134"/>
      </rPr>
      <t/>
    </r>
  </si>
  <si>
    <r>
      <t>2018年</t>
    </r>
    <r>
      <rPr>
        <sz val="10"/>
        <color theme="1"/>
        <rFont val="宋体"/>
        <family val="1"/>
        <charset val="134"/>
      </rPr>
      <t/>
    </r>
  </si>
  <si>
    <r>
      <t>2019年</t>
    </r>
    <r>
      <rPr>
        <sz val="10"/>
        <color theme="1"/>
        <rFont val="宋体"/>
        <family val="1"/>
        <charset val="134"/>
      </rPr>
      <t/>
    </r>
  </si>
  <si>
    <r>
      <t>2020年</t>
    </r>
    <r>
      <rPr>
        <sz val="10"/>
        <color theme="1"/>
        <rFont val="宋体"/>
        <family val="1"/>
        <charset val="134"/>
      </rPr>
      <t/>
    </r>
  </si>
  <si>
    <r>
      <t>2021年</t>
    </r>
    <r>
      <rPr>
        <sz val="10"/>
        <color theme="1"/>
        <rFont val="宋体"/>
        <family val="1"/>
        <charset val="134"/>
      </rPr>
      <t/>
    </r>
  </si>
  <si>
    <r>
      <t>2022年</t>
    </r>
    <r>
      <rPr>
        <sz val="10"/>
        <color theme="1"/>
        <rFont val="宋体"/>
        <family val="1"/>
        <charset val="134"/>
      </rPr>
      <t/>
    </r>
  </si>
  <si>
    <t>RMB/RMB_1978</t>
    <phoneticPr fontId="1" type="noConversion"/>
  </si>
  <si>
    <r>
      <t>2003</t>
    </r>
    <r>
      <rPr>
        <sz val="10"/>
        <color theme="1"/>
        <rFont val="宋体"/>
        <family val="1"/>
        <charset val="134"/>
      </rPr>
      <t>年</t>
    </r>
    <phoneticPr fontId="1" type="noConversion"/>
  </si>
  <si>
    <r>
      <t>2004年</t>
    </r>
    <r>
      <rPr>
        <sz val="10"/>
        <color theme="1"/>
        <rFont val="宋体"/>
        <family val="1"/>
        <charset val="134"/>
      </rPr>
      <t/>
    </r>
  </si>
  <si>
    <r>
      <t>2005年</t>
    </r>
    <r>
      <rPr>
        <sz val="10"/>
        <color theme="1"/>
        <rFont val="宋体"/>
        <family val="1"/>
        <charset val="134"/>
      </rPr>
      <t/>
    </r>
  </si>
  <si>
    <r>
      <t>2006年</t>
    </r>
    <r>
      <rPr>
        <sz val="10"/>
        <color theme="1"/>
        <rFont val="宋体"/>
        <family val="1"/>
        <charset val="134"/>
      </rPr>
      <t/>
    </r>
  </si>
  <si>
    <r>
      <t>2007年</t>
    </r>
    <r>
      <rPr>
        <sz val="10"/>
        <color theme="1"/>
        <rFont val="宋体"/>
        <family val="1"/>
        <charset val="134"/>
      </rPr>
      <t/>
    </r>
  </si>
  <si>
    <r>
      <t>2008年</t>
    </r>
    <r>
      <rPr>
        <sz val="10"/>
        <color theme="1"/>
        <rFont val="宋体"/>
        <family val="1"/>
        <charset val="134"/>
      </rPr>
      <t/>
    </r>
  </si>
  <si>
    <r>
      <t>2009年</t>
    </r>
    <r>
      <rPr>
        <sz val="10"/>
        <color theme="1"/>
        <rFont val="宋体"/>
        <family val="1"/>
        <charset val="134"/>
      </rPr>
      <t/>
    </r>
  </si>
  <si>
    <r>
      <t>2010年</t>
    </r>
    <r>
      <rPr>
        <sz val="10"/>
        <color theme="1"/>
        <rFont val="宋体"/>
        <family val="1"/>
        <charset val="134"/>
      </rPr>
      <t/>
    </r>
  </si>
  <si>
    <r>
      <t>2011年</t>
    </r>
    <r>
      <rPr>
        <sz val="10"/>
        <color theme="1"/>
        <rFont val="宋体"/>
        <family val="1"/>
        <charset val="134"/>
      </rPr>
      <t/>
    </r>
  </si>
  <si>
    <t>RMB/m3</t>
    <phoneticPr fontId="1" type="noConversion"/>
  </si>
  <si>
    <t>Unit total</t>
    <phoneticPr fontId="1" type="noConversion"/>
  </si>
  <si>
    <t>RMB/kg</t>
    <phoneticPr fontId="1" type="noConversion"/>
  </si>
  <si>
    <t>Air separation by cryogenic distillation</t>
  </si>
  <si>
    <t>PV</t>
    <phoneticPr fontId="1" type="noConversion"/>
  </si>
  <si>
    <t>USD 2020</t>
    <phoneticPr fontId="1" type="noConversion"/>
  </si>
  <si>
    <t>Capacity Factor</t>
  </si>
  <si>
    <t>RMB/kWh</t>
    <phoneticPr fontId="1" type="noConversion"/>
  </si>
  <si>
    <t>kWh</t>
    <phoneticPr fontId="1" type="noConversion"/>
  </si>
  <si>
    <t>Deionised water</t>
    <phoneticPr fontId="1" type="noConversion"/>
  </si>
  <si>
    <t>CG</t>
    <phoneticPr fontId="1" type="noConversion"/>
  </si>
  <si>
    <t>CG+CCS</t>
    <phoneticPr fontId="1" type="noConversion"/>
  </si>
  <si>
    <t>SMR</t>
    <phoneticPr fontId="1" type="noConversion"/>
  </si>
  <si>
    <t>SMR+CCS</t>
    <phoneticPr fontId="1" type="noConversion"/>
  </si>
  <si>
    <t>RMB</t>
    <phoneticPr fontId="1" type="noConversion"/>
  </si>
  <si>
    <t>Unit</t>
    <phoneticPr fontId="1" type="noConversion"/>
  </si>
  <si>
    <t>USD 2020</t>
    <phoneticPr fontId="1" type="noConversion"/>
  </si>
  <si>
    <t>IEA, 2021, Ammonia Technology
Roadmap</t>
    <phoneticPr fontId="1" type="noConversion"/>
  </si>
  <si>
    <t>RMB 2018</t>
    <phoneticPr fontId="1" type="noConversion"/>
  </si>
  <si>
    <t>0.25-0.5</t>
    <phoneticPr fontId="1" type="noConversion"/>
  </si>
  <si>
    <t>1.59-3.18</t>
    <phoneticPr fontId="1" type="noConversion"/>
  </si>
  <si>
    <t>USD 2016</t>
    <phoneticPr fontId="1" type="noConversion"/>
  </si>
  <si>
    <t>0.313-0.372</t>
    <phoneticPr fontId="1" type="noConversion"/>
  </si>
  <si>
    <t>RMB/EUR</t>
    <phoneticPr fontId="1" type="noConversion"/>
  </si>
  <si>
    <t>Lee et al., 2022, ACS Energy Letters</t>
    <phoneticPr fontId="1" type="noConversion"/>
  </si>
  <si>
    <t>Cost (RMB)</t>
    <phoneticPr fontId="1" type="noConversion"/>
  </si>
  <si>
    <t>Gasification</t>
  </si>
  <si>
    <t>Air separation unit</t>
  </si>
  <si>
    <t>Compression</t>
  </si>
  <si>
    <t>Coal fired boiler</t>
  </si>
  <si>
    <t>Raw material &amp; product storage</t>
  </si>
  <si>
    <t>Contingency charge</t>
  </si>
  <si>
    <t>Steam generation related</t>
  </si>
  <si>
    <t>Wastewater treatment</t>
  </si>
  <si>
    <t>Control room &amp; other buildings</t>
  </si>
  <si>
    <t>AUD 2013</t>
    <phoneticPr fontId="1" type="noConversion"/>
  </si>
  <si>
    <t>RMB/AUD</t>
    <phoneticPr fontId="1" type="noConversion"/>
  </si>
  <si>
    <t>Cost (A$)</t>
    <phoneticPr fontId="1" type="noConversion"/>
  </si>
  <si>
    <t>Other Equipment</t>
    <phoneticPr fontId="1" type="noConversion"/>
  </si>
  <si>
    <t>Contingency charge</t>
    <phoneticPr fontId="1" type="noConversion"/>
  </si>
  <si>
    <t>Other equipment</t>
    <phoneticPr fontId="1" type="noConversion"/>
  </si>
  <si>
    <t>SR with Pre-Reformer</t>
  </si>
  <si>
    <t>ATR with HE &amp; Compressor</t>
    <phoneticPr fontId="1" type="noConversion"/>
  </si>
  <si>
    <t>Syngas Coolers</t>
  </si>
  <si>
    <t>Water-Gas-Shift Reactors</t>
    <phoneticPr fontId="1" type="noConversion"/>
  </si>
  <si>
    <t>Absorption Unit (MDEA)</t>
    <phoneticPr fontId="1" type="noConversion"/>
  </si>
  <si>
    <t>Methanation Unit</t>
  </si>
  <si>
    <t>Air Blower</t>
  </si>
  <si>
    <t>Ammonia Unit</t>
    <phoneticPr fontId="1" type="noConversion"/>
  </si>
  <si>
    <t>Steam Turbines</t>
  </si>
  <si>
    <t>Cooling Plant</t>
  </si>
  <si>
    <t>Electric, Control &amp; Piping</t>
    <phoneticPr fontId="1" type="noConversion"/>
  </si>
  <si>
    <t>Lee Pereira et al., 2020, Applied Energy</t>
  </si>
  <si>
    <t>Lee Pereira et al., 2020, Applied Energy</t>
    <phoneticPr fontId="1" type="noConversion"/>
  </si>
  <si>
    <t>Chemical engineering plant cost</t>
    <phoneticPr fontId="1" type="noConversion"/>
  </si>
  <si>
    <t>The Chemical Engineering Plant Cost Index - Chemical Engineering (chemengonline.com)</t>
  </si>
  <si>
    <t>Air Blower</t>
    <phoneticPr fontId="1" type="noConversion"/>
  </si>
  <si>
    <t>RMB</t>
    <phoneticPr fontId="1" type="noConversion"/>
  </si>
  <si>
    <t>Wind</t>
    <phoneticPr fontId="1" type="noConversion"/>
  </si>
  <si>
    <t>Tianjin</t>
  </si>
  <si>
    <t>Shanxi</t>
  </si>
  <si>
    <t>Inner Mongolia</t>
  </si>
  <si>
    <t>Liaoning</t>
  </si>
  <si>
    <t>Heilongjiang</t>
  </si>
  <si>
    <t>Shanghai</t>
  </si>
  <si>
    <t>Jiangsu</t>
  </si>
  <si>
    <t>Zhejiang</t>
  </si>
  <si>
    <t>Anhui</t>
  </si>
  <si>
    <t>Fujian</t>
  </si>
  <si>
    <t>Jiangxi</t>
  </si>
  <si>
    <t>Henan</t>
  </si>
  <si>
    <t>Hubei</t>
  </si>
  <si>
    <t>Hunan</t>
  </si>
  <si>
    <t>Guangdong</t>
  </si>
  <si>
    <t>Guangxi</t>
  </si>
  <si>
    <t>Chongqing</t>
  </si>
  <si>
    <t>Sichuan</t>
  </si>
  <si>
    <t>Guizhou</t>
  </si>
  <si>
    <t>Yunnan</t>
  </si>
  <si>
    <t>Gansu</t>
  </si>
  <si>
    <t>Ningxia</t>
  </si>
  <si>
    <t>This study</t>
    <phoneticPr fontId="1" type="noConversion"/>
  </si>
  <si>
    <t>KOH</t>
  </si>
  <si>
    <t>SMR</t>
  </si>
  <si>
    <t>CG+CCS</t>
  </si>
  <si>
    <t>SMR+CCS</t>
  </si>
  <si>
    <t>Wind+AWE</t>
  </si>
  <si>
    <t>Reference</t>
    <phoneticPr fontId="1" type="noConversion"/>
  </si>
  <si>
    <r>
      <t>kg CO</t>
    </r>
    <r>
      <rPr>
        <b/>
        <vertAlign val="subscript"/>
        <sz val="10"/>
        <color theme="1"/>
        <rFont val="Times New Roman"/>
        <family val="1"/>
      </rPr>
      <t>2-eq</t>
    </r>
    <r>
      <rPr>
        <b/>
        <sz val="10"/>
        <color theme="1"/>
        <rFont val="Times New Roman"/>
        <family val="1"/>
      </rPr>
      <t>/kg NH</t>
    </r>
    <r>
      <rPr>
        <b/>
        <vertAlign val="subscript"/>
        <sz val="10"/>
        <color theme="1"/>
        <rFont val="Times New Roman"/>
        <family val="1"/>
      </rPr>
      <t>3</t>
    </r>
    <phoneticPr fontId="1" type="noConversion"/>
  </si>
  <si>
    <t>Arora et al., 2018, Journal of Cleaner Production</t>
    <phoneticPr fontId="1" type="noConversion"/>
  </si>
  <si>
    <t>Lee et al., 2022, Green Chemistry</t>
    <phoneticPr fontId="1" type="noConversion"/>
  </si>
  <si>
    <t>0.77-1.16</t>
    <phoneticPr fontId="1" type="noConversion"/>
  </si>
  <si>
    <t>Chisalita et al., 2020, Renewable and Sustainable Energy Reviews</t>
    <phoneticPr fontId="1" type="noConversion"/>
  </si>
  <si>
    <t>0.83-0.93</t>
    <phoneticPr fontId="1" type="noConversion"/>
  </si>
  <si>
    <t>Wu et al., 2021, Energy Strategy Reviews</t>
    <phoneticPr fontId="1" type="noConversion"/>
  </si>
  <si>
    <t>ecoinvent v3.8</t>
    <phoneticPr fontId="1" type="noConversion"/>
  </si>
  <si>
    <t>CG</t>
    <phoneticPr fontId="1" type="noConversion"/>
  </si>
  <si>
    <t>0.22-0.45</t>
    <phoneticPr fontId="1" type="noConversion"/>
  </si>
  <si>
    <t>Liu et al., 2020, Green Chemistry</t>
    <phoneticPr fontId="1" type="noConversion"/>
  </si>
  <si>
    <t>D’Angelo, 2021, ACS Sustainable Chemistry &amp; Engineering</t>
    <phoneticPr fontId="1" type="noConversion"/>
  </si>
  <si>
    <t>0.56-1.05</t>
    <phoneticPr fontId="1" type="noConversion"/>
  </si>
  <si>
    <t>USD 2019</t>
    <phoneticPr fontId="1" type="noConversion"/>
  </si>
  <si>
    <t>RMB 2018</t>
    <phoneticPr fontId="1" type="noConversion"/>
  </si>
  <si>
    <t>0.48825-0.5285</t>
    <phoneticPr fontId="1" type="noConversion"/>
  </si>
  <si>
    <t>3.208-9.04</t>
    <phoneticPr fontId="1" type="noConversion"/>
  </si>
  <si>
    <t>USD</t>
    <phoneticPr fontId="1" type="noConversion"/>
  </si>
  <si>
    <t>RMB</t>
    <phoneticPr fontId="1" type="noConversion"/>
  </si>
  <si>
    <t>Lee et al., 2021, Renewable and Sustainable Energy Reviews</t>
    <phoneticPr fontId="1" type="noConversion"/>
  </si>
  <si>
    <t>0.887931-1.06</t>
    <phoneticPr fontId="1" type="noConversion"/>
  </si>
  <si>
    <t>5.88-7.017</t>
    <phoneticPr fontId="1" type="noConversion"/>
  </si>
  <si>
    <t>Nosherwani et al., 2021, Journal of Energy Storage</t>
    <phoneticPr fontId="1" type="noConversion"/>
  </si>
  <si>
    <t>0.684-0.798</t>
    <phoneticPr fontId="1" type="noConversion"/>
  </si>
  <si>
    <t>4.494-5.242</t>
    <phoneticPr fontId="1" type="noConversion"/>
  </si>
  <si>
    <t>Lin et al., 2020, Industrial &amp; Engineering Chemistry Research</t>
    <phoneticPr fontId="1" type="noConversion"/>
  </si>
  <si>
    <t>0.933-1.03</t>
    <phoneticPr fontId="1" type="noConversion"/>
  </si>
  <si>
    <t>6.174-6.816</t>
    <phoneticPr fontId="1" type="noConversion"/>
  </si>
  <si>
    <t>2.306-2.763</t>
    <phoneticPr fontId="1" type="noConversion"/>
  </si>
  <si>
    <t>IRENA, 2021, Innovation Outlook Ammonia</t>
    <phoneticPr fontId="1" type="noConversion"/>
  </si>
  <si>
    <t>RMB/kg</t>
    <phoneticPr fontId="1" type="noConversion"/>
  </si>
  <si>
    <t>kg</t>
    <phoneticPr fontId="1" type="noConversion"/>
  </si>
  <si>
    <t>kWh</t>
    <phoneticPr fontId="1" type="noConversion"/>
  </si>
  <si>
    <t>Electricity</t>
    <phoneticPr fontId="1" type="noConversion"/>
  </si>
  <si>
    <t>D’Angelo et al., 2021, ACS Sustainable Chemistry &amp; Engineering</t>
    <phoneticPr fontId="1" type="noConversion"/>
  </si>
  <si>
    <t>RMB/kg</t>
    <phoneticPr fontId="1" type="noConversion"/>
  </si>
  <si>
    <t>RMB 2018</t>
    <phoneticPr fontId="1" type="noConversion"/>
  </si>
  <si>
    <t>Year</t>
    <phoneticPr fontId="1" type="noConversion"/>
  </si>
  <si>
    <t>Bose et al., 2022, ACS Sustainable Chemistry &amp; Engineering</t>
    <phoneticPr fontId="1" type="noConversion"/>
  </si>
  <si>
    <t>RMB</t>
    <phoneticPr fontId="1" type="noConversion"/>
  </si>
  <si>
    <t>GBP</t>
    <phoneticPr fontId="1" type="noConversion"/>
  </si>
  <si>
    <t>Richard et al., 2018, Industrial &amp; Engineering Chemistry Research</t>
    <phoneticPr fontId="1" type="noConversion"/>
  </si>
  <si>
    <t>2025/2030</t>
    <phoneticPr fontId="1" type="noConversion"/>
  </si>
  <si>
    <t>RMB/GBP</t>
    <phoneticPr fontId="1" type="noConversion"/>
  </si>
  <si>
    <t>USD 2011</t>
    <phoneticPr fontId="1" type="noConversion"/>
  </si>
  <si>
    <t>Tunå et al., 2014, Environmental Progress &amp; Sustainable Energy</t>
    <phoneticPr fontId="1" type="noConversion"/>
  </si>
  <si>
    <t>USD 2014</t>
    <phoneticPr fontId="1" type="noConversion"/>
  </si>
  <si>
    <t>Bañares-Alcántara et al., 2015, Analysis of Islanded Ammonia-Based Energy Storage Systems</t>
    <phoneticPr fontId="1" type="noConversion"/>
  </si>
  <si>
    <t>Beijing</t>
  </si>
  <si>
    <t>Hainan</t>
  </si>
  <si>
    <t>Shandong</t>
    <phoneticPr fontId="1" type="noConversion"/>
  </si>
  <si>
    <t>Xinjiang</t>
    <phoneticPr fontId="1" type="noConversion"/>
  </si>
  <si>
    <t>Jilin</t>
    <phoneticPr fontId="1" type="noConversion"/>
  </si>
  <si>
    <t>Shaanxi</t>
    <phoneticPr fontId="1" type="noConversion"/>
  </si>
  <si>
    <t>Qinghai</t>
    <phoneticPr fontId="1" type="noConversion"/>
  </si>
  <si>
    <t>Hebei</t>
    <phoneticPr fontId="1" type="noConversion"/>
  </si>
  <si>
    <t>sodium hydroxide</t>
    <phoneticPr fontId="1" type="noConversion"/>
  </si>
  <si>
    <t>https://zhuanlan.zhihu.com/p/557236665</t>
    <phoneticPr fontId="1" type="noConversion"/>
  </si>
  <si>
    <t>kWh</t>
    <phoneticPr fontId="1" type="noConversion"/>
  </si>
  <si>
    <t>Gasifier</t>
    <phoneticPr fontId="1" type="noConversion"/>
  </si>
  <si>
    <t>Contingency charge</t>
    <phoneticPr fontId="1" type="noConversion"/>
  </si>
  <si>
    <t>Wastewater treatment</t>
    <phoneticPr fontId="1" type="noConversion"/>
  </si>
  <si>
    <t>RMB/kw</t>
    <phoneticPr fontId="1" type="noConversion"/>
  </si>
  <si>
    <t>electricity</t>
  </si>
  <si>
    <t>PV</t>
  </si>
  <si>
    <t>National</t>
    <phoneticPr fontId="1" type="noConversion"/>
  </si>
  <si>
    <t>Table SX Investment cost under different scenarios</t>
    <phoneticPr fontId="1" type="noConversion"/>
  </si>
  <si>
    <t>unit</t>
    <phoneticPr fontId="1" type="noConversion"/>
  </si>
  <si>
    <t>Technology</t>
    <phoneticPr fontId="1" type="noConversion"/>
  </si>
  <si>
    <t>Senario</t>
    <phoneticPr fontId="1" type="noConversion"/>
  </si>
  <si>
    <t>low</t>
    <phoneticPr fontId="1" type="noConversion"/>
  </si>
  <si>
    <t>mid</t>
    <phoneticPr fontId="1" type="noConversion"/>
  </si>
  <si>
    <t>high</t>
    <phoneticPr fontId="1" type="noConversion"/>
  </si>
  <si>
    <t>Pan et al., 2023, Energy Economics</t>
    <phoneticPr fontId="1" type="noConversion"/>
  </si>
  <si>
    <t>IEA, 2022, World energy outlook 2022</t>
    <phoneticPr fontId="1" type="noConversion"/>
  </si>
  <si>
    <t xml:space="preserve">note: </t>
  </si>
  <si>
    <t>kwh</t>
    <phoneticPr fontId="1" type="noConversion"/>
  </si>
  <si>
    <t>Habgood et al., 2015, Chemical Engineering Research and Design</t>
  </si>
  <si>
    <t>Habgood et al., 2015, Chemical Engineering Research and Design</t>
    <phoneticPr fontId="1" type="noConversion"/>
  </si>
  <si>
    <t>Habgood et al., 2015, Chemical Engineering Research and Design</t>
    <phoneticPr fontId="1" type="noConversion"/>
  </si>
  <si>
    <t>Reference</t>
  </si>
  <si>
    <t>Q</t>
  </si>
  <si>
    <t>CAPEX</t>
    <phoneticPr fontId="1" type="noConversion"/>
  </si>
  <si>
    <t>Fixed OPEX</t>
    <phoneticPr fontId="1" type="noConversion"/>
  </si>
  <si>
    <t>of CAPEX/a</t>
    <phoneticPr fontId="1" type="noConversion"/>
  </si>
  <si>
    <t>Wang et al., 2022, Climate Change Research</t>
    <phoneticPr fontId="1" type="noConversion"/>
  </si>
  <si>
    <t>https://www.66law.cn/laws/519262.aspx</t>
    <phoneticPr fontId="1" type="noConversion"/>
  </si>
  <si>
    <t>https://www.chyxx.com/industry/202008/888525.html</t>
    <phoneticPr fontId="1" type="noConversion"/>
  </si>
  <si>
    <t>chemical coal</t>
    <phoneticPr fontId="1" type="noConversion"/>
  </si>
  <si>
    <t>bituminous coal</t>
    <phoneticPr fontId="1" type="noConversion"/>
  </si>
  <si>
    <t>electricity</t>
    <phoneticPr fontId="1" type="noConversion"/>
  </si>
  <si>
    <t xml:space="preserve">hydrochloric acid </t>
    <phoneticPr fontId="1" type="noConversion"/>
  </si>
  <si>
    <t>polyacrylamide</t>
    <phoneticPr fontId="1" type="noConversion"/>
  </si>
  <si>
    <t>https://www.sohu.com/a/571221036_121369809</t>
    <phoneticPr fontId="1" type="noConversion"/>
  </si>
  <si>
    <t>lime powder</t>
    <phoneticPr fontId="1" type="noConversion"/>
  </si>
  <si>
    <t>https://detail.1688.com/offer/716968786645.html?spm=a261b.12436309.ul20190116.21.3fea7b3cc5i8OW&amp;cosite=-&amp;tracelog=p4p&amp;_p_isad=1&amp;clickid=5b15ae3593f14bd090aefa8eb0f1cfce&amp;sessionid=c9cf9a9c0f1633aa1b9b844e085ab611</t>
    <phoneticPr fontId="1" type="noConversion"/>
  </si>
  <si>
    <t>aluminium oxide</t>
  </si>
  <si>
    <t>industrial water</t>
  </si>
  <si>
    <t>industrial water</t>
    <phoneticPr fontId="1" type="noConversion"/>
  </si>
  <si>
    <t>D’Angelo et al., 2021, ACS Sustainable Chemistry &amp; Engineering</t>
  </si>
  <si>
    <t>https://www.quheqihuo.com/data/jbm-al-196.html</t>
    <phoneticPr fontId="1" type="noConversion"/>
  </si>
  <si>
    <t>https://yte1.com/login?returnUri=/datas/caustic-pr?&amp;intercept=true</t>
  </si>
  <si>
    <t>https://mp.weixin.qq.com/s/WrOPYH-74Q0T5w_c1Q8_fA</t>
    <phoneticPr fontId="1" type="noConversion"/>
  </si>
  <si>
    <t>http://meeting.baiinfo.com/dianmei/</t>
    <phoneticPr fontId="1" type="noConversion"/>
  </si>
  <si>
    <t>Variable OPEX</t>
    <phoneticPr fontId="1" type="noConversion"/>
  </si>
  <si>
    <t>CG</t>
    <phoneticPr fontId="1" type="noConversion"/>
  </si>
  <si>
    <t>CCS_capture</t>
    <phoneticPr fontId="1" type="noConversion"/>
  </si>
  <si>
    <t>CCS_transport</t>
    <phoneticPr fontId="1" type="noConversion"/>
  </si>
  <si>
    <t>CCS_storage</t>
    <phoneticPr fontId="1" type="noConversion"/>
  </si>
  <si>
    <t>2018 RMB/ tCO2</t>
    <phoneticPr fontId="1" type="noConversion"/>
  </si>
  <si>
    <t>2018 RMB/ t*kmCO2</t>
    <phoneticPr fontId="1" type="noConversion"/>
  </si>
  <si>
    <t>Scaling factor</t>
    <phoneticPr fontId="1" type="noConversion"/>
  </si>
  <si>
    <t>Value</t>
    <phoneticPr fontId="1" type="noConversion"/>
  </si>
  <si>
    <t>Reference</t>
    <phoneticPr fontId="1" type="noConversion"/>
  </si>
  <si>
    <t>Song et al., 2021, Nature Communications</t>
    <phoneticPr fontId="1" type="noConversion"/>
  </si>
  <si>
    <t>monoethanolamine</t>
    <phoneticPr fontId="1" type="noConversion"/>
  </si>
  <si>
    <t>https://chem.oilchem.net/chemical/Ethanolamine.shtml</t>
    <phoneticPr fontId="1" type="noConversion"/>
  </si>
  <si>
    <t>activated carbon</t>
    <phoneticPr fontId="1" type="noConversion"/>
  </si>
  <si>
    <t>Li et al., 2022, Journal of Cleaner Production</t>
    <phoneticPr fontId="1" type="noConversion"/>
  </si>
  <si>
    <t>SMR</t>
    <phoneticPr fontId="1" type="noConversion"/>
  </si>
  <si>
    <t>Lee Pereira et al., 2020, Applied Energy</t>
    <phoneticPr fontId="1" type="noConversion"/>
  </si>
  <si>
    <t>industiral natural gas</t>
  </si>
  <si>
    <t>industiral natural gas</t>
    <phoneticPr fontId="1" type="noConversion"/>
  </si>
  <si>
    <t>Collected from various websites</t>
    <phoneticPr fontId="1" type="noConversion"/>
  </si>
  <si>
    <t>Cai et al., China Carbon Dioxide Capture, Utilization and Storage (CCUS) annual report (2021): China CCUS path study</t>
    <phoneticPr fontId="1" type="noConversion"/>
  </si>
  <si>
    <t xml:space="preserve">desulfurization catalyst </t>
  </si>
  <si>
    <t xml:space="preserve">desulfurization catalyst </t>
    <phoneticPr fontId="1" type="noConversion"/>
  </si>
  <si>
    <t xml:space="preserve">hydrodesulfurization catalyst </t>
  </si>
  <si>
    <t xml:space="preserve">hydrodesulfurization catalyst </t>
    <phoneticPr fontId="1" type="noConversion"/>
  </si>
  <si>
    <t xml:space="preserve">high temperature shift catalyst </t>
  </si>
  <si>
    <t xml:space="preserve">high temperature shift catalyst </t>
    <phoneticPr fontId="1" type="noConversion"/>
  </si>
  <si>
    <t xml:space="preserve">low temperature shift catalyst </t>
  </si>
  <si>
    <t xml:space="preserve">low temperature shift catalyst </t>
    <phoneticPr fontId="1" type="noConversion"/>
  </si>
  <si>
    <t xml:space="preserve">methanation catalyst </t>
  </si>
  <si>
    <t xml:space="preserve">methanation catalyst </t>
    <phoneticPr fontId="1" type="noConversion"/>
  </si>
  <si>
    <t xml:space="preserve">reforming catalyst </t>
  </si>
  <si>
    <t xml:space="preserve">reforming catalyst </t>
    <phoneticPr fontId="1" type="noConversion"/>
  </si>
  <si>
    <t>Solar panels</t>
    <phoneticPr fontId="1" type="noConversion"/>
  </si>
  <si>
    <t>Wang et al., 2022, Climate Change Research; Pan et al., 2023, Energy Economics</t>
    <phoneticPr fontId="1" type="noConversion"/>
  </si>
  <si>
    <t>AWE</t>
    <phoneticPr fontId="1" type="noConversion"/>
  </si>
  <si>
    <t>Song et al., 2021, Nature Communications; Wang et al., 2022, Climate Change Research</t>
    <phoneticPr fontId="1" type="noConversion"/>
  </si>
  <si>
    <t>Cost (RMB/kw)</t>
    <phoneticPr fontId="1" type="noConversion"/>
  </si>
  <si>
    <t>Lee et al., 2022, Green Chemistry</t>
    <phoneticPr fontId="1" type="noConversion"/>
  </si>
  <si>
    <t>AWE_stack</t>
    <phoneticPr fontId="1" type="noConversion"/>
  </si>
  <si>
    <t>AWE_BoP</t>
    <phoneticPr fontId="1" type="noConversion"/>
  </si>
  <si>
    <t>Böhm et al., 2020, Applied Energy</t>
    <phoneticPr fontId="1" type="noConversion"/>
  </si>
  <si>
    <t>Others</t>
    <phoneticPr fontId="1" type="noConversion"/>
  </si>
  <si>
    <t>Li et al.,2022,Shanghai Energy Saving</t>
    <phoneticPr fontId="1" type="noConversion"/>
  </si>
  <si>
    <t>Niklas Gerloff, 2021, ACS Sustainable Chemistry &amp; Engineering; Lin et.al., 2020, Industrial &amp; Engineering Chemistry Research; Chisalita et.al., 2020, Renewable and Sustainable Energy Reviews</t>
    <phoneticPr fontId="1" type="noConversion"/>
  </si>
  <si>
    <t>Jose et.al., 2022, Science of The Total Environment</t>
    <phoneticPr fontId="1" type="noConversion"/>
  </si>
  <si>
    <t>Sebastiano Carlo D’Angelo et.al., 2021, ACS Sustainable Chemistry &amp; Engineering</t>
    <phoneticPr fontId="1" type="noConversion"/>
  </si>
  <si>
    <t>Niklas Gerloff, 2021, ACS Sustainable Chemistry &amp; Engineering</t>
    <phoneticPr fontId="1" type="noConversion"/>
  </si>
  <si>
    <t>Wind turbines</t>
    <phoneticPr fontId="1" type="noConversion"/>
  </si>
  <si>
    <t>Wang et al., 2022, Climate Change Research; IEA, 2022, World energy outlook 2022</t>
    <phoneticPr fontId="1" type="noConversion"/>
  </si>
  <si>
    <r>
      <t>PV</t>
    </r>
    <r>
      <rPr>
        <b/>
        <vertAlign val="superscript"/>
        <sz val="10"/>
        <color theme="1"/>
        <rFont val="Times New Roman"/>
        <family val="1"/>
      </rPr>
      <t>1)</t>
    </r>
    <phoneticPr fontId="1" type="noConversion"/>
  </si>
  <si>
    <r>
      <t>Wind</t>
    </r>
    <r>
      <rPr>
        <b/>
        <vertAlign val="superscript"/>
        <sz val="10"/>
        <color theme="1"/>
        <rFont val="Times New Roman"/>
        <family val="1"/>
      </rPr>
      <t>1)</t>
    </r>
    <phoneticPr fontId="1" type="noConversion"/>
  </si>
  <si>
    <r>
      <t>AWE</t>
    </r>
    <r>
      <rPr>
        <b/>
        <vertAlign val="superscript"/>
        <sz val="10"/>
        <color theme="1"/>
        <rFont val="Times New Roman"/>
        <family val="1"/>
      </rPr>
      <t>2)</t>
    </r>
    <phoneticPr fontId="1" type="noConversion"/>
  </si>
  <si>
    <r>
      <t>AWE</t>
    </r>
    <r>
      <rPr>
        <b/>
        <vertAlign val="superscript"/>
        <sz val="10"/>
        <color theme="1"/>
        <rFont val="Times New Roman"/>
        <family val="1"/>
      </rPr>
      <t>1)2)</t>
    </r>
    <phoneticPr fontId="1" type="noConversion"/>
  </si>
  <si>
    <r>
      <t>CCS_capture</t>
    </r>
    <r>
      <rPr>
        <b/>
        <vertAlign val="superscript"/>
        <sz val="10"/>
        <color theme="1"/>
        <rFont val="Times New Roman"/>
        <family val="1"/>
      </rPr>
      <t>3)</t>
    </r>
    <phoneticPr fontId="1" type="noConversion"/>
  </si>
  <si>
    <r>
      <t>CCS_transport</t>
    </r>
    <r>
      <rPr>
        <b/>
        <vertAlign val="superscript"/>
        <sz val="10"/>
        <color theme="1"/>
        <rFont val="Times New Roman"/>
        <family val="1"/>
      </rPr>
      <t>3)</t>
    </r>
    <phoneticPr fontId="1" type="noConversion"/>
  </si>
  <si>
    <r>
      <t>CCS_storage</t>
    </r>
    <r>
      <rPr>
        <b/>
        <vertAlign val="superscript"/>
        <sz val="10"/>
        <color theme="1"/>
        <rFont val="Times New Roman"/>
        <family val="1"/>
      </rPr>
      <t>3)</t>
    </r>
    <phoneticPr fontId="1" type="noConversion"/>
  </si>
  <si>
    <t>RMB/ tCO2</t>
    <phoneticPr fontId="1" type="noConversion"/>
  </si>
  <si>
    <t>RMB/ t*kmCO2</t>
    <phoneticPr fontId="1" type="noConversion"/>
  </si>
  <si>
    <t>Price (CNY/kWh)</t>
    <phoneticPr fontId="1" type="noConversion"/>
  </si>
  <si>
    <t>Transportation distance (km)</t>
    <phoneticPr fontId="1" type="noConversion"/>
  </si>
  <si>
    <t>Scaling factor</t>
  </si>
  <si>
    <t>Value</t>
  </si>
  <si>
    <t>Song et al., 2021, Nature Communications</t>
  </si>
  <si>
    <t>Fasihi et al., 2021, Applied Energy</t>
    <phoneticPr fontId="1" type="noConversion"/>
  </si>
  <si>
    <t>Lee et al., 2022, ACS Energy Letters</t>
    <phoneticPr fontId="1" type="noConversion"/>
  </si>
  <si>
    <t>of CAPEX/a year</t>
    <phoneticPr fontId="1" type="noConversion"/>
  </si>
  <si>
    <t>2) Assume that stack and BoP are 50% each and decline at the same rate</t>
    <phoneticPr fontId="1" type="noConversion"/>
  </si>
  <si>
    <t>1) For the missing data in the original text, fill in the cost data for every 5 years from 2020 to 2060 according to the linear supplement value</t>
    <phoneticPr fontId="1" type="noConversion"/>
  </si>
  <si>
    <r>
      <t>3) O</t>
    </r>
    <r>
      <rPr>
        <b/>
        <sz val="10"/>
        <color theme="1"/>
        <rFont val="Times New Roman"/>
        <family val="3"/>
      </rPr>
      <t>btained based on the proportion of O&amp;M in CAPEX,</t>
    </r>
    <phoneticPr fontId="1" type="noConversion"/>
  </si>
  <si>
    <t>PV</t>
    <phoneticPr fontId="1" type="noConversion"/>
  </si>
  <si>
    <t>Wind</t>
  </si>
  <si>
    <t>PV (This study)</t>
    <phoneticPr fontId="1" type="noConversion"/>
  </si>
  <si>
    <t>PV (This study)</t>
  </si>
  <si>
    <t>PV (Zhong et al., 2019)</t>
    <phoneticPr fontId="1" type="noConversion"/>
  </si>
  <si>
    <t>PV (Zhong et al., 2019)</t>
  </si>
  <si>
    <t>PV (Sun et al., 2023)</t>
    <phoneticPr fontId="1" type="noConversion"/>
  </si>
  <si>
    <t>PV (Sun et al., 2023)</t>
  </si>
  <si>
    <t>Wind (This study)</t>
    <phoneticPr fontId="1" type="noConversion"/>
  </si>
  <si>
    <t>Wind (This study)</t>
  </si>
  <si>
    <t>Wind (Wiser et al., 2021)</t>
    <phoneticPr fontId="1" type="noConversion"/>
  </si>
  <si>
    <t>Wind (Wiser et al., 2021)</t>
  </si>
  <si>
    <t>Wind (Sun et al., 2023)</t>
    <phoneticPr fontId="1" type="noConversion"/>
  </si>
  <si>
    <t>Wind (Sun et al., 2023)</t>
  </si>
  <si>
    <t>0.95-1.2</t>
  </si>
  <si>
    <t>6.286-7.94</t>
  </si>
  <si>
    <t>1.594-1.71</t>
  </si>
  <si>
    <t>10.86-11.65</t>
  </si>
  <si>
    <t>0.65-0.79</t>
  </si>
  <si>
    <t>4.5-5.47</t>
  </si>
  <si>
    <t>This study</t>
  </si>
  <si>
    <t>Green ammonia</t>
  </si>
  <si>
    <t>Exchange(RMB/USD)：</t>
  </si>
  <si>
    <t>IRENA_Innovation_Outlook_Ammonia_2022</t>
  </si>
  <si>
    <t>USD</t>
  </si>
  <si>
    <t>RMB</t>
  </si>
  <si>
    <t>Year</t>
    <phoneticPr fontId="1" type="noConversion"/>
  </si>
  <si>
    <t>lower</t>
    <phoneticPr fontId="1" type="noConversion"/>
  </si>
  <si>
    <t>upper</t>
    <phoneticPr fontId="1" type="noConversion"/>
  </si>
  <si>
    <t>3.0469-5.9683</t>
    <phoneticPr fontId="1" type="noConversion"/>
  </si>
  <si>
    <t>1.7442-3.6987</t>
    <phoneticPr fontId="1" type="noConversion"/>
  </si>
  <si>
    <t>3.2994-8.3431</t>
    <phoneticPr fontId="1" type="noConversion"/>
  </si>
  <si>
    <t>1.8704-4.7915</t>
    <phoneticPr fontId="1" type="noConversion"/>
  </si>
  <si>
    <t>RMB 2018</t>
  </si>
  <si>
    <t>Liu, 2011, Dalian University of Technology</t>
    <phoneticPr fontId="1" type="noConversion"/>
  </si>
  <si>
    <r>
      <t xml:space="preserve">Tan et al., 2022, </t>
    </r>
    <r>
      <rPr>
        <b/>
        <sz val="10"/>
        <color theme="1"/>
        <rFont val="Times New Roman"/>
        <family val="2"/>
      </rPr>
      <t>CSEE Journal of Power and Energy Systems</t>
    </r>
    <phoneticPr fontId="1" type="noConversion"/>
  </si>
  <si>
    <t>Li et al., 2022, Shanghai Energy Conservation</t>
    <phoneticPr fontId="1" type="noConversion"/>
  </si>
  <si>
    <t>Hebei</t>
  </si>
  <si>
    <t>Jilin</t>
  </si>
  <si>
    <t>Qinghai</t>
  </si>
  <si>
    <t>Shaanxi</t>
  </si>
  <si>
    <t>Shandong</t>
  </si>
  <si>
    <t>Xinjiang</t>
  </si>
  <si>
    <t>Tibet</t>
  </si>
  <si>
    <t>Location</t>
  </si>
  <si>
    <t>Table SX Investment cost under different scenarios</t>
  </si>
  <si>
    <t>unit</t>
  </si>
  <si>
    <t>Technology</t>
  </si>
  <si>
    <t>Senario</t>
  </si>
  <si>
    <t>RMB/kw</t>
  </si>
  <si>
    <r>
      <t>PV</t>
    </r>
    <r>
      <rPr>
        <b/>
        <vertAlign val="superscript"/>
        <sz val="10"/>
        <color rgb="FF000000"/>
        <rFont val="Times New Roman"/>
        <family val="1"/>
      </rPr>
      <t>1)</t>
    </r>
  </si>
  <si>
    <t>low</t>
  </si>
  <si>
    <t>Wang et al., 2022, Climate Change Research</t>
  </si>
  <si>
    <t>mid</t>
  </si>
  <si>
    <t>high</t>
  </si>
  <si>
    <r>
      <t>Wind</t>
    </r>
    <r>
      <rPr>
        <b/>
        <vertAlign val="superscript"/>
        <sz val="10"/>
        <color rgb="FF000000"/>
        <rFont val="Times New Roman"/>
        <family val="1"/>
      </rPr>
      <t>1)</t>
    </r>
  </si>
  <si>
    <r>
      <t>AWE</t>
    </r>
    <r>
      <rPr>
        <b/>
        <vertAlign val="superscript"/>
        <sz val="10"/>
        <color rgb="FF000000"/>
        <rFont val="Times New Roman"/>
        <family val="1"/>
      </rPr>
      <t>2)</t>
    </r>
  </si>
  <si>
    <r>
      <t>AWE</t>
    </r>
    <r>
      <rPr>
        <b/>
        <vertAlign val="superscript"/>
        <sz val="10"/>
        <color rgb="FFC00000"/>
        <rFont val="Times New Roman"/>
        <family val="1"/>
      </rPr>
      <t>2)</t>
    </r>
  </si>
  <si>
    <r>
      <t>AWE</t>
    </r>
    <r>
      <rPr>
        <b/>
        <vertAlign val="superscript"/>
        <sz val="10"/>
        <color rgb="FF000000"/>
        <rFont val="Times New Roman"/>
        <family val="1"/>
      </rPr>
      <t>1)2)</t>
    </r>
  </si>
  <si>
    <t>battery</t>
  </si>
  <si>
    <t>RMB/ tCO2</t>
  </si>
  <si>
    <r>
      <t>CCS_capture</t>
    </r>
    <r>
      <rPr>
        <b/>
        <vertAlign val="superscript"/>
        <sz val="10"/>
        <color rgb="FF000000"/>
        <rFont val="Times New Roman"/>
        <family val="1"/>
      </rPr>
      <t>3)</t>
    </r>
  </si>
  <si>
    <t>Cai et al., China Carbon Dioxide Capture, Utilization and Storage (CCUS) annual report (2021): China CCUS path study</t>
  </si>
  <si>
    <t>RMB/ t*kmCO2</t>
  </si>
  <si>
    <r>
      <t>CCS_transport</t>
    </r>
    <r>
      <rPr>
        <b/>
        <vertAlign val="superscript"/>
        <sz val="10"/>
        <color rgb="FF000000"/>
        <rFont val="Times New Roman"/>
        <family val="1"/>
      </rPr>
      <t>3)</t>
    </r>
  </si>
  <si>
    <r>
      <t>CCS_storage</t>
    </r>
    <r>
      <rPr>
        <b/>
        <vertAlign val="superscript"/>
        <sz val="10"/>
        <color rgb="FF000000"/>
        <rFont val="Times New Roman"/>
        <family val="1"/>
      </rPr>
      <t>3)</t>
    </r>
  </si>
  <si>
    <t>1) For the missing data in the original text, fill in the cost data for every 5 years from 2020 to 2060 according to the linear supplement value</t>
  </si>
  <si>
    <t>2) Assume that stack and BoP are 50% each and decline at the same rate</t>
  </si>
  <si>
    <t>3) Obtained based on the proportion of O&amp;M in CAPEX,</t>
  </si>
  <si>
    <t>年平均</t>
    <phoneticPr fontId="1" type="noConversion"/>
  </si>
  <si>
    <t>每小时平均</t>
    <phoneticPr fontId="1" type="noConversion"/>
  </si>
  <si>
    <t>National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</si>
  <si>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</si>
  <si>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Integrated</t>
    <phoneticPr fontId="1" type="noConversion"/>
  </si>
  <si>
    <t>EUR 2019</t>
    <phoneticPr fontId="1" type="noConversion"/>
  </si>
  <si>
    <t>0.65-0.85</t>
    <phoneticPr fontId="1" type="noConversion"/>
  </si>
  <si>
    <t>4.715-6.167</t>
    <phoneticPr fontId="1" type="noConversion"/>
  </si>
  <si>
    <t xml:space="preserve">Lai et al., 2017, Applied Energy; Lu et al., 2021, PNAS </t>
    <phoneticPr fontId="1" type="noConversion"/>
  </si>
  <si>
    <t>This study</t>
    <phoneticPr fontId="1" type="noConversion"/>
  </si>
  <si>
    <t>Cole et al., 2019, Cost Projections for Utility-Scale Battery Storage</t>
  </si>
  <si>
    <t>Cole et al., 2019, Cost Projections for Utility-Scale Battery Storage</t>
    <phoneticPr fontId="1" type="noConversion"/>
  </si>
  <si>
    <r>
      <t>battery</t>
    </r>
    <r>
      <rPr>
        <b/>
        <vertAlign val="superscript"/>
        <sz val="10"/>
        <color theme="1"/>
        <rFont val="Times New Roman"/>
        <family val="1"/>
      </rPr>
      <t>1)</t>
    </r>
    <phoneticPr fontId="1" type="noConversion"/>
  </si>
  <si>
    <t>https://toweringskills.com/financial-analysis/cost-indices/</t>
    <phoneticPr fontId="1" type="noConversion"/>
  </si>
  <si>
    <t>Price (CNY/kg)</t>
    <phoneticPr fontId="1" type="noConversion"/>
  </si>
  <si>
    <r>
      <t>Electricity</t>
    </r>
    <r>
      <rPr>
        <b/>
        <vertAlign val="superscript"/>
        <sz val="12"/>
        <color theme="1"/>
        <rFont val="Times New Roman"/>
        <family val="1"/>
      </rPr>
      <t>1)</t>
    </r>
    <phoneticPr fontId="1" type="noConversion"/>
  </si>
  <si>
    <t>Price (CNY/m3)</t>
    <phoneticPr fontId="1" type="noConversion"/>
  </si>
  <si>
    <r>
      <t>Coal_fuel</t>
    </r>
    <r>
      <rPr>
        <b/>
        <vertAlign val="superscript"/>
        <sz val="12"/>
        <color theme="1"/>
        <rFont val="Times New Roman"/>
        <family val="1"/>
      </rPr>
      <t>2)</t>
    </r>
    <phoneticPr fontId="1" type="noConversion"/>
  </si>
  <si>
    <t>Province</t>
    <phoneticPr fontId="1" type="noConversion"/>
  </si>
  <si>
    <t>Source:
1) https://news.bjx.com.cn/html/20181015/933737-3.shtml
2) http://meeting.baiinfo.com/dianmei/
3) https://fgw.beijing.gov.cn/fgwzwgk/zcgk/bwqtwj/201912/t20191226_1506664.htm(National Development and Reform Commission websites of various cities, taking Beijing as an example)
4) He et al., 2016, Renewable Energy, Where, when and how much solar is available? A provincial-scale solar resource assessment for China
5) Li et al., 2022, Sustainable Energy &amp; Fuels, Achieving a low-carbon future through the energy–chemical nexus in China; He et al., Rapid cost decrease of renewables and storage accelerates the decarbonization of China’s power system
6) Fan et al., 2022, Energy, A levelized cost of hydrogen (LCOH) comparison of coal-to-hydrogen with CCS and water electrolysis powered by renewable energy in China</t>
    <phoneticPr fontId="1" type="noConversion"/>
  </si>
  <si>
    <t>Coal_feedback</t>
    <phoneticPr fontId="1" type="noConversion"/>
  </si>
  <si>
    <r>
      <t>Natural gas</t>
    </r>
    <r>
      <rPr>
        <b/>
        <vertAlign val="superscript"/>
        <sz val="12"/>
        <color theme="1"/>
        <rFont val="Times New Roman"/>
        <family val="1"/>
      </rPr>
      <t>3)</t>
    </r>
    <phoneticPr fontId="1" type="noConversion"/>
  </si>
  <si>
    <r>
      <t>PV</t>
    </r>
    <r>
      <rPr>
        <b/>
        <vertAlign val="superscript"/>
        <sz val="12"/>
        <color theme="1"/>
        <rFont val="Times New Roman"/>
        <family val="1"/>
      </rPr>
      <t>4)</t>
    </r>
    <phoneticPr fontId="1" type="noConversion"/>
  </si>
  <si>
    <r>
      <t>Wind</t>
    </r>
    <r>
      <rPr>
        <b/>
        <vertAlign val="superscript"/>
        <sz val="12"/>
        <color theme="1"/>
        <rFont val="Times New Roman"/>
        <family val="1"/>
      </rPr>
      <t>5)</t>
    </r>
    <phoneticPr fontId="1" type="noConversion"/>
  </si>
  <si>
    <r>
      <t>CCS</t>
    </r>
    <r>
      <rPr>
        <b/>
        <vertAlign val="superscript"/>
        <sz val="12"/>
        <color theme="1"/>
        <rFont val="Times New Roman"/>
        <family val="1"/>
      </rPr>
      <t>6)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</si>
</sst>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);[Red]\(0.000000\)"/>
    <numFmt numFmtId="177" formatCode="0.0%"/>
    <numFmt numFmtId="178" formatCode="0.000"/>
  </numFmts>
  <fonts count="2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1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10"/>
      <color theme="1"/>
      <name val="Times New Roman"/>
      <family val="3"/>
      <charset val="134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sz val="10"/>
      <color theme="1"/>
      <name val="Times New Roman"/>
      <family val="1"/>
      <charset val="134"/>
    </font>
    <font>
      <b/>
      <sz val="10"/>
      <color theme="1"/>
      <name val="Times New Roman"/>
      <family val="2"/>
    </font>
    <font>
      <b/>
      <sz val="11"/>
      <color theme="1"/>
      <name val="Times New Roman"/>
      <family val="1"/>
    </font>
    <font>
      <sz val="7"/>
      <color rgb="FF000000"/>
      <name val="Courier New"/>
      <family val="3"/>
    </font>
    <font>
      <u/>
      <sz val="10"/>
      <color theme="10"/>
      <name val="Times New Roman"/>
      <family val="1"/>
    </font>
    <font>
      <b/>
      <u/>
      <sz val="10"/>
      <color theme="10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Times New Roman"/>
      <family val="1"/>
    </font>
    <font>
      <b/>
      <sz val="10"/>
      <color theme="1"/>
      <name val="Times New Roman"/>
      <family val="3"/>
    </font>
    <font>
      <b/>
      <sz val="10"/>
      <color rgb="FFFF0000"/>
      <name val="Times New Roman"/>
      <family val="1"/>
    </font>
    <font>
      <b/>
      <sz val="10"/>
      <color rgb="FFC00000"/>
      <name val="Times New Roman"/>
      <family val="1"/>
    </font>
    <font>
      <sz val="10"/>
      <color rgb="FFC00000"/>
      <name val="Times New Roman"/>
      <family val="1"/>
    </font>
    <font>
      <b/>
      <vertAlign val="superscript"/>
      <sz val="10"/>
      <color rgb="FFC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1"/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14" fillId="0" borderId="0" xfId="1" applyFont="1" applyAlignment="1">
      <alignment horizontal="left"/>
    </xf>
    <xf numFmtId="0" fontId="14" fillId="0" borderId="0" xfId="1" applyFont="1"/>
    <xf numFmtId="176" fontId="2" fillId="0" borderId="0" xfId="0" applyNumberFormat="1" applyFont="1" applyAlignment="1">
      <alignment horizontal="left"/>
    </xf>
    <xf numFmtId="176" fontId="2" fillId="2" borderId="0" xfId="0" applyNumberFormat="1" applyFont="1" applyFill="1" applyAlignment="1">
      <alignment horizontal="left"/>
    </xf>
    <xf numFmtId="176" fontId="2" fillId="0" borderId="0" xfId="0" applyNumberFormat="1" applyFont="1"/>
    <xf numFmtId="176" fontId="14" fillId="0" borderId="0" xfId="1" applyNumberFormat="1" applyFont="1"/>
    <xf numFmtId="0" fontId="15" fillId="0" borderId="0" xfId="1" applyFont="1"/>
    <xf numFmtId="176" fontId="14" fillId="0" borderId="0" xfId="1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6" fillId="0" borderId="0" xfId="1" applyFill="1"/>
    <xf numFmtId="0" fontId="6" fillId="0" borderId="0" xfId="1" applyFill="1" applyAlignment="1">
      <alignment horizontal="left"/>
    </xf>
    <xf numFmtId="0" fontId="8" fillId="0" borderId="0" xfId="0" applyFont="1"/>
    <xf numFmtId="177" fontId="2" fillId="0" borderId="0" xfId="0" applyNumberFormat="1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left" vertical="center"/>
    </xf>
    <xf numFmtId="0" fontId="19" fillId="0" borderId="0" xfId="0" applyFont="1"/>
    <xf numFmtId="0" fontId="20" fillId="0" borderId="0" xfId="0" applyFont="1"/>
    <xf numFmtId="0" fontId="21" fillId="4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0" fillId="2" borderId="0" xfId="0" applyFill="1"/>
    <xf numFmtId="0" fontId="25" fillId="0" borderId="0" xfId="0" applyFont="1"/>
    <xf numFmtId="0" fontId="26" fillId="0" borderId="0" xfId="0" applyFont="1"/>
    <xf numFmtId="0" fontId="26" fillId="0" borderId="0" xfId="0" applyFont="1" applyAlignment="1">
      <alignment horizontal="left" vertical="center"/>
    </xf>
    <xf numFmtId="0" fontId="25" fillId="5" borderId="0" xfId="0" applyFont="1" applyFill="1"/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8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vertical="center"/>
    </xf>
    <xf numFmtId="0" fontId="6" fillId="0" borderId="0" xfId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1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eting.baiinfo.com/dianmei/" TargetMode="External"/><Relationship Id="rId3" Type="http://schemas.openxmlformats.org/officeDocument/2006/relationships/hyperlink" Target="https://www.quheqihuo.com/data/jbm-al-196.html" TargetMode="External"/><Relationship Id="rId7" Type="http://schemas.openxmlformats.org/officeDocument/2006/relationships/hyperlink" Target="http://meeting.baiinfo.com/dianmei/" TargetMode="External"/><Relationship Id="rId2" Type="http://schemas.openxmlformats.org/officeDocument/2006/relationships/hyperlink" Target="https://detail.1688.com/offer/716968786645.html?spm=a261b.12436309.ul20190116.21.3fea7b3cc5i8OW&amp;cosite=-&amp;tracelog=p4p&amp;_p_isad=1&amp;clickid=5b15ae3593f14bd090aefa8eb0f1cfce&amp;sessionid=c9cf9a9c0f1633aa1b9b844e085ab611" TargetMode="External"/><Relationship Id="rId1" Type="http://schemas.openxmlformats.org/officeDocument/2006/relationships/hyperlink" Target="https://www.chyxx.com/industry/202008/888525.html" TargetMode="External"/><Relationship Id="rId6" Type="http://schemas.openxmlformats.org/officeDocument/2006/relationships/hyperlink" Target="https://mp.weixin.qq.com/s/WrOPYH-74Q0T5w_c1Q8_fA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sohu.com/a/571221036_121369809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66law.cn/laws/519262.aspx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meeting.baiinfo.com/dianmei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quheqihuo.com/data/jbm-al-196.html" TargetMode="External"/><Relationship Id="rId7" Type="http://schemas.openxmlformats.org/officeDocument/2006/relationships/hyperlink" Target="http://meeting.baiinfo.com/dianmei/" TargetMode="External"/><Relationship Id="rId12" Type="http://schemas.openxmlformats.org/officeDocument/2006/relationships/hyperlink" Target="https://mp.weixin.qq.com/s/WrOPYH-74Q0T5w_c1Q8_fA" TargetMode="External"/><Relationship Id="rId2" Type="http://schemas.openxmlformats.org/officeDocument/2006/relationships/hyperlink" Target="https://detail.1688.com/offer/716968786645.html?spm=a261b.12436309.ul20190116.21.3fea7b3cc5i8OW&amp;cosite=-&amp;tracelog=p4p&amp;_p_isad=1&amp;clickid=5b15ae3593f14bd090aefa8eb0f1cfce&amp;sessionid=c9cf9a9c0f1633aa1b9b844e085ab611" TargetMode="External"/><Relationship Id="rId1" Type="http://schemas.openxmlformats.org/officeDocument/2006/relationships/hyperlink" Target="https://www.chyxx.com/industry/202008/888525.html" TargetMode="External"/><Relationship Id="rId6" Type="http://schemas.openxmlformats.org/officeDocument/2006/relationships/hyperlink" Target="https://mp.weixin.qq.com/s/WrOPYH-74Q0T5w_c1Q8_fA" TargetMode="External"/><Relationship Id="rId11" Type="http://schemas.openxmlformats.org/officeDocument/2006/relationships/hyperlink" Target="https://zhuanlan.zhihu.com/p/557236665" TargetMode="External"/><Relationship Id="rId5" Type="http://schemas.openxmlformats.org/officeDocument/2006/relationships/hyperlink" Target="https://www.sohu.com/a/571221036_121369809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www.66law.cn/laws/519262.aspx" TargetMode="External"/><Relationship Id="rId4" Type="http://schemas.openxmlformats.org/officeDocument/2006/relationships/hyperlink" Target="https://www.66law.cn/laws/519262.aspx" TargetMode="External"/><Relationship Id="rId9" Type="http://schemas.openxmlformats.org/officeDocument/2006/relationships/hyperlink" Target="https://chem.oilchem.net/chemical/Ethanolamine.shtml" TargetMode="External"/><Relationship Id="rId1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p.weixin.qq.com/s/WrOPYH-74Q0T5w_c1Q8_fA" TargetMode="External"/><Relationship Id="rId1" Type="http://schemas.openxmlformats.org/officeDocument/2006/relationships/hyperlink" Target="https://www.66law.cn/laws/519262.asp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hem.oilchem.net/chemical/Ethanolamine.shtml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66law.cn/laws/519262.aspx" TargetMode="External"/><Relationship Id="rId1" Type="http://schemas.openxmlformats.org/officeDocument/2006/relationships/hyperlink" Target="https://mp.weixin.qq.com/s/WrOPYH-74Q0T5w_c1Q8_fA" TargetMode="External"/><Relationship Id="rId6" Type="http://schemas.openxmlformats.org/officeDocument/2006/relationships/hyperlink" Target="https://mp.weixin.qq.com/s/WrOPYH-74Q0T5w_c1Q8_fA" TargetMode="External"/><Relationship Id="rId5" Type="http://schemas.openxmlformats.org/officeDocument/2006/relationships/hyperlink" Target="https://zhuanlan.zhihu.com/p/557236665" TargetMode="External"/><Relationship Id="rId4" Type="http://schemas.openxmlformats.org/officeDocument/2006/relationships/hyperlink" Target="https://www.66law.cn/laws/519262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hemengonline.com/pci-home" TargetMode="External"/><Relationship Id="rId1" Type="http://schemas.openxmlformats.org/officeDocument/2006/relationships/hyperlink" Target="https://toweringskills.com/financial-analysis/cost-indi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5FBB-3303-4F8E-8A54-F7FBBDCDA850}">
  <dimension ref="A1:H58"/>
  <sheetViews>
    <sheetView topLeftCell="A67" workbookViewId="0">
      <selection activeCell="C43" sqref="C43"/>
    </sheetView>
  </sheetViews>
  <sheetFormatPr defaultRowHeight="13" x14ac:dyDescent="0.3"/>
  <cols>
    <col min="1" max="1" width="8.6640625" style="1"/>
    <col min="2" max="2" width="26.4140625" style="1" customWidth="1"/>
    <col min="3" max="3" width="18.1640625" style="1" customWidth="1"/>
    <col min="4" max="4" width="15.83203125" style="1" customWidth="1"/>
    <col min="5" max="5" width="16.33203125" style="1" customWidth="1"/>
    <col min="6" max="7" width="11.4140625" style="1" customWidth="1"/>
    <col min="8" max="16384" width="8.6640625" style="1"/>
  </cols>
  <sheetData>
    <row r="1" spans="1:4" s="11" customFormat="1" x14ac:dyDescent="0.3">
      <c r="D1" s="11" t="s">
        <v>201</v>
      </c>
    </row>
    <row r="2" spans="1:4" s="11" customFormat="1" x14ac:dyDescent="0.3">
      <c r="B2" s="11" t="s">
        <v>202</v>
      </c>
      <c r="C2" s="11">
        <v>200000</v>
      </c>
      <c r="D2" s="11" t="s">
        <v>198</v>
      </c>
    </row>
    <row r="4" spans="1:4" s="11" customFormat="1" x14ac:dyDescent="0.3">
      <c r="A4" s="28" t="s">
        <v>68</v>
      </c>
      <c r="B4" s="11" t="s">
        <v>203</v>
      </c>
      <c r="C4" s="11" t="s">
        <v>70</v>
      </c>
      <c r="D4" s="11" t="s">
        <v>0</v>
      </c>
    </row>
    <row r="5" spans="1:4" x14ac:dyDescent="0.3">
      <c r="B5" s="1" t="s">
        <v>180</v>
      </c>
      <c r="C5" s="1">
        <v>140400000</v>
      </c>
      <c r="D5" s="1" t="s">
        <v>199</v>
      </c>
    </row>
    <row r="6" spans="1:4" x14ac:dyDescent="0.3">
      <c r="B6" s="1" t="s">
        <v>60</v>
      </c>
      <c r="C6" s="1">
        <v>57630000</v>
      </c>
      <c r="D6" s="1" t="s">
        <v>199</v>
      </c>
    </row>
    <row r="7" spans="1:4" x14ac:dyDescent="0.3">
      <c r="B7" s="1" t="s">
        <v>61</v>
      </c>
      <c r="C7" s="1">
        <v>229600000</v>
      </c>
      <c r="D7" s="1" t="s">
        <v>199</v>
      </c>
    </row>
    <row r="8" spans="1:4" x14ac:dyDescent="0.3">
      <c r="B8" s="1" t="s">
        <v>62</v>
      </c>
      <c r="C8" s="1">
        <v>54910000</v>
      </c>
      <c r="D8" s="1" t="s">
        <v>199</v>
      </c>
    </row>
    <row r="9" spans="1:4" x14ac:dyDescent="0.3">
      <c r="B9" s="1" t="s">
        <v>63</v>
      </c>
      <c r="C9" s="1">
        <v>57750000</v>
      </c>
      <c r="D9" s="1" t="s">
        <v>199</v>
      </c>
    </row>
    <row r="10" spans="1:4" x14ac:dyDescent="0.3">
      <c r="B10" s="1" t="s">
        <v>71</v>
      </c>
      <c r="C10" s="1">
        <v>189100000</v>
      </c>
      <c r="D10" s="1" t="s">
        <v>198</v>
      </c>
    </row>
    <row r="11" spans="1:4" x14ac:dyDescent="0.3">
      <c r="B11" s="1" t="s">
        <v>181</v>
      </c>
      <c r="C11" s="1">
        <v>33580000</v>
      </c>
      <c r="D11" s="1" t="s">
        <v>198</v>
      </c>
    </row>
    <row r="12" spans="1:4" x14ac:dyDescent="0.3">
      <c r="B12" s="1" t="s">
        <v>65</v>
      </c>
      <c r="C12" s="1">
        <v>33580000</v>
      </c>
      <c r="D12" s="1" t="s">
        <v>198</v>
      </c>
    </row>
    <row r="13" spans="1:4" x14ac:dyDescent="0.3">
      <c r="B13" s="1" t="s">
        <v>182</v>
      </c>
      <c r="C13" s="1">
        <v>8059000</v>
      </c>
      <c r="D13" s="1" t="s">
        <v>198</v>
      </c>
    </row>
    <row r="14" spans="1:4" x14ac:dyDescent="0.3">
      <c r="B14" s="1" t="s">
        <v>67</v>
      </c>
      <c r="C14" s="1">
        <v>53720000</v>
      </c>
      <c r="D14" s="1" t="s">
        <v>198</v>
      </c>
    </row>
    <row r="17" spans="1:5" s="11" customFormat="1" x14ac:dyDescent="0.3">
      <c r="A17" s="28" t="s">
        <v>9</v>
      </c>
      <c r="B17" s="11" t="s">
        <v>203</v>
      </c>
      <c r="C17" s="11" t="s">
        <v>58</v>
      </c>
      <c r="D17" s="11" t="s">
        <v>0</v>
      </c>
    </row>
    <row r="18" spans="1:5" x14ac:dyDescent="0.3">
      <c r="B18" s="1" t="s">
        <v>59</v>
      </c>
      <c r="C18" s="1">
        <f>C5*'Exchange Rate'!$C$18/'Exchange Rate'!$C$13*'Exchange Rate'!$G$18</f>
        <v>680625937.59915388</v>
      </c>
      <c r="D18" s="1" t="s">
        <v>199</v>
      </c>
    </row>
    <row r="19" spans="1:5" x14ac:dyDescent="0.3">
      <c r="B19" s="1" t="s">
        <v>60</v>
      </c>
      <c r="C19" s="1">
        <f>C6*'Exchange Rate'!$C$18/'Exchange Rate'!$C$13*'Exchange Rate'!$G$18</f>
        <v>279376586.77948177</v>
      </c>
      <c r="D19" s="1" t="s">
        <v>199</v>
      </c>
    </row>
    <row r="20" spans="1:5" x14ac:dyDescent="0.3">
      <c r="B20" s="1" t="s">
        <v>61</v>
      </c>
      <c r="C20" s="1">
        <f>C7*'Exchange Rate'!$C$18/'Exchange Rate'!$C$13*'Exchange Rate'!$G$18</f>
        <v>1113046405.076679</v>
      </c>
      <c r="D20" s="1" t="s">
        <v>199</v>
      </c>
    </row>
    <row r="21" spans="1:5" x14ac:dyDescent="0.3">
      <c r="B21" s="1" t="s">
        <v>62</v>
      </c>
      <c r="C21" s="1">
        <f>C8*'Exchange Rate'!$C$18/'Exchange Rate'!$C$13*'Exchange Rate'!$G$18</f>
        <v>266190671.17927021</v>
      </c>
      <c r="D21" s="1" t="s">
        <v>199</v>
      </c>
    </row>
    <row r="22" spans="1:5" x14ac:dyDescent="0.3">
      <c r="B22" s="1" t="s">
        <v>63</v>
      </c>
      <c r="C22" s="1">
        <f>C9*'Exchange Rate'!$C$18/'Exchange Rate'!$C$13*'Exchange Rate'!$G$18</f>
        <v>279958318.35007936</v>
      </c>
      <c r="D22" s="1" t="s">
        <v>199</v>
      </c>
    </row>
    <row r="23" spans="1:5" x14ac:dyDescent="0.3">
      <c r="B23" s="1" t="s">
        <v>73</v>
      </c>
      <c r="C23" s="1">
        <f>C10*'Exchange Rate'!$C$18/'Exchange Rate'!$C$13*'Exchange Rate'!$G$18</f>
        <v>916712000</v>
      </c>
      <c r="D23" s="1" t="s">
        <v>198</v>
      </c>
    </row>
    <row r="24" spans="1:5" x14ac:dyDescent="0.3">
      <c r="B24" s="1" t="s">
        <v>72</v>
      </c>
      <c r="C24" s="1">
        <f>C11*'Exchange Rate'!$C$18/'Exchange Rate'!$C$13*'Exchange Rate'!$G$18</f>
        <v>162787884.50555262</v>
      </c>
      <c r="D24" s="1" t="s">
        <v>198</v>
      </c>
    </row>
    <row r="25" spans="1:5" x14ac:dyDescent="0.3">
      <c r="B25" s="1" t="s">
        <v>65</v>
      </c>
      <c r="C25" s="1">
        <f>C12*'Exchange Rate'!$C$18/'Exchange Rate'!$C$13*'Exchange Rate'!$G$18</f>
        <v>162787884.50555262</v>
      </c>
      <c r="D25" s="1" t="s">
        <v>198</v>
      </c>
    </row>
    <row r="26" spans="1:5" x14ac:dyDescent="0.3">
      <c r="B26" s="1" t="s">
        <v>66</v>
      </c>
      <c r="C26" s="1">
        <f>C13*'Exchange Rate'!$C$18/'Exchange Rate'!$C$13*'Exchange Rate'!$G$18</f>
        <v>39068122.728714965</v>
      </c>
      <c r="D26" s="1" t="s">
        <v>198</v>
      </c>
    </row>
    <row r="27" spans="1:5" x14ac:dyDescent="0.3">
      <c r="B27" s="1" t="s">
        <v>67</v>
      </c>
      <c r="C27" s="1">
        <f>C14*'Exchange Rate'!$C$18/'Exchange Rate'!$C$13*'Exchange Rate'!$G$18</f>
        <v>260421833.10417768</v>
      </c>
      <c r="D27" s="1" t="s">
        <v>198</v>
      </c>
    </row>
    <row r="28" spans="1:5" x14ac:dyDescent="0.3">
      <c r="C28" s="1">
        <f>SUM(C18:C27)</f>
        <v>4160975643.8286624</v>
      </c>
    </row>
    <row r="29" spans="1:5" s="11" customFormat="1" x14ac:dyDescent="0.3">
      <c r="B29" s="11" t="s">
        <v>232</v>
      </c>
      <c r="C29" s="11" t="s">
        <v>233</v>
      </c>
      <c r="D29" s="11" t="s">
        <v>234</v>
      </c>
    </row>
    <row r="30" spans="1:5" x14ac:dyDescent="0.3">
      <c r="B30" s="1" t="s">
        <v>226</v>
      </c>
      <c r="C30" s="1">
        <v>0.7</v>
      </c>
      <c r="D30" s="1" t="s">
        <v>235</v>
      </c>
    </row>
    <row r="32" spans="1:5" s="11" customFormat="1" x14ac:dyDescent="0.3">
      <c r="B32" s="11" t="s">
        <v>204</v>
      </c>
      <c r="C32" s="11" t="s">
        <v>233</v>
      </c>
      <c r="E32" s="11" t="s">
        <v>234</v>
      </c>
    </row>
    <row r="33" spans="2:8" x14ac:dyDescent="0.3">
      <c r="B33" s="1" t="s">
        <v>226</v>
      </c>
      <c r="C33" s="37">
        <v>4.2000000000000003E-2</v>
      </c>
      <c r="D33" s="1" t="s">
        <v>205</v>
      </c>
      <c r="E33" s="1" t="s">
        <v>206</v>
      </c>
      <c r="F33" s="30"/>
    </row>
    <row r="36" spans="2:8" x14ac:dyDescent="0.3">
      <c r="D36" s="29"/>
    </row>
    <row r="39" spans="2:8" x14ac:dyDescent="0.3">
      <c r="D39" s="30"/>
    </row>
    <row r="40" spans="2:8" x14ac:dyDescent="0.3">
      <c r="D40" s="30"/>
    </row>
    <row r="41" spans="2:8" x14ac:dyDescent="0.3">
      <c r="D41" s="30"/>
    </row>
    <row r="42" spans="2:8" x14ac:dyDescent="0.3">
      <c r="D42" s="30"/>
    </row>
    <row r="43" spans="2:8" x14ac:dyDescent="0.3">
      <c r="B43" s="11"/>
    </row>
    <row r="48" spans="2:8" s="31" customFormat="1" x14ac:dyDescent="0.3">
      <c r="B48" s="11" t="s">
        <v>225</v>
      </c>
      <c r="C48" s="31" t="s">
        <v>3</v>
      </c>
      <c r="D48" s="31" t="s">
        <v>4</v>
      </c>
      <c r="E48" s="31" t="s">
        <v>5</v>
      </c>
      <c r="F48" s="31" t="s">
        <v>4</v>
      </c>
      <c r="G48" s="31" t="s">
        <v>34</v>
      </c>
      <c r="H48" s="31" t="s">
        <v>0</v>
      </c>
    </row>
    <row r="49" spans="1:8" s="31" customFormat="1" x14ac:dyDescent="0.3">
      <c r="A49" s="32" t="s">
        <v>9</v>
      </c>
      <c r="B49" s="31" t="s">
        <v>209</v>
      </c>
      <c r="C49" s="31">
        <v>0.69535066392038625</v>
      </c>
      <c r="D49" s="31" t="s">
        <v>35</v>
      </c>
      <c r="E49" s="31">
        <f>1.115/26.3*29.307</f>
        <v>1.2424830798479087</v>
      </c>
      <c r="F49" s="31" t="s">
        <v>8</v>
      </c>
      <c r="G49" s="31">
        <f>C49*E49</f>
        <v>0.86396143448208962</v>
      </c>
      <c r="H49" s="36" t="s">
        <v>224</v>
      </c>
    </row>
    <row r="50" spans="1:8" s="31" customFormat="1" x14ac:dyDescent="0.3">
      <c r="B50" s="33" t="s">
        <v>210</v>
      </c>
      <c r="C50" s="31">
        <v>0.545780736111111</v>
      </c>
      <c r="D50" s="31" t="s">
        <v>35</v>
      </c>
      <c r="E50" s="31">
        <f>0.315/26.3*29.307</f>
        <v>0.35101539923954372</v>
      </c>
      <c r="F50" s="31" t="s">
        <v>8</v>
      </c>
      <c r="G50" s="31">
        <f>C50*E50</f>
        <v>0.19157744298329368</v>
      </c>
      <c r="H50" s="36" t="s">
        <v>224</v>
      </c>
    </row>
    <row r="51" spans="1:8" s="31" customFormat="1" x14ac:dyDescent="0.3">
      <c r="B51" s="33" t="s">
        <v>211</v>
      </c>
      <c r="C51" s="31">
        <v>0.55463666666666667</v>
      </c>
      <c r="D51" s="31" t="s">
        <v>40</v>
      </c>
      <c r="E51" s="31">
        <v>0.34100000000000003</v>
      </c>
      <c r="F51" s="31" t="s">
        <v>197</v>
      </c>
      <c r="G51" s="31">
        <f>C51*E51</f>
        <v>0.18913110333333336</v>
      </c>
      <c r="H51" s="36" t="s">
        <v>223</v>
      </c>
    </row>
    <row r="52" spans="1:8" s="31" customFormat="1" x14ac:dyDescent="0.3">
      <c r="B52" s="31" t="s">
        <v>219</v>
      </c>
      <c r="C52" s="31">
        <v>4.1000000000000003E-3</v>
      </c>
      <c r="D52" s="31" t="s">
        <v>33</v>
      </c>
      <c r="E52" s="31">
        <v>5.7240000000000002</v>
      </c>
      <c r="F52" s="31" t="s">
        <v>8</v>
      </c>
      <c r="G52" s="31">
        <f>C52*E52</f>
        <v>2.3468400000000004E-2</v>
      </c>
      <c r="H52" s="34" t="s">
        <v>207</v>
      </c>
    </row>
    <row r="53" spans="1:8" s="31" customFormat="1" x14ac:dyDescent="0.3">
      <c r="B53" s="31" t="s">
        <v>212</v>
      </c>
      <c r="C53" s="31">
        <v>0.14149999999999999</v>
      </c>
      <c r="D53" s="31" t="s">
        <v>35</v>
      </c>
      <c r="E53" s="31">
        <v>8.5000000000000006E-5</v>
      </c>
      <c r="F53" s="31" t="s">
        <v>8</v>
      </c>
      <c r="G53" s="31">
        <f t="shared" ref="G53:G58" si="0">C53*E53</f>
        <v>1.20275E-5</v>
      </c>
      <c r="H53" s="34" t="s">
        <v>208</v>
      </c>
    </row>
    <row r="54" spans="1:8" s="31" customFormat="1" x14ac:dyDescent="0.3">
      <c r="B54" s="31" t="s">
        <v>213</v>
      </c>
      <c r="C54" s="31">
        <v>15.901</v>
      </c>
      <c r="D54" s="31" t="s">
        <v>35</v>
      </c>
      <c r="E54" s="31">
        <v>1.0000000000000001E-5</v>
      </c>
      <c r="F54" s="31" t="s">
        <v>8</v>
      </c>
      <c r="G54" s="31">
        <f t="shared" si="0"/>
        <v>1.5901000000000001E-4</v>
      </c>
      <c r="H54" s="36" t="s">
        <v>214</v>
      </c>
    </row>
    <row r="55" spans="1:8" s="31" customFormat="1" x14ac:dyDescent="0.3">
      <c r="B55" s="31" t="s">
        <v>177</v>
      </c>
      <c r="C55" s="31">
        <f>(828.5+1054.2+883.2)/3/1000</f>
        <v>0.92196666666666671</v>
      </c>
      <c r="D55" s="31" t="s">
        <v>35</v>
      </c>
      <c r="E55" s="31">
        <v>5.4999999999999997E-3</v>
      </c>
      <c r="F55" s="31" t="s">
        <v>8</v>
      </c>
      <c r="G55" s="31">
        <f>C55*E55</f>
        <v>5.0708166666666669E-3</v>
      </c>
      <c r="H55" s="34" t="s">
        <v>222</v>
      </c>
    </row>
    <row r="56" spans="1:8" s="31" customFormat="1" x14ac:dyDescent="0.3">
      <c r="B56" s="31" t="s">
        <v>215</v>
      </c>
      <c r="C56" s="31">
        <v>0.38</v>
      </c>
      <c r="D56" s="31" t="s">
        <v>35</v>
      </c>
      <c r="E56" s="31">
        <v>0.06</v>
      </c>
      <c r="F56" s="31" t="s">
        <v>8</v>
      </c>
      <c r="G56" s="31">
        <f>C56*E56</f>
        <v>2.2800000000000001E-2</v>
      </c>
      <c r="H56" s="34" t="s">
        <v>216</v>
      </c>
    </row>
    <row r="57" spans="1:8" s="31" customFormat="1" x14ac:dyDescent="0.3">
      <c r="B57" s="31" t="s">
        <v>217</v>
      </c>
      <c r="C57" s="31">
        <v>3</v>
      </c>
      <c r="D57" s="31" t="s">
        <v>35</v>
      </c>
      <c r="E57" s="31">
        <v>4.4900000000000002E-6</v>
      </c>
      <c r="F57" s="31" t="s">
        <v>8</v>
      </c>
      <c r="G57" s="31">
        <f t="shared" si="0"/>
        <v>1.3470000000000001E-5</v>
      </c>
      <c r="H57" s="34" t="s">
        <v>221</v>
      </c>
    </row>
    <row r="58" spans="1:8" s="31" customFormat="1" x14ac:dyDescent="0.3">
      <c r="B58" s="31" t="s">
        <v>6</v>
      </c>
      <c r="C58" s="31">
        <f>2.92*'Exchange Rate'!$E$18*'Exchange Rate'!$C$18/'Exchange Rate'!$C$19</f>
        <v>19.182856798024691</v>
      </c>
      <c r="D58" s="31" t="s">
        <v>35</v>
      </c>
      <c r="E58" s="31">
        <v>2.1000000000000001E-4</v>
      </c>
      <c r="F58" s="31" t="s">
        <v>8</v>
      </c>
      <c r="G58" s="31">
        <f t="shared" si="0"/>
        <v>4.0283999275851851E-3</v>
      </c>
      <c r="H58" s="31" t="s">
        <v>155</v>
      </c>
    </row>
  </sheetData>
  <phoneticPr fontId="1" type="noConversion"/>
  <hyperlinks>
    <hyperlink ref="H53" r:id="rId1" xr:uid="{950FCFFC-3E47-43BF-9A15-2F4236A433A7}"/>
    <hyperlink ref="H56" r:id="rId2" xr:uid="{3F2A7EFE-6541-416B-A225-07957C164219}"/>
    <hyperlink ref="H57" r:id="rId3" xr:uid="{24735EF3-9A25-43D3-BE80-41220AFCDEF5}"/>
    <hyperlink ref="H52" r:id="rId4" xr:uid="{A3296C29-C71D-4FE8-A9D6-E60679F3B6F4}"/>
    <hyperlink ref="H54" r:id="rId5" xr:uid="{AB03A0DA-E669-46F9-B659-3659B10CCB25}"/>
    <hyperlink ref="H51" r:id="rId6" xr:uid="{1C20A4F4-3AC4-4645-946D-18E8A42F714A}"/>
    <hyperlink ref="H50" r:id="rId7" xr:uid="{273716C6-11A9-48AA-8D86-16C3E829A686}"/>
    <hyperlink ref="H49" r:id="rId8" xr:uid="{804C582A-ECAE-4A3A-BA62-D794C8CFAFBA}"/>
  </hyperlinks>
  <pageMargins left="0.7" right="0.7" top="0.75" bottom="0.75" header="0.3" footer="0.3"/>
  <pageSetup paperSize="9" orientation="portrait" horizontalDpi="1200" verticalDpi="1200" r:id="rId9"/>
  <legacy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D2A5-EE2E-4A55-8907-03679660A525}">
  <dimension ref="A2:I37"/>
  <sheetViews>
    <sheetView zoomScale="70" zoomScaleNormal="7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J35" sqref="J35"/>
    </sheetView>
  </sheetViews>
  <sheetFormatPr defaultRowHeight="13" x14ac:dyDescent="0.3"/>
  <cols>
    <col min="1" max="1" width="8.6640625" style="10"/>
    <col min="2" max="2" width="15" style="10" customWidth="1"/>
    <col min="3" max="3" width="21.75" style="10" customWidth="1"/>
    <col min="4" max="4" width="18.4140625" style="10" customWidth="1"/>
    <col min="5" max="5" width="19.25" style="10" customWidth="1"/>
    <col min="6" max="6" width="19.83203125" style="10" customWidth="1"/>
    <col min="7" max="7" width="19.58203125" style="10" customWidth="1"/>
    <col min="8" max="8" width="20" style="10" customWidth="1"/>
    <col min="9" max="9" width="28.9140625" style="10" customWidth="1"/>
    <col min="10" max="16384" width="8.6640625" style="10"/>
  </cols>
  <sheetData>
    <row r="2" spans="1:9" s="13" customFormat="1" ht="18" x14ac:dyDescent="0.3">
      <c r="A2" s="42"/>
      <c r="B2" s="43"/>
      <c r="C2" s="43" t="s">
        <v>379</v>
      </c>
      <c r="D2" s="43" t="s">
        <v>381</v>
      </c>
      <c r="E2" s="43" t="s">
        <v>384</v>
      </c>
      <c r="F2" s="43" t="s">
        <v>385</v>
      </c>
      <c r="G2" s="43" t="s">
        <v>386</v>
      </c>
      <c r="H2" s="43" t="s">
        <v>387</v>
      </c>
      <c r="I2" s="43" t="s">
        <v>388</v>
      </c>
    </row>
    <row r="3" spans="1:9" s="13" customFormat="1" ht="15" x14ac:dyDescent="0.3">
      <c r="A3" s="44"/>
      <c r="B3" s="44" t="s">
        <v>382</v>
      </c>
      <c r="C3" s="44" t="s">
        <v>284</v>
      </c>
      <c r="D3" s="44" t="s">
        <v>378</v>
      </c>
      <c r="E3" s="44" t="s">
        <v>378</v>
      </c>
      <c r="F3" s="44" t="s">
        <v>380</v>
      </c>
      <c r="G3" s="44" t="s">
        <v>39</v>
      </c>
      <c r="H3" s="44" t="s">
        <v>39</v>
      </c>
      <c r="I3" s="44" t="s">
        <v>285</v>
      </c>
    </row>
    <row r="4" spans="1:9" s="13" customFormat="1" ht="15.5" x14ac:dyDescent="0.3">
      <c r="A4" s="45">
        <v>1</v>
      </c>
      <c r="B4" s="45" t="s">
        <v>100</v>
      </c>
      <c r="C4" s="46">
        <v>0.62</v>
      </c>
      <c r="D4" s="46">
        <v>0.61376083333333331</v>
      </c>
      <c r="E4" s="46">
        <v>0.78196054699112394</v>
      </c>
      <c r="F4" s="46">
        <v>3.1443750000000001</v>
      </c>
      <c r="G4" s="46">
        <v>0.1734</v>
      </c>
      <c r="H4" s="46">
        <v>0.23202286817388601</v>
      </c>
      <c r="I4" s="45">
        <v>100</v>
      </c>
    </row>
    <row r="5" spans="1:9" ht="15.5" x14ac:dyDescent="0.3">
      <c r="A5" s="45">
        <v>2</v>
      </c>
      <c r="B5" s="45" t="s">
        <v>169</v>
      </c>
      <c r="C5" s="46">
        <v>0.65700000000000003</v>
      </c>
      <c r="D5" s="46">
        <v>0.53104166666666663</v>
      </c>
      <c r="E5" s="46">
        <v>0.67657238714061207</v>
      </c>
      <c r="F5" s="46">
        <v>2.87</v>
      </c>
      <c r="G5" s="46">
        <v>0.1865</v>
      </c>
      <c r="H5" s="46">
        <v>0.18024513338138787</v>
      </c>
      <c r="I5" s="45">
        <v>100</v>
      </c>
    </row>
    <row r="6" spans="1:9" ht="15.5" x14ac:dyDescent="0.3">
      <c r="A6" s="45">
        <v>3</v>
      </c>
      <c r="B6" s="45" t="s">
        <v>108</v>
      </c>
      <c r="C6" s="46">
        <v>0.58069999999999999</v>
      </c>
      <c r="D6" s="46">
        <v>0.60422833333333337</v>
      </c>
      <c r="E6" s="46">
        <v>0.76981568777338927</v>
      </c>
      <c r="F6" s="46">
        <v>2.04</v>
      </c>
      <c r="G6" s="46">
        <v>0.15140000000000001</v>
      </c>
      <c r="H6" s="46">
        <v>0.18264840182647984</v>
      </c>
      <c r="I6" s="45">
        <v>100</v>
      </c>
    </row>
    <row r="7" spans="1:9" ht="15.5" x14ac:dyDescent="0.3">
      <c r="A7" s="45">
        <v>4</v>
      </c>
      <c r="B7" s="45" t="s">
        <v>101</v>
      </c>
      <c r="C7" s="46">
        <v>0.56020000000000003</v>
      </c>
      <c r="D7" s="46">
        <v>0.61630249999999986</v>
      </c>
      <c r="E7" s="46">
        <v>0.78519875143330398</v>
      </c>
      <c r="F7" s="46">
        <v>3.5632857142857142</v>
      </c>
      <c r="G7" s="46">
        <v>0.19309999999999999</v>
      </c>
      <c r="H7" s="46">
        <v>0.27397260273972501</v>
      </c>
      <c r="I7" s="45">
        <v>500</v>
      </c>
    </row>
    <row r="8" spans="1:9" ht="15.5" x14ac:dyDescent="0.3">
      <c r="A8" s="45">
        <v>5</v>
      </c>
      <c r="B8" s="45" t="s">
        <v>112</v>
      </c>
      <c r="C8" s="46">
        <v>0.45319999999999999</v>
      </c>
      <c r="D8" s="46">
        <v>0.49722666666666676</v>
      </c>
      <c r="E8" s="46">
        <v>0.63349046587675695</v>
      </c>
      <c r="F8" s="46">
        <v>2.3388888888888886</v>
      </c>
      <c r="G8" s="46">
        <v>0.21429999999999999</v>
      </c>
      <c r="H8" s="46">
        <v>0.25288682780187899</v>
      </c>
      <c r="I8" s="45">
        <v>100</v>
      </c>
    </row>
    <row r="9" spans="1:9" ht="15.5" x14ac:dyDescent="0.3">
      <c r="A9" s="45">
        <v>6</v>
      </c>
      <c r="B9" s="45" t="s">
        <v>106</v>
      </c>
      <c r="C9" s="46">
        <v>0.58340000000000003</v>
      </c>
      <c r="D9" s="46">
        <v>0.63301916666666658</v>
      </c>
      <c r="E9" s="46">
        <v>0.80649658130547397</v>
      </c>
      <c r="F9" s="46">
        <v>4.0166666666666666</v>
      </c>
      <c r="G9" s="46">
        <v>0.192</v>
      </c>
      <c r="H9" s="46">
        <v>0.20145044319097441</v>
      </c>
      <c r="I9" s="45">
        <v>500</v>
      </c>
    </row>
    <row r="10" spans="1:9" ht="15.5" x14ac:dyDescent="0.3">
      <c r="A10" s="45">
        <v>7</v>
      </c>
      <c r="B10" s="45" t="s">
        <v>107</v>
      </c>
      <c r="C10" s="46">
        <v>0.60109999999999997</v>
      </c>
      <c r="D10" s="46">
        <v>0.73103499999999999</v>
      </c>
      <c r="E10" s="46">
        <v>0.93137342336603401</v>
      </c>
      <c r="F10" s="46">
        <v>3.7749999999999999</v>
      </c>
      <c r="G10" s="46">
        <v>0.18410000000000001</v>
      </c>
      <c r="H10" s="46">
        <v>0.23050579557428749</v>
      </c>
      <c r="I10" s="45">
        <v>500</v>
      </c>
    </row>
    <row r="11" spans="1:9" ht="15.5" x14ac:dyDescent="0.3">
      <c r="A11" s="45">
        <v>8</v>
      </c>
      <c r="B11" s="45" t="s">
        <v>110</v>
      </c>
      <c r="C11" s="46">
        <v>0.52170000000000005</v>
      </c>
      <c r="D11" s="46">
        <v>0.49669583333333339</v>
      </c>
      <c r="E11" s="46">
        <v>0.63281415891621018</v>
      </c>
      <c r="F11" s="46">
        <v>3.3299999999999996</v>
      </c>
      <c r="G11" s="46">
        <v>0.1862</v>
      </c>
      <c r="H11" s="46">
        <v>0.20346842690514999</v>
      </c>
      <c r="I11" s="45">
        <v>100</v>
      </c>
    </row>
    <row r="12" spans="1:9" ht="15.5" x14ac:dyDescent="0.3">
      <c r="A12" s="45">
        <v>9</v>
      </c>
      <c r="B12" s="45" t="s">
        <v>170</v>
      </c>
      <c r="C12" s="46">
        <v>0.63</v>
      </c>
      <c r="D12" s="46">
        <v>0.58041749999999992</v>
      </c>
      <c r="E12" s="46">
        <v>0.73947955153522715</v>
      </c>
      <c r="F12" s="46">
        <v>3.2995000000000001</v>
      </c>
      <c r="G12" s="46">
        <v>0.216</v>
      </c>
      <c r="H12" s="46">
        <v>0.16787536932580688</v>
      </c>
      <c r="I12" s="45">
        <v>100</v>
      </c>
    </row>
    <row r="13" spans="1:9" ht="15.5" x14ac:dyDescent="0.3">
      <c r="A13" s="45">
        <v>10</v>
      </c>
      <c r="B13" s="45" t="s">
        <v>176</v>
      </c>
      <c r="C13" s="46">
        <v>0.53310000000000002</v>
      </c>
      <c r="D13" s="46">
        <v>0.49842375000000005</v>
      </c>
      <c r="E13" s="46">
        <v>0.63501560708370497</v>
      </c>
      <c r="F13" s="46">
        <v>3.0297499999999999</v>
      </c>
      <c r="G13" s="46">
        <v>0.18770000000000001</v>
      </c>
      <c r="H13" s="46">
        <v>0.24497011118442411</v>
      </c>
      <c r="I13" s="45">
        <v>100</v>
      </c>
    </row>
    <row r="14" spans="1:9" ht="15.5" x14ac:dyDescent="0.3">
      <c r="A14" s="45">
        <v>11</v>
      </c>
      <c r="B14" s="45" t="s">
        <v>96</v>
      </c>
      <c r="C14" s="46">
        <v>0.57079999999999997</v>
      </c>
      <c r="D14" s="46">
        <v>0.50980666666666663</v>
      </c>
      <c r="E14" s="46">
        <v>0.6495179853059837</v>
      </c>
      <c r="F14" s="46">
        <v>3.7050000000000001</v>
      </c>
      <c r="G14" s="46">
        <v>0.17269999999999999</v>
      </c>
      <c r="H14" s="46">
        <v>0.24969074998854579</v>
      </c>
      <c r="I14" s="45">
        <v>100</v>
      </c>
    </row>
    <row r="15" spans="1:9" ht="15.5" x14ac:dyDescent="0.3">
      <c r="A15" s="45">
        <v>12</v>
      </c>
      <c r="B15" s="45" t="s">
        <v>103</v>
      </c>
      <c r="C15" s="46">
        <v>0.59599999999999997</v>
      </c>
      <c r="D15" s="46">
        <v>0.60539749999999992</v>
      </c>
      <c r="E15" s="46">
        <v>0.77130526181679193</v>
      </c>
      <c r="F15" s="46">
        <v>2.7527272727272729</v>
      </c>
      <c r="G15" s="46">
        <v>0.17319999999999999</v>
      </c>
      <c r="H15" s="46">
        <v>0.13903524177496748</v>
      </c>
      <c r="I15" s="45">
        <v>100</v>
      </c>
    </row>
    <row r="16" spans="1:9" ht="15.5" x14ac:dyDescent="0.3">
      <c r="A16" s="45">
        <v>13</v>
      </c>
      <c r="B16" s="45" t="s">
        <v>104</v>
      </c>
      <c r="C16" s="46">
        <v>0.59189999999999998</v>
      </c>
      <c r="D16" s="46">
        <v>0.64740583333333335</v>
      </c>
      <c r="E16" s="46">
        <v>0.82482588015458413</v>
      </c>
      <c r="F16" s="46">
        <v>2.9617499999999999</v>
      </c>
      <c r="G16" s="46">
        <v>0.16819999999999999</v>
      </c>
      <c r="H16" s="46">
        <v>0.22072314420118838</v>
      </c>
      <c r="I16" s="45">
        <v>100</v>
      </c>
    </row>
    <row r="17" spans="1:9" ht="15.5" x14ac:dyDescent="0.3">
      <c r="A17" s="45">
        <v>14</v>
      </c>
      <c r="B17" s="45" t="s">
        <v>105</v>
      </c>
      <c r="C17" s="46">
        <v>0.61470000000000002</v>
      </c>
      <c r="D17" s="46">
        <v>0.68205083333333338</v>
      </c>
      <c r="E17" s="46">
        <v>0.86896526096742699</v>
      </c>
      <c r="F17" s="46">
        <v>3.3616666666666668</v>
      </c>
      <c r="G17" s="46">
        <v>0.16420000000000001</v>
      </c>
      <c r="H17" s="46">
        <v>0.1968193985199175</v>
      </c>
      <c r="I17" s="45">
        <v>100</v>
      </c>
    </row>
    <row r="18" spans="1:9" ht="15.5" x14ac:dyDescent="0.3">
      <c r="A18" s="45">
        <v>15</v>
      </c>
      <c r="B18" s="45" t="s">
        <v>94</v>
      </c>
      <c r="C18" s="46">
        <v>0.43890000000000001</v>
      </c>
      <c r="D18" s="46">
        <v>0.26375583333333297</v>
      </c>
      <c r="E18" s="46">
        <v>0.33603749946914696</v>
      </c>
      <c r="F18" s="46">
        <v>2.4650000000000003</v>
      </c>
      <c r="G18" s="46">
        <v>0.2031</v>
      </c>
      <c r="H18" s="46">
        <v>0.28027521402617483</v>
      </c>
      <c r="I18" s="45">
        <v>100</v>
      </c>
    </row>
    <row r="19" spans="1:9" ht="15.5" x14ac:dyDescent="0.3">
      <c r="A19" s="45">
        <v>16</v>
      </c>
      <c r="B19" s="45" t="s">
        <v>98</v>
      </c>
      <c r="C19" s="46">
        <v>0.62680000000000002</v>
      </c>
      <c r="D19" s="46">
        <v>0.5968675</v>
      </c>
      <c r="E19" s="46">
        <v>0.7604376353675627</v>
      </c>
      <c r="F19" s="46">
        <v>3.2162499999999992</v>
      </c>
      <c r="G19" s="46">
        <v>0.17299999999999999</v>
      </c>
      <c r="H19" s="46">
        <v>0.2283105022831047</v>
      </c>
      <c r="I19" s="45">
        <v>100</v>
      </c>
    </row>
    <row r="20" spans="1:9" ht="15.5" x14ac:dyDescent="0.3">
      <c r="A20" s="45">
        <v>17</v>
      </c>
      <c r="B20" s="45" t="s">
        <v>102</v>
      </c>
      <c r="C20" s="46">
        <v>0.60429999999999995</v>
      </c>
      <c r="D20" s="46">
        <v>0.70204583333333326</v>
      </c>
      <c r="E20" s="46">
        <v>0.89443984371682161</v>
      </c>
      <c r="F20" s="46">
        <v>2.9765999999999999</v>
      </c>
      <c r="G20" s="46">
        <v>0.1754</v>
      </c>
      <c r="H20" s="46">
        <v>0.20801623541349465</v>
      </c>
      <c r="I20" s="45">
        <v>100</v>
      </c>
    </row>
    <row r="21" spans="1:9" ht="15.5" x14ac:dyDescent="0.3">
      <c r="A21" s="45">
        <v>18</v>
      </c>
      <c r="B21" s="45" t="s">
        <v>173</v>
      </c>
      <c r="C21" s="46">
        <v>0.5716</v>
      </c>
      <c r="D21" s="46">
        <v>0.55140249999999991</v>
      </c>
      <c r="E21" s="46">
        <v>0.70251305898840599</v>
      </c>
      <c r="F21" s="46">
        <v>3.0350000000000001</v>
      </c>
      <c r="G21" s="46">
        <v>0.1784</v>
      </c>
      <c r="H21" s="46">
        <v>0.25029760318390937</v>
      </c>
      <c r="I21" s="45">
        <v>100</v>
      </c>
    </row>
    <row r="22" spans="1:9" ht="15.5" x14ac:dyDescent="0.3">
      <c r="A22" s="45">
        <v>19</v>
      </c>
      <c r="B22" s="45" t="s">
        <v>95</v>
      </c>
      <c r="C22" s="46">
        <v>0.51559999999999995</v>
      </c>
      <c r="D22" s="46">
        <v>0.55854916666666665</v>
      </c>
      <c r="E22" s="46">
        <v>0.71161825285599023</v>
      </c>
      <c r="F22" s="46">
        <v>3.6880000000000002</v>
      </c>
      <c r="G22" s="46">
        <v>0.18140000000000001</v>
      </c>
      <c r="H22" s="46">
        <v>0.24991149592881232</v>
      </c>
      <c r="I22" s="45">
        <v>100</v>
      </c>
    </row>
    <row r="23" spans="1:9" ht="15.5" x14ac:dyDescent="0.3">
      <c r="A23" s="45">
        <v>20</v>
      </c>
      <c r="B23" s="45" t="s">
        <v>113</v>
      </c>
      <c r="C23" s="46">
        <v>0.439</v>
      </c>
      <c r="D23" s="46">
        <v>0.37913666666666662</v>
      </c>
      <c r="E23" s="46">
        <v>0.48303817896122636</v>
      </c>
      <c r="F23" s="46">
        <v>2.012</v>
      </c>
      <c r="G23" s="46">
        <v>0.214</v>
      </c>
      <c r="H23" s="46">
        <v>0.21611587604839888</v>
      </c>
      <c r="I23" s="45">
        <v>100</v>
      </c>
    </row>
    <row r="24" spans="1:9" ht="15.5" x14ac:dyDescent="0.3">
      <c r="A24" s="45">
        <v>21</v>
      </c>
      <c r="B24" s="45" t="s">
        <v>175</v>
      </c>
      <c r="C24" s="46">
        <v>0.35720000000000002</v>
      </c>
      <c r="D24" s="46">
        <v>0.52588916666666674</v>
      </c>
      <c r="E24" s="46">
        <v>0.67000785662717111</v>
      </c>
      <c r="F24" s="46">
        <v>1.71</v>
      </c>
      <c r="G24" s="46">
        <v>0.26029999999999998</v>
      </c>
      <c r="H24" s="46">
        <v>0.18909090000000001</v>
      </c>
      <c r="I24" s="45">
        <v>100</v>
      </c>
    </row>
    <row r="25" spans="1:9" ht="15.5" x14ac:dyDescent="0.3">
      <c r="A25" s="45">
        <v>22</v>
      </c>
      <c r="B25" s="45" t="s">
        <v>174</v>
      </c>
      <c r="C25" s="46">
        <v>0.5302</v>
      </c>
      <c r="D25" s="46">
        <v>0.44216333333333341</v>
      </c>
      <c r="E25" s="46">
        <v>0.56333715547628138</v>
      </c>
      <c r="F25" s="46">
        <v>2.2616666666666663</v>
      </c>
      <c r="G25" s="46">
        <v>0.1908</v>
      </c>
      <c r="H25" s="46">
        <v>0.20745250577822816</v>
      </c>
      <c r="I25" s="45">
        <v>100</v>
      </c>
    </row>
    <row r="26" spans="1:9" ht="15.5" x14ac:dyDescent="0.3">
      <c r="A26" s="45">
        <v>23</v>
      </c>
      <c r="B26" s="45" t="s">
        <v>171</v>
      </c>
      <c r="C26" s="46">
        <v>0.60219999999999996</v>
      </c>
      <c r="D26" s="46">
        <v>0.60531000000000001</v>
      </c>
      <c r="E26" s="46">
        <v>0.77119378264747096</v>
      </c>
      <c r="F26" s="46">
        <v>3.1584300000000001</v>
      </c>
      <c r="G26" s="46">
        <v>0.1784</v>
      </c>
      <c r="H26" s="46">
        <v>0.21615784902021701</v>
      </c>
      <c r="I26" s="45">
        <v>100</v>
      </c>
    </row>
    <row r="27" spans="1:9" ht="15.5" x14ac:dyDescent="0.3">
      <c r="A27" s="45">
        <v>24</v>
      </c>
      <c r="B27" s="45" t="s">
        <v>97</v>
      </c>
      <c r="C27" s="46">
        <v>0.64600000000000002</v>
      </c>
      <c r="D27" s="46">
        <v>0.5999241666666667</v>
      </c>
      <c r="E27" s="46">
        <v>0.7643319743491741</v>
      </c>
      <c r="F27" s="46">
        <v>2.72</v>
      </c>
      <c r="G27" s="46">
        <v>0.16819999999999999</v>
      </c>
      <c r="H27" s="46">
        <v>0.2894076789504102</v>
      </c>
      <c r="I27" s="45">
        <v>100</v>
      </c>
    </row>
    <row r="28" spans="1:9" ht="15.5" x14ac:dyDescent="0.3">
      <c r="A28" s="45">
        <v>25</v>
      </c>
      <c r="B28" s="45" t="s">
        <v>93</v>
      </c>
      <c r="C28" s="46">
        <v>0.47820000000000001</v>
      </c>
      <c r="D28" s="46">
        <v>0.37990666666666667</v>
      </c>
      <c r="E28" s="46">
        <v>0.48401919565125057</v>
      </c>
      <c r="F28" s="46">
        <v>3.3450000000000002</v>
      </c>
      <c r="G28" s="46">
        <v>0.19700000000000001</v>
      </c>
      <c r="H28" s="46">
        <v>0.23465854117688231</v>
      </c>
      <c r="I28" s="45">
        <v>100</v>
      </c>
    </row>
    <row r="29" spans="1:9" ht="15.5" x14ac:dyDescent="0.3">
      <c r="A29" s="45">
        <v>26</v>
      </c>
      <c r="B29" s="45" t="s">
        <v>109</v>
      </c>
      <c r="C29" s="46">
        <v>0.55740000000000001</v>
      </c>
      <c r="D29" s="46">
        <v>0.62425749999999991</v>
      </c>
      <c r="E29" s="46">
        <v>0.79533380048413815</v>
      </c>
      <c r="F29" s="46">
        <v>2.745222222222222</v>
      </c>
      <c r="G29" s="46">
        <v>0.19239999999999999</v>
      </c>
      <c r="H29" s="46">
        <v>0.24816358943815653</v>
      </c>
      <c r="I29" s="45">
        <v>100</v>
      </c>
    </row>
    <row r="30" spans="1:9" ht="15.5" x14ac:dyDescent="0.3">
      <c r="A30" s="45">
        <v>27</v>
      </c>
      <c r="B30" s="45" t="s">
        <v>92</v>
      </c>
      <c r="C30" s="46">
        <v>0.65849999999999997</v>
      </c>
      <c r="D30" s="46">
        <v>0.54984166666666656</v>
      </c>
      <c r="E30" s="46">
        <v>0.70052448294899572</v>
      </c>
      <c r="F30" s="46">
        <v>3.47</v>
      </c>
      <c r="G30" s="46">
        <v>0.1797</v>
      </c>
      <c r="H30" s="46">
        <v>0.17562346329469233</v>
      </c>
      <c r="I30" s="45">
        <v>100</v>
      </c>
    </row>
    <row r="31" spans="1:9" ht="15.5" x14ac:dyDescent="0.3">
      <c r="A31" s="45">
        <v>28</v>
      </c>
      <c r="B31" s="45" t="s">
        <v>172</v>
      </c>
      <c r="C31" s="46">
        <v>0.35599999999999998</v>
      </c>
      <c r="D31" s="46">
        <v>0.248940833333333</v>
      </c>
      <c r="E31" s="46">
        <v>0.31716248354355098</v>
      </c>
      <c r="F31" s="46">
        <v>2.278</v>
      </c>
      <c r="G31" s="46">
        <v>0.1928</v>
      </c>
      <c r="H31" s="46">
        <v>0.27686065334122478</v>
      </c>
      <c r="I31" s="45">
        <v>100</v>
      </c>
    </row>
    <row r="32" spans="1:9" ht="15.5" x14ac:dyDescent="0.3">
      <c r="A32" s="45">
        <v>29</v>
      </c>
      <c r="B32" s="45" t="s">
        <v>111</v>
      </c>
      <c r="C32" s="46">
        <v>0.50900000000000001</v>
      </c>
      <c r="D32" s="46">
        <v>0.49645916666666673</v>
      </c>
      <c r="E32" s="46">
        <v>0.63251263430585625</v>
      </c>
      <c r="F32" s="46">
        <v>3.42</v>
      </c>
      <c r="G32" s="46">
        <v>0.2394</v>
      </c>
      <c r="H32" s="46">
        <v>0.29304731914984272</v>
      </c>
      <c r="I32" s="45">
        <v>100</v>
      </c>
    </row>
    <row r="33" spans="1:9" ht="15.5" x14ac:dyDescent="0.3">
      <c r="A33" s="45">
        <v>30</v>
      </c>
      <c r="B33" s="45" t="s">
        <v>99</v>
      </c>
      <c r="C33" s="46">
        <v>0.63439999999999996</v>
      </c>
      <c r="D33" s="46">
        <v>0.60215999999999992</v>
      </c>
      <c r="E33" s="46">
        <v>0.76718053255191743</v>
      </c>
      <c r="F33" s="46">
        <v>3.2922222222222222</v>
      </c>
      <c r="G33" s="46">
        <v>0.1764</v>
      </c>
      <c r="H33" s="46">
        <v>0.23910897198568248</v>
      </c>
      <c r="I33" s="45">
        <v>100</v>
      </c>
    </row>
    <row r="34" spans="1:9" ht="15.5" x14ac:dyDescent="0.3">
      <c r="A34" s="45">
        <v>31</v>
      </c>
      <c r="B34" s="45" t="s">
        <v>186</v>
      </c>
      <c r="C34" s="46">
        <f>AVERAGE(C4:C33)</f>
        <v>0.55463666666666667</v>
      </c>
      <c r="D34" s="46">
        <f t="shared" ref="D34:G34" si="0">AVERAGE(D4:D33)</f>
        <v>0.545780736111111</v>
      </c>
      <c r="E34" s="46">
        <f t="shared" si="0"/>
        <v>0.69535066392038625</v>
      </c>
      <c r="F34" s="46">
        <f t="shared" si="0"/>
        <v>2.9994000440115438</v>
      </c>
      <c r="G34" s="46">
        <f t="shared" si="0"/>
        <v>0.18878999999999999</v>
      </c>
      <c r="H34" s="46">
        <f>AVERAGE(H4:H33)</f>
        <v>0.2259604304535951</v>
      </c>
      <c r="I34" s="45">
        <f>AVERAGE(I4:I33)</f>
        <v>140</v>
      </c>
    </row>
    <row r="37" spans="1:9" ht="148.5" customHeight="1" x14ac:dyDescent="0.3">
      <c r="A37" s="69" t="s">
        <v>383</v>
      </c>
      <c r="B37" s="70"/>
      <c r="C37" s="70"/>
      <c r="D37" s="70"/>
      <c r="E37" s="70"/>
      <c r="F37" s="70"/>
      <c r="G37" s="70"/>
      <c r="H37" s="70"/>
      <c r="I37" s="70"/>
    </row>
  </sheetData>
  <autoFilter ref="A2:I37" xr:uid="{ACD6D2A5-EE2E-4A55-8907-03679660A525}">
    <sortState xmlns:xlrd2="http://schemas.microsoft.com/office/spreadsheetml/2017/richdata2" ref="A3:I37">
      <sortCondition ref="A2:A37"/>
    </sortState>
  </autoFilter>
  <mergeCells count="1">
    <mergeCell ref="A37:I3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86FD-A8C9-4A99-BA22-2125BF3C64E0}">
  <dimension ref="A2:B32"/>
  <sheetViews>
    <sheetView workbookViewId="0">
      <selection activeCell="B32" sqref="B32"/>
    </sheetView>
  </sheetViews>
  <sheetFormatPr defaultRowHeight="14" x14ac:dyDescent="0.3"/>
  <sheetData>
    <row r="2" spans="1:2" x14ac:dyDescent="0.3">
      <c r="A2" t="s">
        <v>334</v>
      </c>
      <c r="B2">
        <v>0.26029999999999998</v>
      </c>
    </row>
    <row r="3" spans="1:2" x14ac:dyDescent="0.3">
      <c r="A3" t="s">
        <v>111</v>
      </c>
      <c r="B3">
        <v>0.2394</v>
      </c>
    </row>
    <row r="4" spans="1:2" x14ac:dyDescent="0.3">
      <c r="A4" t="s">
        <v>170</v>
      </c>
      <c r="B4">
        <v>0.216</v>
      </c>
    </row>
    <row r="5" spans="1:2" x14ac:dyDescent="0.3">
      <c r="A5" t="s">
        <v>112</v>
      </c>
      <c r="B5">
        <v>0.21429999999999999</v>
      </c>
    </row>
    <row r="6" spans="1:2" x14ac:dyDescent="0.3">
      <c r="A6" t="s">
        <v>113</v>
      </c>
      <c r="B6">
        <v>0.214</v>
      </c>
    </row>
    <row r="7" spans="1:2" x14ac:dyDescent="0.3">
      <c r="A7" t="s">
        <v>94</v>
      </c>
      <c r="B7">
        <v>0.2031</v>
      </c>
    </row>
    <row r="8" spans="1:2" x14ac:dyDescent="0.3">
      <c r="A8" t="s">
        <v>93</v>
      </c>
      <c r="B8">
        <v>0.19700000000000001</v>
      </c>
    </row>
    <row r="9" spans="1:2" x14ac:dyDescent="0.3">
      <c r="A9" t="s">
        <v>101</v>
      </c>
      <c r="B9">
        <v>0.19309999999999999</v>
      </c>
    </row>
    <row r="10" spans="1:2" x14ac:dyDescent="0.3">
      <c r="A10" t="s">
        <v>337</v>
      </c>
      <c r="B10">
        <v>0.1928</v>
      </c>
    </row>
    <row r="11" spans="1:2" x14ac:dyDescent="0.3">
      <c r="A11" t="s">
        <v>109</v>
      </c>
      <c r="B11">
        <v>0.19239999999999999</v>
      </c>
    </row>
    <row r="12" spans="1:2" x14ac:dyDescent="0.3">
      <c r="A12" t="s">
        <v>106</v>
      </c>
      <c r="B12">
        <v>0.192</v>
      </c>
    </row>
    <row r="13" spans="1:2" x14ac:dyDescent="0.3">
      <c r="A13" t="s">
        <v>335</v>
      </c>
      <c r="B13">
        <v>0.1908</v>
      </c>
    </row>
    <row r="14" spans="1:2" x14ac:dyDescent="0.3">
      <c r="A14" t="s">
        <v>366</v>
      </c>
      <c r="B14">
        <v>0.18878999999999999</v>
      </c>
    </row>
    <row r="15" spans="1:2" x14ac:dyDescent="0.3">
      <c r="A15" t="s">
        <v>332</v>
      </c>
      <c r="B15">
        <v>0.18770000000000001</v>
      </c>
    </row>
    <row r="16" spans="1:2" x14ac:dyDescent="0.3">
      <c r="A16" t="s">
        <v>169</v>
      </c>
      <c r="B16">
        <v>0.1865</v>
      </c>
    </row>
    <row r="17" spans="1:2" x14ac:dyDescent="0.3">
      <c r="A17" t="s">
        <v>110</v>
      </c>
      <c r="B17">
        <v>0.1862</v>
      </c>
    </row>
    <row r="18" spans="1:2" x14ac:dyDescent="0.3">
      <c r="A18" t="s">
        <v>107</v>
      </c>
      <c r="B18">
        <v>0.18410000000000001</v>
      </c>
    </row>
    <row r="19" spans="1:2" x14ac:dyDescent="0.3">
      <c r="A19" t="s">
        <v>95</v>
      </c>
      <c r="B19">
        <v>0.18140000000000001</v>
      </c>
    </row>
    <row r="20" spans="1:2" x14ac:dyDescent="0.3">
      <c r="A20" t="s">
        <v>92</v>
      </c>
      <c r="B20">
        <v>0.1797</v>
      </c>
    </row>
    <row r="21" spans="1:2" x14ac:dyDescent="0.3">
      <c r="A21" t="s">
        <v>333</v>
      </c>
      <c r="B21">
        <v>0.1784</v>
      </c>
    </row>
    <row r="22" spans="1:2" x14ac:dyDescent="0.3">
      <c r="A22" t="s">
        <v>336</v>
      </c>
      <c r="B22">
        <v>0.1784</v>
      </c>
    </row>
    <row r="23" spans="1:2" x14ac:dyDescent="0.3">
      <c r="A23" t="s">
        <v>99</v>
      </c>
      <c r="B23">
        <v>0.1764</v>
      </c>
    </row>
    <row r="24" spans="1:2" x14ac:dyDescent="0.3">
      <c r="A24" t="s">
        <v>102</v>
      </c>
      <c r="B24">
        <v>0.1754</v>
      </c>
    </row>
    <row r="25" spans="1:2" x14ac:dyDescent="0.3">
      <c r="A25" t="s">
        <v>100</v>
      </c>
      <c r="B25">
        <v>0.1734</v>
      </c>
    </row>
    <row r="26" spans="1:2" x14ac:dyDescent="0.3">
      <c r="A26" t="s">
        <v>103</v>
      </c>
      <c r="B26">
        <v>0.17319999999999999</v>
      </c>
    </row>
    <row r="27" spans="1:2" x14ac:dyDescent="0.3">
      <c r="A27" t="s">
        <v>98</v>
      </c>
      <c r="B27">
        <v>0.17299999999999999</v>
      </c>
    </row>
    <row r="28" spans="1:2" x14ac:dyDescent="0.3">
      <c r="A28" t="s">
        <v>96</v>
      </c>
      <c r="B28">
        <v>0.17269999999999999</v>
      </c>
    </row>
    <row r="29" spans="1:2" x14ac:dyDescent="0.3">
      <c r="A29" t="s">
        <v>104</v>
      </c>
      <c r="B29">
        <v>0.16819999999999999</v>
      </c>
    </row>
    <row r="30" spans="1:2" x14ac:dyDescent="0.3">
      <c r="A30" t="s">
        <v>97</v>
      </c>
      <c r="B30">
        <v>0.16819999999999999</v>
      </c>
    </row>
    <row r="31" spans="1:2" x14ac:dyDescent="0.3">
      <c r="A31" t="s">
        <v>105</v>
      </c>
      <c r="B31">
        <v>0.16420000000000001</v>
      </c>
    </row>
    <row r="32" spans="1:2" x14ac:dyDescent="0.3">
      <c r="A32" t="s">
        <v>108</v>
      </c>
      <c r="B32">
        <v>0.15140000000000001</v>
      </c>
    </row>
  </sheetData>
  <autoFilter ref="A1:B32" xr:uid="{C10D86FD-A8C9-4A99-BA22-2125BF3C64E0}">
    <sortState xmlns:xlrd2="http://schemas.microsoft.com/office/spreadsheetml/2017/richdata2" ref="A2:B32">
      <sortCondition descending="1" ref="B1:B32"/>
    </sortState>
  </autoFilter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F10B-D39D-4CDE-9A9C-BE7BADC2ACDB}">
  <dimension ref="A1:E33"/>
  <sheetViews>
    <sheetView zoomScale="55" zoomScaleNormal="55" workbookViewId="0">
      <selection activeCell="J12" sqref="J12"/>
    </sheetView>
  </sheetViews>
  <sheetFormatPr defaultRowHeight="14" x14ac:dyDescent="0.3"/>
  <cols>
    <col min="3" max="3" width="11.75" customWidth="1"/>
    <col min="5" max="5" width="11.08203125" customWidth="1"/>
  </cols>
  <sheetData>
    <row r="1" spans="1:5" x14ac:dyDescent="0.3">
      <c r="B1" s="71" t="s">
        <v>185</v>
      </c>
      <c r="C1" s="71"/>
      <c r="D1" s="71" t="s">
        <v>296</v>
      </c>
      <c r="E1" s="71"/>
    </row>
    <row r="2" spans="1:5" x14ac:dyDescent="0.3">
      <c r="B2" t="s">
        <v>364</v>
      </c>
      <c r="C2" t="s">
        <v>365</v>
      </c>
      <c r="D2" t="s">
        <v>364</v>
      </c>
      <c r="E2" t="s">
        <v>365</v>
      </c>
    </row>
    <row r="3" spans="1:5" x14ac:dyDescent="0.3">
      <c r="A3" t="s">
        <v>100</v>
      </c>
      <c r="B3">
        <v>0.1734</v>
      </c>
      <c r="C3">
        <v>0.12942687187921925</v>
      </c>
      <c r="D3">
        <v>0.23202286817388601</v>
      </c>
      <c r="E3">
        <v>0.13574056359720788</v>
      </c>
    </row>
    <row r="4" spans="1:5" x14ac:dyDescent="0.3">
      <c r="A4" t="s">
        <v>169</v>
      </c>
      <c r="B4">
        <v>0.1865</v>
      </c>
      <c r="C4">
        <v>0.16933513741354342</v>
      </c>
      <c r="D4">
        <v>0.18024513338138787</v>
      </c>
      <c r="E4">
        <v>0.12668319451290735</v>
      </c>
    </row>
    <row r="5" spans="1:5" x14ac:dyDescent="0.3">
      <c r="A5" t="s">
        <v>108</v>
      </c>
      <c r="B5">
        <v>0.15140000000000001</v>
      </c>
      <c r="C5">
        <v>0.12205534987972011</v>
      </c>
      <c r="D5">
        <v>0.18264840182647984</v>
      </c>
      <c r="E5">
        <v>5.6857361247037712E-2</v>
      </c>
    </row>
    <row r="6" spans="1:5" x14ac:dyDescent="0.3">
      <c r="A6" t="s">
        <v>101</v>
      </c>
      <c r="B6">
        <v>0.19309999999999999</v>
      </c>
      <c r="C6">
        <v>0.11249185912951346</v>
      </c>
      <c r="D6">
        <v>0.27397260273972501</v>
      </c>
      <c r="E6">
        <v>8.0992967869955149E-2</v>
      </c>
    </row>
    <row r="7" spans="1:5" x14ac:dyDescent="0.3">
      <c r="A7" t="s">
        <v>112</v>
      </c>
      <c r="B7">
        <v>0.21429999999999999</v>
      </c>
      <c r="C7">
        <v>0.17859979186464531</v>
      </c>
      <c r="D7">
        <v>0.25288682780187899</v>
      </c>
      <c r="E7">
        <v>0.16894609032925034</v>
      </c>
    </row>
    <row r="8" spans="1:5" x14ac:dyDescent="0.3">
      <c r="A8" t="s">
        <v>106</v>
      </c>
      <c r="B8">
        <v>0.192</v>
      </c>
      <c r="C8">
        <v>0.12120041788169211</v>
      </c>
      <c r="D8">
        <v>0.20145044319097441</v>
      </c>
      <c r="E8">
        <v>0.10996488813964467</v>
      </c>
    </row>
    <row r="9" spans="1:5" x14ac:dyDescent="0.3">
      <c r="A9" t="s">
        <v>107</v>
      </c>
      <c r="B9">
        <v>0.18410000000000001</v>
      </c>
      <c r="C9">
        <v>0.12483790819748668</v>
      </c>
      <c r="D9">
        <v>0.23050579557428749</v>
      </c>
      <c r="E9">
        <v>0.10713682514427297</v>
      </c>
    </row>
    <row r="10" spans="1:5" x14ac:dyDescent="0.3">
      <c r="A10" t="s">
        <v>110</v>
      </c>
      <c r="B10">
        <v>0.1862</v>
      </c>
      <c r="C10">
        <v>0.10980123603464548</v>
      </c>
      <c r="D10">
        <v>0.20346842690514999</v>
      </c>
      <c r="E10">
        <v>8.2930536028584856E-2</v>
      </c>
    </row>
    <row r="11" spans="1:5" x14ac:dyDescent="0.3">
      <c r="A11" t="s">
        <v>170</v>
      </c>
      <c r="B11">
        <v>0.216</v>
      </c>
      <c r="C11">
        <v>0.14532611289058281</v>
      </c>
      <c r="D11">
        <v>0.16787536932580688</v>
      </c>
      <c r="E11">
        <v>0.22829310586376103</v>
      </c>
    </row>
    <row r="12" spans="1:5" x14ac:dyDescent="0.3">
      <c r="A12" t="s">
        <v>332</v>
      </c>
      <c r="B12">
        <v>0.18770000000000001</v>
      </c>
      <c r="C12">
        <v>0.17006568442472783</v>
      </c>
      <c r="D12">
        <v>0.24497011118442411</v>
      </c>
      <c r="E12">
        <v>0.18402743998148943</v>
      </c>
    </row>
    <row r="13" spans="1:5" x14ac:dyDescent="0.3">
      <c r="A13" t="s">
        <v>96</v>
      </c>
      <c r="B13">
        <v>0.17269999999999999</v>
      </c>
      <c r="C13">
        <v>0.15724349811544699</v>
      </c>
      <c r="D13">
        <v>0.24969074998854579</v>
      </c>
      <c r="E13">
        <v>0.20429307863465235</v>
      </c>
    </row>
    <row r="14" spans="1:5" x14ac:dyDescent="0.3">
      <c r="A14" t="s">
        <v>103</v>
      </c>
      <c r="B14">
        <v>0.17319999999999999</v>
      </c>
      <c r="C14">
        <v>0.14813715231953059</v>
      </c>
      <c r="D14">
        <v>0.13903524177496748</v>
      </c>
      <c r="E14">
        <v>0.14178093478725132</v>
      </c>
    </row>
    <row r="15" spans="1:5" x14ac:dyDescent="0.3">
      <c r="A15" t="s">
        <v>104</v>
      </c>
      <c r="B15">
        <v>0.16819999999999999</v>
      </c>
      <c r="C15">
        <v>0.13342112032494247</v>
      </c>
      <c r="D15">
        <v>0.22072314420118838</v>
      </c>
      <c r="E15">
        <v>9.9722509186246464E-2</v>
      </c>
    </row>
    <row r="16" spans="1:5" x14ac:dyDescent="0.3">
      <c r="A16" t="s">
        <v>105</v>
      </c>
      <c r="B16">
        <v>0.16420000000000001</v>
      </c>
      <c r="C16">
        <v>0.11873536911878281</v>
      </c>
      <c r="D16">
        <v>0.1968193985199175</v>
      </c>
      <c r="E16">
        <v>9.0943816175334299E-2</v>
      </c>
    </row>
    <row r="17" spans="1:5" x14ac:dyDescent="0.3">
      <c r="A17" t="s">
        <v>98</v>
      </c>
      <c r="B17">
        <v>0.2031</v>
      </c>
      <c r="C17">
        <v>0.13809330753616958</v>
      </c>
      <c r="D17">
        <v>0.28027521402617483</v>
      </c>
      <c r="E17">
        <v>0.24459594190977962</v>
      </c>
    </row>
    <row r="18" spans="1:5" x14ac:dyDescent="0.3">
      <c r="A18" t="s">
        <v>102</v>
      </c>
      <c r="B18">
        <v>0.17299999999999999</v>
      </c>
      <c r="C18">
        <v>0.11589563383049764</v>
      </c>
      <c r="D18">
        <v>0.2283105022831047</v>
      </c>
      <c r="E18">
        <v>8.5898050088069222E-2</v>
      </c>
    </row>
    <row r="19" spans="1:5" x14ac:dyDescent="0.3">
      <c r="A19" t="s">
        <v>333</v>
      </c>
      <c r="B19">
        <v>0.1754</v>
      </c>
      <c r="C19">
        <v>0.16029945734277226</v>
      </c>
      <c r="D19">
        <v>0.20801623541349465</v>
      </c>
      <c r="E19">
        <v>0.20628077302040165</v>
      </c>
    </row>
    <row r="20" spans="1:5" x14ac:dyDescent="0.3">
      <c r="A20" t="s">
        <v>95</v>
      </c>
      <c r="B20">
        <v>0.1784</v>
      </c>
      <c r="C20">
        <v>0.16392660482146293</v>
      </c>
      <c r="D20">
        <v>0.25029760318390937</v>
      </c>
      <c r="E20">
        <v>0.22269958366895268</v>
      </c>
    </row>
    <row r="21" spans="1:5" x14ac:dyDescent="0.3">
      <c r="A21" t="s">
        <v>94</v>
      </c>
      <c r="B21">
        <v>0.18140000000000001</v>
      </c>
      <c r="C21">
        <v>0.17729236567076292</v>
      </c>
      <c r="D21">
        <v>0.24991149592881232</v>
      </c>
      <c r="E21">
        <v>0.26974973109462863</v>
      </c>
    </row>
    <row r="22" spans="1:5" x14ac:dyDescent="0.3">
      <c r="A22" t="s">
        <v>113</v>
      </c>
      <c r="B22">
        <v>0.214</v>
      </c>
      <c r="C22">
        <v>0.17886739912729838</v>
      </c>
      <c r="D22">
        <v>0.21611587604839888</v>
      </c>
      <c r="E22">
        <v>0.19383502478348008</v>
      </c>
    </row>
    <row r="23" spans="1:5" x14ac:dyDescent="0.3">
      <c r="A23" t="s">
        <v>334</v>
      </c>
      <c r="B23">
        <v>0.26029999999999998</v>
      </c>
      <c r="C23">
        <v>0.21051422748001594</v>
      </c>
      <c r="D23">
        <v>0.16503343423460332</v>
      </c>
      <c r="E23">
        <v>0.18826970901761625</v>
      </c>
    </row>
    <row r="24" spans="1:5" x14ac:dyDescent="0.3">
      <c r="A24" t="s">
        <v>335</v>
      </c>
      <c r="B24">
        <v>0.1908</v>
      </c>
      <c r="C24">
        <v>0.16242080027704056</v>
      </c>
      <c r="D24">
        <v>0.20745250577822816</v>
      </c>
      <c r="E24">
        <v>0.12848828410500435</v>
      </c>
    </row>
    <row r="25" spans="1:5" x14ac:dyDescent="0.3">
      <c r="A25" t="s">
        <v>336</v>
      </c>
      <c r="B25">
        <v>0.1784</v>
      </c>
      <c r="C25">
        <v>0.1586202126018515</v>
      </c>
      <c r="D25">
        <v>0.21615784902021701</v>
      </c>
      <c r="E25">
        <v>0.20523193278568483</v>
      </c>
    </row>
    <row r="26" spans="1:5" x14ac:dyDescent="0.3">
      <c r="A26" t="s">
        <v>97</v>
      </c>
      <c r="B26">
        <v>0.16819999999999999</v>
      </c>
      <c r="C26">
        <v>0.13256936976909442</v>
      </c>
      <c r="D26">
        <v>0.2894076789504102</v>
      </c>
      <c r="E26">
        <v>0.35885197639075644</v>
      </c>
    </row>
    <row r="27" spans="1:5" x14ac:dyDescent="0.3">
      <c r="A27" t="s">
        <v>93</v>
      </c>
      <c r="B27">
        <v>0.19700000000000001</v>
      </c>
      <c r="C27">
        <v>0.16948862230848655</v>
      </c>
      <c r="D27">
        <v>0.23465854117688231</v>
      </c>
      <c r="E27">
        <v>0.1289726780368558</v>
      </c>
    </row>
    <row r="28" spans="1:5" x14ac:dyDescent="0.3">
      <c r="A28" t="s">
        <v>109</v>
      </c>
      <c r="B28">
        <v>0.19239999999999999</v>
      </c>
      <c r="C28">
        <v>0.15593498598273522</v>
      </c>
      <c r="D28">
        <v>0.24816358943815653</v>
      </c>
      <c r="E28">
        <v>0.10009104436071374</v>
      </c>
    </row>
    <row r="29" spans="1:5" x14ac:dyDescent="0.3">
      <c r="A29" t="s">
        <v>92</v>
      </c>
      <c r="B29">
        <v>0.1797</v>
      </c>
      <c r="C29">
        <v>0.16433460389162585</v>
      </c>
      <c r="D29">
        <v>0.17562346329469233</v>
      </c>
      <c r="E29">
        <v>0.17458375987245262</v>
      </c>
    </row>
    <row r="30" spans="1:5" x14ac:dyDescent="0.3">
      <c r="A30" t="s">
        <v>337</v>
      </c>
      <c r="B30">
        <v>0.1928</v>
      </c>
      <c r="C30">
        <v>0.18229773483551523</v>
      </c>
      <c r="D30">
        <v>0.27686065334122478</v>
      </c>
      <c r="E30">
        <v>0.17923668174304727</v>
      </c>
    </row>
    <row r="31" spans="1:5" x14ac:dyDescent="0.3">
      <c r="A31" t="s">
        <v>338</v>
      </c>
      <c r="B31">
        <v>0.2394</v>
      </c>
      <c r="C31">
        <v>0.21961531846718299</v>
      </c>
      <c r="D31">
        <v>0.29304731914984272</v>
      </c>
      <c r="E31">
        <v>0.18565493627248109</v>
      </c>
    </row>
    <row r="32" spans="1:5" x14ac:dyDescent="0.3">
      <c r="A32" t="s">
        <v>111</v>
      </c>
      <c r="B32">
        <v>0.1764</v>
      </c>
      <c r="C32">
        <v>0.13867887137870302</v>
      </c>
      <c r="D32">
        <v>0.23910897198568248</v>
      </c>
      <c r="E32">
        <v>9.6320701373270909E-2</v>
      </c>
    </row>
    <row r="33" spans="1:5" x14ac:dyDescent="0.3">
      <c r="A33" t="s">
        <v>99</v>
      </c>
      <c r="B33">
        <v>0.18878999999999999</v>
      </c>
      <c r="C33">
        <v>0.11933734022362059</v>
      </c>
      <c r="D33">
        <v>0.22515851492808187</v>
      </c>
      <c r="E33">
        <v>9.6837315794333842E-2</v>
      </c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255B-3B64-4FBC-A215-544438B72345}">
  <dimension ref="B1:D30"/>
  <sheetViews>
    <sheetView workbookViewId="0">
      <selection activeCell="D19" sqref="D19"/>
    </sheetView>
  </sheetViews>
  <sheetFormatPr defaultRowHeight="14" x14ac:dyDescent="0.3"/>
  <sheetData>
    <row r="1" spans="2:4" x14ac:dyDescent="0.3">
      <c r="B1" t="s">
        <v>339</v>
      </c>
      <c r="C1">
        <v>2018</v>
      </c>
    </row>
    <row r="2" spans="2:4" x14ac:dyDescent="0.3">
      <c r="B2">
        <v>11</v>
      </c>
      <c r="C2" t="s">
        <v>103</v>
      </c>
      <c r="D2">
        <v>6.8769619999999998</v>
      </c>
    </row>
    <row r="3" spans="2:4" s="53" customFormat="1" x14ac:dyDescent="0.3">
      <c r="B3" s="53">
        <v>26</v>
      </c>
      <c r="C3" s="53" t="s">
        <v>337</v>
      </c>
      <c r="D3" s="53">
        <v>6.7318850000000001</v>
      </c>
    </row>
    <row r="4" spans="2:4" x14ac:dyDescent="0.3">
      <c r="B4">
        <v>2</v>
      </c>
      <c r="C4" t="s">
        <v>108</v>
      </c>
      <c r="D4">
        <v>6.6874969999999996</v>
      </c>
    </row>
    <row r="5" spans="2:4" x14ac:dyDescent="0.3">
      <c r="B5">
        <v>13</v>
      </c>
      <c r="C5" t="s">
        <v>105</v>
      </c>
      <c r="D5">
        <v>6.6852840000000002</v>
      </c>
    </row>
    <row r="6" spans="2:4" x14ac:dyDescent="0.3">
      <c r="B6">
        <v>1</v>
      </c>
      <c r="C6" t="s">
        <v>169</v>
      </c>
      <c r="D6">
        <v>6.5714930000000003</v>
      </c>
    </row>
    <row r="7" spans="2:4" x14ac:dyDescent="0.3">
      <c r="B7">
        <v>16</v>
      </c>
      <c r="C7" t="s">
        <v>333</v>
      </c>
      <c r="D7">
        <v>6.44184</v>
      </c>
    </row>
    <row r="8" spans="2:4" x14ac:dyDescent="0.3">
      <c r="B8">
        <v>7</v>
      </c>
      <c r="C8" t="s">
        <v>110</v>
      </c>
      <c r="D8">
        <v>6.1745429999999999</v>
      </c>
    </row>
    <row r="9" spans="2:4" x14ac:dyDescent="0.3">
      <c r="B9">
        <v>5</v>
      </c>
      <c r="C9" t="s">
        <v>106</v>
      </c>
      <c r="D9">
        <v>6.136406</v>
      </c>
    </row>
    <row r="10" spans="2:4" x14ac:dyDescent="0.3">
      <c r="B10">
        <v>12</v>
      </c>
      <c r="C10" t="s">
        <v>104</v>
      </c>
      <c r="D10">
        <v>6.1314390000000003</v>
      </c>
    </row>
    <row r="11" spans="2:4" x14ac:dyDescent="0.3">
      <c r="B11">
        <v>21</v>
      </c>
      <c r="C11" t="s">
        <v>336</v>
      </c>
      <c r="D11">
        <v>6.0910919999999997</v>
      </c>
    </row>
    <row r="12" spans="2:4" x14ac:dyDescent="0.3">
      <c r="B12">
        <v>22</v>
      </c>
      <c r="C12" t="s">
        <v>97</v>
      </c>
      <c r="D12">
        <v>6.0083120000000001</v>
      </c>
    </row>
    <row r="13" spans="2:4" x14ac:dyDescent="0.3">
      <c r="B13">
        <v>6</v>
      </c>
      <c r="C13" t="s">
        <v>107</v>
      </c>
      <c r="D13">
        <v>5.9598300000000002</v>
      </c>
    </row>
    <row r="14" spans="2:4" x14ac:dyDescent="0.3">
      <c r="B14">
        <v>8</v>
      </c>
      <c r="C14" t="s">
        <v>170</v>
      </c>
      <c r="D14">
        <v>5.9545719999999998</v>
      </c>
    </row>
    <row r="15" spans="2:4" x14ac:dyDescent="0.3">
      <c r="B15">
        <v>0</v>
      </c>
      <c r="C15" t="s">
        <v>100</v>
      </c>
      <c r="D15">
        <v>5.9475660000000001</v>
      </c>
    </row>
    <row r="16" spans="2:4" x14ac:dyDescent="0.3">
      <c r="B16">
        <v>24</v>
      </c>
      <c r="C16" t="s">
        <v>109</v>
      </c>
      <c r="D16">
        <v>5.9005739999999998</v>
      </c>
    </row>
    <row r="17" spans="2:4" x14ac:dyDescent="0.3">
      <c r="B17">
        <v>15</v>
      </c>
      <c r="C17" t="s">
        <v>98</v>
      </c>
      <c r="D17">
        <v>5.8213980000000003</v>
      </c>
    </row>
    <row r="18" spans="2:4" x14ac:dyDescent="0.3">
      <c r="B18">
        <v>19</v>
      </c>
      <c r="C18" t="s">
        <v>334</v>
      </c>
      <c r="D18">
        <v>5.7434630000000002</v>
      </c>
    </row>
    <row r="19" spans="2:4" x14ac:dyDescent="0.3">
      <c r="B19">
        <v>18</v>
      </c>
      <c r="C19" t="s">
        <v>113</v>
      </c>
      <c r="D19">
        <v>5.5929149999999996</v>
      </c>
    </row>
    <row r="20" spans="2:4" x14ac:dyDescent="0.3">
      <c r="B20">
        <v>17</v>
      </c>
      <c r="C20" t="s">
        <v>95</v>
      </c>
      <c r="D20">
        <v>5.5536329999999996</v>
      </c>
    </row>
    <row r="21" spans="2:4" x14ac:dyDescent="0.3">
      <c r="B21">
        <v>9</v>
      </c>
      <c r="C21" t="s">
        <v>332</v>
      </c>
      <c r="D21">
        <v>5.536734</v>
      </c>
    </row>
    <row r="22" spans="2:4" x14ac:dyDescent="0.3">
      <c r="B22">
        <v>10</v>
      </c>
      <c r="C22" t="s">
        <v>96</v>
      </c>
      <c r="D22">
        <v>5.4898009999999999</v>
      </c>
    </row>
    <row r="23" spans="2:4" x14ac:dyDescent="0.3">
      <c r="B23">
        <v>25</v>
      </c>
      <c r="C23" t="s">
        <v>92</v>
      </c>
      <c r="D23">
        <v>5.3816709999999999</v>
      </c>
    </row>
    <row r="24" spans="2:4" x14ac:dyDescent="0.3">
      <c r="B24">
        <v>4</v>
      </c>
      <c r="C24" t="s">
        <v>112</v>
      </c>
      <c r="D24">
        <v>5.192609</v>
      </c>
    </row>
    <row r="25" spans="2:4" x14ac:dyDescent="0.3">
      <c r="B25">
        <v>28</v>
      </c>
      <c r="C25" t="s">
        <v>99</v>
      </c>
      <c r="D25">
        <v>5.1859929999999999</v>
      </c>
    </row>
    <row r="26" spans="2:4" x14ac:dyDescent="0.3">
      <c r="B26">
        <v>20</v>
      </c>
      <c r="C26" t="s">
        <v>335</v>
      </c>
      <c r="D26">
        <v>5.1023569999999996</v>
      </c>
    </row>
    <row r="27" spans="2:4" x14ac:dyDescent="0.3">
      <c r="B27">
        <v>3</v>
      </c>
      <c r="C27" t="s">
        <v>101</v>
      </c>
      <c r="D27">
        <v>5.0082089999999999</v>
      </c>
    </row>
    <row r="28" spans="2:4" x14ac:dyDescent="0.3">
      <c r="B28">
        <v>23</v>
      </c>
      <c r="C28" t="s">
        <v>93</v>
      </c>
      <c r="D28">
        <v>4.8017810000000001</v>
      </c>
    </row>
    <row r="29" spans="2:4" x14ac:dyDescent="0.3">
      <c r="B29">
        <v>14</v>
      </c>
      <c r="C29" t="s">
        <v>94</v>
      </c>
      <c r="D29">
        <v>4.6739959999999998</v>
      </c>
    </row>
    <row r="30" spans="2:4" x14ac:dyDescent="0.3">
      <c r="B30">
        <v>27</v>
      </c>
      <c r="C30" t="s">
        <v>111</v>
      </c>
      <c r="D30">
        <v>4.6650710000000002</v>
      </c>
    </row>
  </sheetData>
  <autoFilter ref="B1:D30" xr:uid="{D8E9255B-3B64-4FBC-A215-544438B72345}">
    <sortState xmlns:xlrd2="http://schemas.microsoft.com/office/spreadsheetml/2017/richdata2" ref="B2:D30">
      <sortCondition descending="1" ref="D1:D30"/>
    </sortState>
  </autoFilter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EE7F-534A-412C-82D2-D7C759A7777A}">
  <dimension ref="B1:D30"/>
  <sheetViews>
    <sheetView topLeftCell="A13" workbookViewId="0">
      <selection activeCell="G19" sqref="G19"/>
    </sheetView>
  </sheetViews>
  <sheetFormatPr defaultRowHeight="14" x14ac:dyDescent="0.3"/>
  <sheetData>
    <row r="1" spans="2:4" x14ac:dyDescent="0.3">
      <c r="B1" t="s">
        <v>339</v>
      </c>
      <c r="C1">
        <v>2018</v>
      </c>
    </row>
    <row r="2" spans="2:4" x14ac:dyDescent="0.3">
      <c r="B2">
        <v>7</v>
      </c>
      <c r="C2" t="s">
        <v>110</v>
      </c>
      <c r="D2">
        <v>9.9241539999999997</v>
      </c>
    </row>
    <row r="3" spans="2:4" x14ac:dyDescent="0.3">
      <c r="B3">
        <v>3</v>
      </c>
      <c r="C3" t="s">
        <v>101</v>
      </c>
      <c r="D3">
        <v>9.7704799999999992</v>
      </c>
    </row>
    <row r="4" spans="2:4" x14ac:dyDescent="0.3">
      <c r="B4">
        <v>16</v>
      </c>
      <c r="C4" t="s">
        <v>333</v>
      </c>
      <c r="D4">
        <v>9.492597</v>
      </c>
    </row>
    <row r="5" spans="2:4" x14ac:dyDescent="0.3">
      <c r="B5">
        <v>13</v>
      </c>
      <c r="C5" t="s">
        <v>105</v>
      </c>
      <c r="D5">
        <v>9.3053450000000009</v>
      </c>
    </row>
    <row r="6" spans="2:4" x14ac:dyDescent="0.3">
      <c r="B6">
        <v>2</v>
      </c>
      <c r="C6" t="s">
        <v>108</v>
      </c>
      <c r="D6">
        <v>9.0106319999999993</v>
      </c>
    </row>
    <row r="7" spans="2:4" x14ac:dyDescent="0.3">
      <c r="B7">
        <v>5</v>
      </c>
      <c r="C7" t="s">
        <v>106</v>
      </c>
      <c r="D7">
        <v>8.9933150000000008</v>
      </c>
    </row>
    <row r="8" spans="2:4" x14ac:dyDescent="0.3">
      <c r="B8">
        <v>6</v>
      </c>
      <c r="C8" t="s">
        <v>107</v>
      </c>
      <c r="D8">
        <v>8.7663670000000007</v>
      </c>
    </row>
    <row r="9" spans="2:4" x14ac:dyDescent="0.3">
      <c r="B9">
        <v>12</v>
      </c>
      <c r="C9" t="s">
        <v>104</v>
      </c>
      <c r="D9">
        <v>8.3702710000000007</v>
      </c>
    </row>
    <row r="10" spans="2:4" x14ac:dyDescent="0.3">
      <c r="B10">
        <v>0</v>
      </c>
      <c r="C10" t="s">
        <v>100</v>
      </c>
      <c r="D10">
        <v>8.3420609999999993</v>
      </c>
    </row>
    <row r="11" spans="2:4" x14ac:dyDescent="0.3">
      <c r="B11">
        <v>28</v>
      </c>
      <c r="C11" t="s">
        <v>99</v>
      </c>
      <c r="D11">
        <v>7.9246030000000003</v>
      </c>
    </row>
    <row r="12" spans="2:4" x14ac:dyDescent="0.3">
      <c r="B12">
        <v>11</v>
      </c>
      <c r="C12" t="s">
        <v>103</v>
      </c>
      <c r="D12">
        <v>7.7162519999999999</v>
      </c>
    </row>
    <row r="13" spans="2:4" x14ac:dyDescent="0.3">
      <c r="B13">
        <v>25</v>
      </c>
      <c r="C13" t="s">
        <v>92</v>
      </c>
      <c r="D13">
        <v>7.2165509999999999</v>
      </c>
    </row>
    <row r="14" spans="2:4" x14ac:dyDescent="0.3">
      <c r="B14">
        <v>21</v>
      </c>
      <c r="C14" t="s">
        <v>336</v>
      </c>
      <c r="D14">
        <v>7.0965439999999997</v>
      </c>
    </row>
    <row r="15" spans="2:4" x14ac:dyDescent="0.3">
      <c r="B15">
        <v>26</v>
      </c>
      <c r="C15" t="s">
        <v>337</v>
      </c>
      <c r="D15">
        <v>6.9375489999999997</v>
      </c>
    </row>
    <row r="16" spans="2:4" x14ac:dyDescent="0.3">
      <c r="B16">
        <v>1</v>
      </c>
      <c r="C16" t="s">
        <v>169</v>
      </c>
      <c r="D16">
        <v>6.8691339999999999</v>
      </c>
    </row>
    <row r="17" spans="2:4" x14ac:dyDescent="0.3">
      <c r="B17">
        <v>24</v>
      </c>
      <c r="C17" t="s">
        <v>109</v>
      </c>
      <c r="D17">
        <v>6.8618819999999996</v>
      </c>
    </row>
    <row r="18" spans="2:4" x14ac:dyDescent="0.3">
      <c r="B18">
        <v>9</v>
      </c>
      <c r="C18" t="s">
        <v>332</v>
      </c>
      <c r="D18">
        <v>6.6016870000000001</v>
      </c>
    </row>
    <row r="19" spans="2:4" x14ac:dyDescent="0.3">
      <c r="B19">
        <v>4</v>
      </c>
      <c r="C19" t="s">
        <v>112</v>
      </c>
      <c r="D19">
        <v>6.511539</v>
      </c>
    </row>
    <row r="20" spans="2:4" x14ac:dyDescent="0.3">
      <c r="B20">
        <v>22</v>
      </c>
      <c r="C20" t="s">
        <v>97</v>
      </c>
      <c r="D20">
        <v>6.4830649999999999</v>
      </c>
    </row>
    <row r="21" spans="2:4" s="53" customFormat="1" x14ac:dyDescent="0.3">
      <c r="B21" s="53">
        <v>19</v>
      </c>
      <c r="C21" s="53" t="s">
        <v>334</v>
      </c>
      <c r="D21" s="53">
        <v>6.3694280000000001</v>
      </c>
    </row>
    <row r="22" spans="2:4" s="53" customFormat="1" x14ac:dyDescent="0.3">
      <c r="B22" s="53">
        <v>17</v>
      </c>
      <c r="C22" s="53" t="s">
        <v>95</v>
      </c>
      <c r="D22" s="53">
        <v>6.3665640000000003</v>
      </c>
    </row>
    <row r="23" spans="2:4" x14ac:dyDescent="0.3">
      <c r="B23">
        <v>10</v>
      </c>
      <c r="C23" t="s">
        <v>96</v>
      </c>
      <c r="D23">
        <v>6.364636</v>
      </c>
    </row>
    <row r="24" spans="2:4" x14ac:dyDescent="0.3">
      <c r="B24">
        <v>27</v>
      </c>
      <c r="C24" t="s">
        <v>111</v>
      </c>
      <c r="D24">
        <v>6.2411960000000004</v>
      </c>
    </row>
    <row r="25" spans="2:4" x14ac:dyDescent="0.3">
      <c r="B25">
        <v>18</v>
      </c>
      <c r="C25" t="s">
        <v>113</v>
      </c>
      <c r="D25">
        <v>6.0129650000000003</v>
      </c>
    </row>
    <row r="26" spans="2:4" x14ac:dyDescent="0.3">
      <c r="B26">
        <v>20</v>
      </c>
      <c r="C26" t="s">
        <v>335</v>
      </c>
      <c r="D26">
        <v>5.7902839999999998</v>
      </c>
    </row>
    <row r="27" spans="2:4" x14ac:dyDescent="0.3">
      <c r="B27">
        <v>15</v>
      </c>
      <c r="C27" t="s">
        <v>98</v>
      </c>
      <c r="D27">
        <v>5.6867140000000003</v>
      </c>
    </row>
    <row r="28" spans="2:4" x14ac:dyDescent="0.3">
      <c r="B28">
        <v>8</v>
      </c>
      <c r="C28" t="s">
        <v>170</v>
      </c>
      <c r="D28">
        <v>5.6081250000000002</v>
      </c>
    </row>
    <row r="29" spans="2:4" s="53" customFormat="1" x14ac:dyDescent="0.3">
      <c r="B29" s="53">
        <v>14</v>
      </c>
      <c r="C29" s="53" t="s">
        <v>94</v>
      </c>
      <c r="D29" s="53">
        <v>4.8150789999999999</v>
      </c>
    </row>
    <row r="30" spans="2:4" x14ac:dyDescent="0.3">
      <c r="B30">
        <v>23</v>
      </c>
      <c r="C30" t="s">
        <v>93</v>
      </c>
      <c r="D30">
        <v>4.1324199999999998</v>
      </c>
    </row>
  </sheetData>
  <autoFilter ref="B1:D30" xr:uid="{E844EE7F-534A-412C-82D2-D7C759A7777A}">
    <sortState xmlns:xlrd2="http://schemas.microsoft.com/office/spreadsheetml/2017/richdata2" ref="B2:D30">
      <sortCondition descending="1" ref="D1:D30"/>
    </sortState>
  </autoFilter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8017-6628-47CB-9A0B-D0E6355003C2}">
  <dimension ref="B1:D30"/>
  <sheetViews>
    <sheetView topLeftCell="A19" workbookViewId="0">
      <selection activeCell="H30" sqref="H30"/>
    </sheetView>
  </sheetViews>
  <sheetFormatPr defaultRowHeight="14" x14ac:dyDescent="0.3"/>
  <sheetData>
    <row r="1" spans="2:4" x14ac:dyDescent="0.3">
      <c r="B1" t="s">
        <v>339</v>
      </c>
      <c r="C1">
        <v>2018</v>
      </c>
    </row>
    <row r="2" spans="2:4" x14ac:dyDescent="0.3">
      <c r="B2">
        <v>3</v>
      </c>
      <c r="C2" t="s">
        <v>101</v>
      </c>
      <c r="D2">
        <v>5.0043519999999999</v>
      </c>
    </row>
    <row r="3" spans="2:4" x14ac:dyDescent="0.3">
      <c r="B3">
        <v>16</v>
      </c>
      <c r="C3" t="s">
        <v>333</v>
      </c>
      <c r="D3">
        <v>4.9700670000000002</v>
      </c>
    </row>
    <row r="4" spans="2:4" x14ac:dyDescent="0.3">
      <c r="B4">
        <v>7</v>
      </c>
      <c r="C4" t="s">
        <v>110</v>
      </c>
      <c r="D4">
        <v>4.9114329999999997</v>
      </c>
    </row>
    <row r="5" spans="2:4" x14ac:dyDescent="0.3">
      <c r="B5">
        <v>13</v>
      </c>
      <c r="C5" t="s">
        <v>105</v>
      </c>
      <c r="D5">
        <v>4.8609580000000001</v>
      </c>
    </row>
    <row r="6" spans="2:4" x14ac:dyDescent="0.3">
      <c r="B6">
        <v>6</v>
      </c>
      <c r="C6" t="s">
        <v>107</v>
      </c>
      <c r="D6">
        <v>4.5426029999999997</v>
      </c>
    </row>
    <row r="7" spans="2:4" x14ac:dyDescent="0.3">
      <c r="B7">
        <v>5</v>
      </c>
      <c r="C7" t="s">
        <v>106</v>
      </c>
      <c r="D7">
        <v>4.4808440000000003</v>
      </c>
    </row>
    <row r="8" spans="2:4" x14ac:dyDescent="0.3">
      <c r="B8">
        <v>0</v>
      </c>
      <c r="C8" t="s">
        <v>100</v>
      </c>
      <c r="D8">
        <v>4.4622210000000004</v>
      </c>
    </row>
    <row r="9" spans="2:4" x14ac:dyDescent="0.3">
      <c r="B9">
        <v>2</v>
      </c>
      <c r="C9" t="s">
        <v>108</v>
      </c>
      <c r="D9">
        <v>4.4422420000000002</v>
      </c>
    </row>
    <row r="10" spans="2:4" x14ac:dyDescent="0.3">
      <c r="B10">
        <v>12</v>
      </c>
      <c r="C10" t="s">
        <v>104</v>
      </c>
      <c r="D10">
        <v>4.1103550000000002</v>
      </c>
    </row>
    <row r="11" spans="2:4" x14ac:dyDescent="0.3">
      <c r="B11">
        <v>15</v>
      </c>
      <c r="C11" t="s">
        <v>98</v>
      </c>
      <c r="D11">
        <v>3.982459</v>
      </c>
    </row>
    <row r="12" spans="2:4" x14ac:dyDescent="0.3">
      <c r="B12">
        <v>28</v>
      </c>
      <c r="C12" t="s">
        <v>99</v>
      </c>
      <c r="D12">
        <v>3.9150499999999999</v>
      </c>
    </row>
    <row r="13" spans="2:4" x14ac:dyDescent="0.3">
      <c r="B13">
        <v>11</v>
      </c>
      <c r="C13" t="s">
        <v>103</v>
      </c>
      <c r="D13">
        <v>3.8531080000000002</v>
      </c>
    </row>
    <row r="14" spans="2:4" x14ac:dyDescent="0.3">
      <c r="B14">
        <v>22</v>
      </c>
      <c r="C14" t="s">
        <v>97</v>
      </c>
      <c r="D14">
        <v>3.7977500000000002</v>
      </c>
    </row>
    <row r="15" spans="2:4" x14ac:dyDescent="0.3">
      <c r="B15">
        <v>8</v>
      </c>
      <c r="C15" t="s">
        <v>170</v>
      </c>
      <c r="D15">
        <v>3.7527680000000001</v>
      </c>
    </row>
    <row r="16" spans="2:4" x14ac:dyDescent="0.3">
      <c r="B16">
        <v>21</v>
      </c>
      <c r="C16" t="s">
        <v>336</v>
      </c>
      <c r="D16">
        <v>3.6074269999999999</v>
      </c>
    </row>
    <row r="17" spans="2:4" x14ac:dyDescent="0.3">
      <c r="B17">
        <v>10</v>
      </c>
      <c r="C17" t="s">
        <v>96</v>
      </c>
      <c r="D17">
        <v>3.5910060000000001</v>
      </c>
    </row>
    <row r="18" spans="2:4" x14ac:dyDescent="0.3">
      <c r="B18">
        <v>17</v>
      </c>
      <c r="C18" t="s">
        <v>95</v>
      </c>
      <c r="D18">
        <v>3.5533380000000001</v>
      </c>
    </row>
    <row r="19" spans="2:4" x14ac:dyDescent="0.3">
      <c r="B19">
        <v>25</v>
      </c>
      <c r="C19" t="s">
        <v>92</v>
      </c>
      <c r="D19">
        <v>3.541979</v>
      </c>
    </row>
    <row r="20" spans="2:4" x14ac:dyDescent="0.3">
      <c r="B20">
        <v>26</v>
      </c>
      <c r="C20" t="s">
        <v>337</v>
      </c>
      <c r="D20">
        <v>3.5327480000000002</v>
      </c>
    </row>
    <row r="21" spans="2:4" x14ac:dyDescent="0.3">
      <c r="B21">
        <v>24</v>
      </c>
      <c r="C21" t="s">
        <v>109</v>
      </c>
      <c r="D21">
        <v>3.4874969999999998</v>
      </c>
    </row>
    <row r="22" spans="2:4" x14ac:dyDescent="0.3">
      <c r="B22">
        <v>19</v>
      </c>
      <c r="C22" t="s">
        <v>334</v>
      </c>
      <c r="D22">
        <v>3.4754689999999999</v>
      </c>
    </row>
    <row r="23" spans="2:4" x14ac:dyDescent="0.3">
      <c r="B23">
        <v>14</v>
      </c>
      <c r="C23" t="s">
        <v>94</v>
      </c>
      <c r="D23">
        <v>3.3858619999999999</v>
      </c>
    </row>
    <row r="24" spans="2:4" x14ac:dyDescent="0.3">
      <c r="B24">
        <v>18</v>
      </c>
      <c r="C24" t="s">
        <v>113</v>
      </c>
      <c r="D24">
        <v>3.385548</v>
      </c>
    </row>
    <row r="25" spans="2:4" x14ac:dyDescent="0.3">
      <c r="B25">
        <v>1</v>
      </c>
      <c r="C25" t="s">
        <v>169</v>
      </c>
      <c r="D25">
        <v>3.3365529999999999</v>
      </c>
    </row>
    <row r="26" spans="2:4" x14ac:dyDescent="0.3">
      <c r="B26">
        <v>9</v>
      </c>
      <c r="C26" t="s">
        <v>332</v>
      </c>
      <c r="D26">
        <v>3.3166950000000002</v>
      </c>
    </row>
    <row r="27" spans="2:4" x14ac:dyDescent="0.3">
      <c r="B27">
        <v>4</v>
      </c>
      <c r="C27" t="s">
        <v>112</v>
      </c>
      <c r="D27">
        <v>3.1752590000000001</v>
      </c>
    </row>
    <row r="28" spans="2:4" x14ac:dyDescent="0.3">
      <c r="B28">
        <v>27</v>
      </c>
      <c r="C28" t="s">
        <v>111</v>
      </c>
      <c r="D28">
        <v>3.0980560000000001</v>
      </c>
    </row>
    <row r="29" spans="2:4" x14ac:dyDescent="0.3">
      <c r="B29">
        <v>23</v>
      </c>
      <c r="C29" t="s">
        <v>93</v>
      </c>
      <c r="D29">
        <v>3.095011</v>
      </c>
    </row>
    <row r="30" spans="2:4" x14ac:dyDescent="0.3">
      <c r="B30">
        <v>20</v>
      </c>
      <c r="C30" t="s">
        <v>335</v>
      </c>
      <c r="D30">
        <v>2.7992590000000002</v>
      </c>
    </row>
  </sheetData>
  <autoFilter ref="B1:D30" xr:uid="{F5518017-6628-47CB-9A0B-D0E6355003C2}">
    <sortState xmlns:xlrd2="http://schemas.microsoft.com/office/spreadsheetml/2017/richdata2" ref="B2:D30">
      <sortCondition descending="1" ref="D1:D30"/>
    </sortState>
  </autoFilter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5E76-E2FE-4B37-94D5-E3F167FF822A}">
  <dimension ref="A2:M74"/>
  <sheetViews>
    <sheetView tabSelected="1" zoomScale="55" zoomScaleNormal="55" workbookViewId="0">
      <selection activeCell="J57" sqref="J57"/>
    </sheetView>
  </sheetViews>
  <sheetFormatPr defaultRowHeight="13" x14ac:dyDescent="0.3"/>
  <cols>
    <col min="1" max="2" width="8.6640625" style="10"/>
    <col min="3" max="3" width="52.33203125" style="13" customWidth="1"/>
    <col min="4" max="5" width="9.33203125" style="10" customWidth="1"/>
    <col min="6" max="6" width="6.5" style="10" customWidth="1"/>
    <col min="7" max="7" width="8.6640625" style="10"/>
    <col min="8" max="8" width="11.75" style="10" customWidth="1"/>
    <col min="9" max="9" width="12.9140625" style="10" customWidth="1"/>
    <col min="10" max="10" width="13.25" style="10" customWidth="1"/>
    <col min="11" max="11" width="12.9140625" style="10" customWidth="1"/>
    <col min="12" max="12" width="12.08203125" style="10" customWidth="1"/>
    <col min="13" max="13" width="12.5" style="10" customWidth="1"/>
    <col min="14" max="14" width="11.1640625" style="10" customWidth="1"/>
    <col min="15" max="15" width="10.33203125" style="10" customWidth="1"/>
    <col min="16" max="16" width="10.9140625" style="10" customWidth="1"/>
    <col min="17" max="17" width="11" style="10" customWidth="1"/>
    <col min="18" max="16384" width="8.6640625" style="10"/>
  </cols>
  <sheetData>
    <row r="2" spans="3:12" s="13" customFormat="1" x14ac:dyDescent="0.3">
      <c r="C2" s="18" t="s">
        <v>0</v>
      </c>
      <c r="D2" s="18" t="s">
        <v>48</v>
      </c>
      <c r="E2" s="18" t="s">
        <v>158</v>
      </c>
      <c r="F2" s="18" t="s">
        <v>43</v>
      </c>
      <c r="G2" s="18" t="s">
        <v>45</v>
      </c>
      <c r="H2" s="18" t="s">
        <v>44</v>
      </c>
      <c r="I2" s="18" t="s">
        <v>46</v>
      </c>
      <c r="J2" s="18" t="s">
        <v>37</v>
      </c>
      <c r="K2" s="18" t="s">
        <v>91</v>
      </c>
      <c r="L2" s="18" t="s">
        <v>368</v>
      </c>
    </row>
    <row r="3" spans="3:12" s="17" customFormat="1" x14ac:dyDescent="0.3">
      <c r="C3" s="21" t="s">
        <v>330</v>
      </c>
      <c r="D3" s="21" t="s">
        <v>47</v>
      </c>
      <c r="E3" s="21"/>
      <c r="F3" s="73">
        <v>1.6</v>
      </c>
      <c r="G3" s="73"/>
      <c r="H3" s="21"/>
      <c r="I3" s="21"/>
      <c r="J3" s="21"/>
      <c r="K3" s="21"/>
      <c r="L3" s="21"/>
    </row>
    <row r="4" spans="3:12" s="14" customFormat="1" x14ac:dyDescent="0.3">
      <c r="C4" s="19" t="s">
        <v>331</v>
      </c>
      <c r="D4" s="19" t="s">
        <v>90</v>
      </c>
      <c r="E4" s="19"/>
      <c r="F4" s="75">
        <v>2.5</v>
      </c>
      <c r="G4" s="75"/>
      <c r="H4" s="75">
        <v>3.2</v>
      </c>
      <c r="I4" s="75"/>
      <c r="J4" s="19"/>
      <c r="K4" s="19"/>
      <c r="L4" s="19"/>
    </row>
    <row r="5" spans="3:12" s="16" customFormat="1" x14ac:dyDescent="0.3">
      <c r="C5" s="21" t="s">
        <v>50</v>
      </c>
      <c r="D5" s="21" t="s">
        <v>49</v>
      </c>
      <c r="E5" s="21"/>
      <c r="F5" s="22">
        <v>0.7</v>
      </c>
      <c r="G5" s="22">
        <v>0.42399999999999999</v>
      </c>
      <c r="H5" s="22">
        <v>0.81</v>
      </c>
      <c r="I5" s="22">
        <v>0.52700000000000002</v>
      </c>
      <c r="J5" s="22"/>
      <c r="K5" s="22"/>
      <c r="L5" s="22"/>
    </row>
    <row r="6" spans="3:12" s="17" customFormat="1" x14ac:dyDescent="0.3">
      <c r="C6" s="21"/>
      <c r="D6" s="21" t="s">
        <v>51</v>
      </c>
      <c r="E6" s="21"/>
      <c r="F6" s="49">
        <f>F5*'Exchange Rate'!$E$20*'Exchange Rate'!$D$18/'Exchange Rate'!$D$20</f>
        <v>4.4573366972477064</v>
      </c>
      <c r="G6" s="49">
        <f>G5*'Exchange Rate'!$E$20*'Exchange Rate'!$D$18/'Exchange Rate'!$D$20</f>
        <v>2.6998725137614681</v>
      </c>
      <c r="H6" s="49">
        <f>H5*'Exchange Rate'!$E$20*'Exchange Rate'!$D$18/'Exchange Rate'!$D$20</f>
        <v>5.1577753211009183</v>
      </c>
      <c r="I6" s="49">
        <f>I5*'Exchange Rate'!$E$20*'Exchange Rate'!$D$18/'Exchange Rate'!$D$20</f>
        <v>3.355737770642202</v>
      </c>
      <c r="J6" s="21"/>
      <c r="K6" s="21"/>
      <c r="L6" s="21"/>
    </row>
    <row r="7" spans="3:12" s="17" customFormat="1" x14ac:dyDescent="0.3">
      <c r="C7" s="21"/>
      <c r="D7" s="21" t="s">
        <v>328</v>
      </c>
      <c r="E7" s="21"/>
      <c r="F7" s="49" t="s">
        <v>324</v>
      </c>
      <c r="G7" s="49" t="s">
        <v>325</v>
      </c>
      <c r="H7" s="49" t="s">
        <v>326</v>
      </c>
      <c r="I7" s="49" t="s">
        <v>327</v>
      </c>
      <c r="J7" s="21"/>
      <c r="K7" s="21"/>
      <c r="L7" s="21"/>
    </row>
    <row r="8" spans="3:12" s="15" customFormat="1" x14ac:dyDescent="0.3">
      <c r="C8" s="19" t="s">
        <v>150</v>
      </c>
      <c r="D8" s="19" t="s">
        <v>49</v>
      </c>
      <c r="E8" s="19"/>
      <c r="F8" s="20"/>
      <c r="G8" s="20"/>
      <c r="H8" s="74" t="s">
        <v>52</v>
      </c>
      <c r="I8" s="74"/>
      <c r="J8" s="20"/>
      <c r="K8" s="20"/>
      <c r="L8" s="20"/>
    </row>
    <row r="9" spans="3:12" s="14" customFormat="1" x14ac:dyDescent="0.3">
      <c r="C9" s="19"/>
      <c r="D9" s="19" t="s">
        <v>51</v>
      </c>
      <c r="E9" s="19"/>
      <c r="F9" s="19"/>
      <c r="G9" s="19"/>
      <c r="H9" s="75" t="s">
        <v>53</v>
      </c>
      <c r="I9" s="75"/>
      <c r="J9" s="19"/>
      <c r="K9" s="19"/>
      <c r="L9" s="19"/>
    </row>
    <row r="10" spans="3:12" s="16" customFormat="1" x14ac:dyDescent="0.3">
      <c r="C10" s="21" t="s">
        <v>123</v>
      </c>
      <c r="D10" s="21" t="s">
        <v>54</v>
      </c>
      <c r="E10" s="21"/>
      <c r="F10" s="22"/>
      <c r="G10" s="22">
        <v>0.22900000000000001</v>
      </c>
      <c r="H10" s="22"/>
      <c r="I10" s="22" t="s">
        <v>55</v>
      </c>
      <c r="J10" s="22"/>
      <c r="K10" s="22"/>
      <c r="L10" s="22"/>
    </row>
    <row r="11" spans="3:12" s="17" customFormat="1" x14ac:dyDescent="0.3">
      <c r="C11" s="21"/>
      <c r="D11" s="21" t="s">
        <v>51</v>
      </c>
      <c r="E11" s="21"/>
      <c r="F11" s="21"/>
      <c r="G11" s="49">
        <f>G10*'Exchange Rate'!C18/'Exchange Rate'!C16*'Exchange Rate'!E18</f>
        <v>1.6871487027136791</v>
      </c>
      <c r="H11" s="21"/>
      <c r="I11" s="49" t="s">
        <v>149</v>
      </c>
      <c r="J11" s="21"/>
      <c r="K11" s="21"/>
      <c r="L11" s="21"/>
    </row>
    <row r="12" spans="3:12" s="15" customFormat="1" x14ac:dyDescent="0.3">
      <c r="C12" s="19" t="s">
        <v>132</v>
      </c>
      <c r="D12" s="19" t="s">
        <v>134</v>
      </c>
      <c r="E12" s="19"/>
      <c r="F12" s="20"/>
      <c r="G12" s="20">
        <f>0.985*0.5</f>
        <v>0.49249999999999999</v>
      </c>
      <c r="H12" s="20"/>
      <c r="I12" s="20" t="s">
        <v>136</v>
      </c>
      <c r="J12" s="20">
        <v>1.913</v>
      </c>
      <c r="K12" s="20">
        <v>2.0139999999999998</v>
      </c>
      <c r="L12" s="20"/>
    </row>
    <row r="13" spans="3:12" s="14" customFormat="1" x14ac:dyDescent="0.3">
      <c r="C13" s="19"/>
      <c r="D13" s="19" t="s">
        <v>135</v>
      </c>
      <c r="E13" s="19"/>
      <c r="F13" s="19"/>
      <c r="G13" s="50">
        <f>G12/'Exchange Rate'!C19*'Exchange Rate'!C18*'Exchange Rate'!E18</f>
        <v>3.2354647167901236</v>
      </c>
      <c r="H13" s="19"/>
      <c r="I13" s="50" t="s">
        <v>137</v>
      </c>
      <c r="J13" s="50">
        <f>J12/'Exchange Rate'!C19*'Exchange Rate'!C18*'Exchange Rate'!E18</f>
        <v>12.567398991308643</v>
      </c>
      <c r="K13" s="50">
        <f>K12/'Exchange Rate'!C19*'Exchange Rate'!C18*'Exchange Rate'!E18</f>
        <v>13.230915613432098</v>
      </c>
      <c r="L13" s="19"/>
    </row>
    <row r="14" spans="3:12" s="16" customFormat="1" x14ac:dyDescent="0.3">
      <c r="C14" s="21" t="s">
        <v>140</v>
      </c>
      <c r="D14" s="21" t="s">
        <v>138</v>
      </c>
      <c r="E14" s="21"/>
      <c r="F14" s="22"/>
      <c r="G14" s="22"/>
      <c r="H14" s="22"/>
      <c r="I14" s="22"/>
      <c r="J14" s="22" t="s">
        <v>141</v>
      </c>
      <c r="K14" s="22" t="s">
        <v>141</v>
      </c>
      <c r="L14" s="22"/>
    </row>
    <row r="15" spans="3:12" s="17" customFormat="1" x14ac:dyDescent="0.3">
      <c r="C15" s="21"/>
      <c r="D15" s="21" t="s">
        <v>139</v>
      </c>
      <c r="E15" s="21"/>
      <c r="F15" s="21"/>
      <c r="G15" s="21"/>
      <c r="H15" s="21"/>
      <c r="I15" s="21"/>
      <c r="J15" s="49" t="s">
        <v>142</v>
      </c>
      <c r="K15" s="49" t="s">
        <v>142</v>
      </c>
      <c r="L15" s="21"/>
    </row>
    <row r="16" spans="3:12" s="15" customFormat="1" x14ac:dyDescent="0.3">
      <c r="C16" s="19" t="s">
        <v>143</v>
      </c>
      <c r="D16" s="19" t="s">
        <v>134</v>
      </c>
      <c r="E16" s="19"/>
      <c r="F16" s="20"/>
      <c r="G16" s="20" t="s">
        <v>144</v>
      </c>
      <c r="H16" s="20"/>
      <c r="I16" s="20"/>
      <c r="J16" s="20"/>
      <c r="K16" s="20">
        <v>0.91700000000000004</v>
      </c>
      <c r="L16" s="20"/>
    </row>
    <row r="17" spans="3:12" s="14" customFormat="1" x14ac:dyDescent="0.3">
      <c r="C17" s="19"/>
      <c r="D17" s="19" t="s">
        <v>135</v>
      </c>
      <c r="E17" s="19"/>
      <c r="F17" s="19"/>
      <c r="G17" s="50" t="s">
        <v>145</v>
      </c>
      <c r="H17" s="19"/>
      <c r="I17" s="19"/>
      <c r="J17" s="19"/>
      <c r="K17" s="50">
        <f>0.917/'Exchange Rate'!C19*'Exchange Rate'!C18*'Exchange Rate'!E18</f>
        <v>6.0242053711604937</v>
      </c>
      <c r="L17" s="19"/>
    </row>
    <row r="18" spans="3:12" s="16" customFormat="1" x14ac:dyDescent="0.3">
      <c r="C18" s="21" t="s">
        <v>122</v>
      </c>
      <c r="D18" s="21" t="s">
        <v>138</v>
      </c>
      <c r="E18" s="21"/>
      <c r="F18" s="22"/>
      <c r="G18" s="22">
        <v>0.683168</v>
      </c>
      <c r="H18" s="22"/>
      <c r="I18" s="22">
        <v>0.905941</v>
      </c>
      <c r="J18" s="22"/>
      <c r="K18" s="22"/>
      <c r="L18" s="22"/>
    </row>
    <row r="19" spans="3:12" s="17" customFormat="1" x14ac:dyDescent="0.3">
      <c r="C19" s="21"/>
      <c r="D19" s="21" t="s">
        <v>139</v>
      </c>
      <c r="E19" s="21"/>
      <c r="F19" s="21"/>
      <c r="G19" s="49">
        <f>G18*'Exchange Rate'!E18</f>
        <v>4.5207959231999997</v>
      </c>
      <c r="H19" s="21"/>
      <c r="I19" s="49">
        <f>I18*'Exchange Rate'!E18</f>
        <v>5.9949739733999996</v>
      </c>
      <c r="J19" s="21"/>
      <c r="K19" s="21"/>
      <c r="L19" s="21"/>
    </row>
    <row r="20" spans="3:12" s="15" customFormat="1" x14ac:dyDescent="0.3">
      <c r="C20" s="19" t="s">
        <v>146</v>
      </c>
      <c r="D20" s="19" t="s">
        <v>138</v>
      </c>
      <c r="E20" s="19"/>
      <c r="F20" s="20"/>
      <c r="G20" s="20"/>
      <c r="H20" s="20"/>
      <c r="I20" s="20"/>
      <c r="J20" s="20" t="s">
        <v>147</v>
      </c>
      <c r="K20" s="20"/>
      <c r="L20" s="20"/>
    </row>
    <row r="21" spans="3:12" s="14" customFormat="1" x14ac:dyDescent="0.3">
      <c r="C21" s="19"/>
      <c r="D21" s="19" t="s">
        <v>139</v>
      </c>
      <c r="E21" s="19"/>
      <c r="F21" s="19"/>
      <c r="G21" s="19"/>
      <c r="H21" s="19"/>
      <c r="I21" s="19"/>
      <c r="J21" s="50" t="s">
        <v>148</v>
      </c>
      <c r="K21" s="50" t="s">
        <v>148</v>
      </c>
      <c r="L21" s="19"/>
    </row>
    <row r="22" spans="3:12" s="16" customFormat="1" x14ac:dyDescent="0.3">
      <c r="C22" s="21" t="s">
        <v>57</v>
      </c>
      <c r="D22" s="21" t="s">
        <v>38</v>
      </c>
      <c r="E22" s="21"/>
      <c r="F22" s="22"/>
      <c r="G22" s="22"/>
      <c r="H22" s="22"/>
      <c r="I22" s="22"/>
      <c r="J22" s="22">
        <v>1.26471</v>
      </c>
      <c r="K22" s="22"/>
      <c r="L22" s="22"/>
    </row>
    <row r="23" spans="3:12" s="17" customFormat="1" x14ac:dyDescent="0.3">
      <c r="C23" s="21"/>
      <c r="D23" s="21" t="s">
        <v>9</v>
      </c>
      <c r="E23" s="21"/>
      <c r="F23" s="21"/>
      <c r="G23" s="21"/>
      <c r="H23" s="21"/>
      <c r="I23" s="21"/>
      <c r="J23" s="49">
        <f>J22*'Exchange Rate'!C18/'Exchange Rate'!C20*'Exchange Rate'!E18</f>
        <v>8.4659499454166376</v>
      </c>
      <c r="K23" s="21"/>
      <c r="L23" s="21"/>
    </row>
    <row r="24" spans="3:12" s="15" customFormat="1" x14ac:dyDescent="0.3">
      <c r="C24" s="19" t="s">
        <v>57</v>
      </c>
      <c r="D24" s="19" t="s">
        <v>38</v>
      </c>
      <c r="E24" s="19"/>
      <c r="F24" s="20"/>
      <c r="G24" s="20"/>
      <c r="H24" s="20"/>
      <c r="I24" s="20"/>
      <c r="J24" s="20">
        <v>0.71799999999999997</v>
      </c>
      <c r="K24" s="20"/>
      <c r="L24" s="20"/>
    </row>
    <row r="25" spans="3:12" s="14" customFormat="1" x14ac:dyDescent="0.3">
      <c r="C25" s="19"/>
      <c r="D25" s="19" t="s">
        <v>9</v>
      </c>
      <c r="E25" s="19"/>
      <c r="F25" s="19"/>
      <c r="G25" s="19"/>
      <c r="H25" s="19"/>
      <c r="I25" s="19"/>
      <c r="J25" s="50">
        <v>4.7512932000000001</v>
      </c>
      <c r="K25" s="19"/>
      <c r="L25" s="19"/>
    </row>
    <row r="26" spans="3:12" s="16" customFormat="1" x14ac:dyDescent="0.3">
      <c r="C26" s="21" t="s">
        <v>159</v>
      </c>
      <c r="D26" s="21" t="s">
        <v>138</v>
      </c>
      <c r="E26" s="21">
        <v>2030</v>
      </c>
      <c r="F26" s="22"/>
      <c r="G26" s="22"/>
      <c r="H26" s="22"/>
      <c r="I26" s="22"/>
      <c r="J26" s="22" t="s">
        <v>309</v>
      </c>
      <c r="K26" s="22" t="s">
        <v>309</v>
      </c>
      <c r="L26" s="22"/>
    </row>
    <row r="27" spans="3:12" s="17" customFormat="1" x14ac:dyDescent="0.3">
      <c r="C27" s="21"/>
      <c r="D27" s="21" t="s">
        <v>47</v>
      </c>
      <c r="E27" s="21">
        <v>2030</v>
      </c>
      <c r="F27" s="21"/>
      <c r="G27" s="21"/>
      <c r="H27" s="21"/>
      <c r="I27" s="21"/>
      <c r="J27" s="49" t="s">
        <v>310</v>
      </c>
      <c r="K27" s="49" t="s">
        <v>310</v>
      </c>
      <c r="L27" s="21"/>
    </row>
    <row r="28" spans="3:12" s="14" customFormat="1" ht="13.5" customHeight="1" x14ac:dyDescent="0.3">
      <c r="C28" s="19" t="s">
        <v>162</v>
      </c>
      <c r="D28" s="19" t="s">
        <v>161</v>
      </c>
      <c r="E28" s="19" t="s">
        <v>163</v>
      </c>
      <c r="F28" s="19"/>
      <c r="G28" s="19"/>
      <c r="H28" s="19"/>
      <c r="I28" s="19"/>
      <c r="J28" s="20">
        <v>0.57999999999999996</v>
      </c>
      <c r="K28" s="20">
        <v>0.57999999999999996</v>
      </c>
      <c r="L28" s="19"/>
    </row>
    <row r="29" spans="3:12" s="14" customFormat="1" x14ac:dyDescent="0.3">
      <c r="C29" s="19"/>
      <c r="D29" s="19" t="s">
        <v>160</v>
      </c>
      <c r="E29" s="19" t="s">
        <v>163</v>
      </c>
      <c r="F29" s="19"/>
      <c r="G29" s="19"/>
      <c r="H29" s="19"/>
      <c r="I29" s="19"/>
      <c r="J29" s="50">
        <v>5.1164699999999996</v>
      </c>
      <c r="K29" s="50">
        <v>5.1164699999999996</v>
      </c>
      <c r="L29" s="19"/>
    </row>
    <row r="30" spans="3:12" s="15" customFormat="1" x14ac:dyDescent="0.3">
      <c r="C30" s="19" t="s">
        <v>166</v>
      </c>
      <c r="D30" s="20" t="s">
        <v>165</v>
      </c>
      <c r="E30" s="20">
        <v>2011</v>
      </c>
      <c r="F30" s="20"/>
      <c r="G30" s="20"/>
      <c r="H30" s="20"/>
      <c r="I30" s="20"/>
      <c r="J30" s="20" t="s">
        <v>311</v>
      </c>
      <c r="K30" s="20" t="s">
        <v>311</v>
      </c>
      <c r="L30" s="20"/>
    </row>
    <row r="31" spans="3:12" s="14" customFormat="1" x14ac:dyDescent="0.3">
      <c r="C31" s="19"/>
      <c r="D31" s="19" t="s">
        <v>157</v>
      </c>
      <c r="E31" s="19">
        <v>2018</v>
      </c>
      <c r="F31" s="19"/>
      <c r="G31" s="19"/>
      <c r="H31" s="19"/>
      <c r="I31" s="19"/>
      <c r="J31" s="50" t="s">
        <v>312</v>
      </c>
      <c r="K31" s="50" t="s">
        <v>312</v>
      </c>
      <c r="L31" s="19"/>
    </row>
    <row r="32" spans="3:12" s="15" customFormat="1" ht="13.5" customHeight="1" x14ac:dyDescent="0.3">
      <c r="C32" s="19" t="s">
        <v>168</v>
      </c>
      <c r="D32" s="20" t="s">
        <v>167</v>
      </c>
      <c r="E32" s="20">
        <v>2014</v>
      </c>
      <c r="F32" s="20"/>
      <c r="G32" s="20"/>
      <c r="H32" s="20"/>
      <c r="I32" s="20"/>
      <c r="J32" s="20" t="s">
        <v>313</v>
      </c>
      <c r="K32" s="20" t="s">
        <v>313</v>
      </c>
      <c r="L32" s="20"/>
    </row>
    <row r="33" spans="3:12" s="14" customFormat="1" x14ac:dyDescent="0.3">
      <c r="C33" s="19"/>
      <c r="D33" s="19" t="s">
        <v>157</v>
      </c>
      <c r="E33" s="19">
        <v>2014</v>
      </c>
      <c r="F33" s="19"/>
      <c r="G33" s="19"/>
      <c r="H33" s="19"/>
      <c r="I33" s="19"/>
      <c r="J33" s="50" t="s">
        <v>367</v>
      </c>
      <c r="K33" s="50" t="s">
        <v>314</v>
      </c>
      <c r="L33" s="19"/>
    </row>
    <row r="34" spans="3:12" s="17" customFormat="1" x14ac:dyDescent="0.3">
      <c r="C34" s="21" t="s">
        <v>289</v>
      </c>
      <c r="D34" s="21" t="s">
        <v>369</v>
      </c>
      <c r="E34" s="21">
        <v>2020</v>
      </c>
      <c r="F34" s="21"/>
      <c r="G34" s="21"/>
      <c r="H34" s="21"/>
      <c r="I34" s="21"/>
      <c r="J34" s="60"/>
      <c r="K34" s="60"/>
      <c r="L34" s="22" t="s">
        <v>370</v>
      </c>
    </row>
    <row r="35" spans="3:12" s="16" customFormat="1" x14ac:dyDescent="0.3">
      <c r="C35" s="21"/>
      <c r="D35" s="21" t="s">
        <v>9</v>
      </c>
      <c r="E35" s="21">
        <v>2020</v>
      </c>
      <c r="F35" s="22"/>
      <c r="G35" s="22"/>
      <c r="H35" s="22"/>
      <c r="I35" s="22"/>
      <c r="J35" s="22"/>
      <c r="K35" s="22"/>
      <c r="L35" s="61" t="s">
        <v>371</v>
      </c>
    </row>
    <row r="36" spans="3:12" x14ac:dyDescent="0.3">
      <c r="C36" s="10"/>
    </row>
    <row r="45" spans="3:12" ht="15" x14ac:dyDescent="0.3">
      <c r="C45" s="13" t="s">
        <v>121</v>
      </c>
    </row>
    <row r="46" spans="3:12" s="13" customFormat="1" x14ac:dyDescent="0.3">
      <c r="C46" s="13" t="s">
        <v>120</v>
      </c>
      <c r="D46" s="13" t="s">
        <v>129</v>
      </c>
      <c r="E46" s="13" t="s">
        <v>116</v>
      </c>
      <c r="F46" s="13" t="s">
        <v>117</v>
      </c>
      <c r="G46" s="13" t="s">
        <v>118</v>
      </c>
      <c r="H46" s="13" t="s">
        <v>295</v>
      </c>
      <c r="I46" s="13" t="s">
        <v>119</v>
      </c>
    </row>
    <row r="47" spans="3:12" x14ac:dyDescent="0.3">
      <c r="C47" s="13" t="s">
        <v>128</v>
      </c>
      <c r="D47" s="10">
        <v>5.5726129999999996</v>
      </c>
      <c r="E47" s="10">
        <v>2.8098890000000001</v>
      </c>
    </row>
    <row r="48" spans="3:12" x14ac:dyDescent="0.3">
      <c r="C48" s="13" t="s">
        <v>122</v>
      </c>
      <c r="D48" s="10">
        <v>4.42</v>
      </c>
      <c r="E48" s="10">
        <v>2.81</v>
      </c>
    </row>
    <row r="49" spans="1:13" x14ac:dyDescent="0.3">
      <c r="C49" s="13" t="s">
        <v>123</v>
      </c>
      <c r="E49" s="10">
        <v>2.6</v>
      </c>
      <c r="G49" s="10" t="s">
        <v>124</v>
      </c>
    </row>
    <row r="50" spans="1:13" x14ac:dyDescent="0.3">
      <c r="C50" s="13" t="s">
        <v>125</v>
      </c>
      <c r="E50" s="10">
        <v>2.79</v>
      </c>
      <c r="G50" s="10">
        <v>0.37</v>
      </c>
    </row>
    <row r="51" spans="1:13" x14ac:dyDescent="0.3">
      <c r="C51" s="13" t="s">
        <v>57</v>
      </c>
      <c r="H51" s="10" t="s">
        <v>126</v>
      </c>
    </row>
    <row r="52" spans="1:13" x14ac:dyDescent="0.3">
      <c r="C52" s="13" t="s">
        <v>127</v>
      </c>
      <c r="H52" s="12">
        <v>0.68</v>
      </c>
    </row>
    <row r="53" spans="1:13" x14ac:dyDescent="0.3">
      <c r="C53" s="13" t="s">
        <v>131</v>
      </c>
      <c r="H53" s="72" t="s">
        <v>130</v>
      </c>
      <c r="I53" s="72"/>
    </row>
    <row r="54" spans="1:13" x14ac:dyDescent="0.3">
      <c r="C54" s="13" t="s">
        <v>132</v>
      </c>
      <c r="E54" s="10">
        <v>2.19</v>
      </c>
      <c r="G54" s="10" t="s">
        <v>133</v>
      </c>
      <c r="H54" s="10">
        <v>1.145</v>
      </c>
      <c r="I54" s="10">
        <v>0.69299999999999995</v>
      </c>
    </row>
    <row r="55" spans="1:13" x14ac:dyDescent="0.3">
      <c r="C55" s="13" t="s">
        <v>329</v>
      </c>
      <c r="D55" s="10">
        <v>6.1031659999999999</v>
      </c>
    </row>
    <row r="60" spans="1:13" x14ac:dyDescent="0.3">
      <c r="B60" s="10">
        <v>2020</v>
      </c>
      <c r="E60" s="10">
        <v>2030</v>
      </c>
      <c r="H60" s="10">
        <v>2040</v>
      </c>
      <c r="K60" s="10">
        <v>2050</v>
      </c>
    </row>
    <row r="61" spans="1:13" x14ac:dyDescent="0.3">
      <c r="A61" s="10" t="s">
        <v>315</v>
      </c>
      <c r="B61" s="10" t="s">
        <v>185</v>
      </c>
      <c r="C61" s="13" t="s">
        <v>296</v>
      </c>
      <c r="D61" s="10" t="s">
        <v>316</v>
      </c>
      <c r="E61" s="10" t="s">
        <v>185</v>
      </c>
      <c r="F61" s="10" t="s">
        <v>296</v>
      </c>
      <c r="G61" s="10" t="s">
        <v>316</v>
      </c>
      <c r="H61" s="10" t="s">
        <v>185</v>
      </c>
      <c r="I61" s="10" t="s">
        <v>296</v>
      </c>
      <c r="J61" s="10" t="s">
        <v>316</v>
      </c>
      <c r="K61" s="10" t="s">
        <v>185</v>
      </c>
      <c r="L61" s="10" t="s">
        <v>296</v>
      </c>
      <c r="M61" s="10" t="s">
        <v>316</v>
      </c>
    </row>
    <row r="62" spans="1:13" x14ac:dyDescent="0.3">
      <c r="B62" s="10">
        <v>5.1255938345218031</v>
      </c>
      <c r="C62" s="13">
        <v>5.3273342171147373</v>
      </c>
      <c r="D62" s="10">
        <v>4.9761286703999996</v>
      </c>
      <c r="E62" s="10">
        <v>3.2846320168060981</v>
      </c>
      <c r="F62" s="10">
        <v>4.018183361573552</v>
      </c>
      <c r="G62" s="10">
        <v>3.2763599999999999</v>
      </c>
      <c r="H62" s="10">
        <v>2.7123371873498381</v>
      </c>
      <c r="I62" s="10">
        <v>3.6582323069036282</v>
      </c>
      <c r="J62" s="10">
        <v>2.6605008863999999</v>
      </c>
      <c r="K62" s="10">
        <v>2.4356453495900161</v>
      </c>
      <c r="L62" s="10">
        <v>3.419011509081689</v>
      </c>
      <c r="M62" s="10">
        <v>2.1678191135999998</v>
      </c>
    </row>
    <row r="63" spans="1:13" x14ac:dyDescent="0.3">
      <c r="B63" s="10">
        <v>8.7945071801463452</v>
      </c>
      <c r="C63" s="13">
        <v>11.20102567928903</v>
      </c>
      <c r="D63" s="10">
        <v>9.6566399999999994</v>
      </c>
      <c r="E63" s="10">
        <v>5.6293660893180899</v>
      </c>
      <c r="F63" s="10">
        <v>8.4417026207510801</v>
      </c>
      <c r="G63" s="10">
        <v>6.5280886703999998</v>
      </c>
      <c r="H63" s="10">
        <v>4.6454272246716926</v>
      </c>
      <c r="I63" s="10">
        <v>7.6830266890264696</v>
      </c>
      <c r="J63" s="10">
        <v>5.1731999999999996</v>
      </c>
      <c r="K63" s="10">
        <v>4.1697146396724749</v>
      </c>
      <c r="L63" s="10">
        <v>7.1788162989724897</v>
      </c>
      <c r="M63" s="10">
        <v>4.2124608863999997</v>
      </c>
    </row>
    <row r="67" spans="1:8" x14ac:dyDescent="0.3">
      <c r="B67" s="10" t="s">
        <v>317</v>
      </c>
      <c r="D67" s="10">
        <v>6.8975999999999997</v>
      </c>
    </row>
    <row r="69" spans="1:8" x14ac:dyDescent="0.3">
      <c r="A69" s="10" t="s">
        <v>319</v>
      </c>
      <c r="B69" s="10" t="s">
        <v>321</v>
      </c>
      <c r="C69" s="10" t="s">
        <v>318</v>
      </c>
      <c r="E69" s="10">
        <v>2020</v>
      </c>
      <c r="F69" s="10">
        <v>2030</v>
      </c>
      <c r="G69" s="10">
        <v>2040</v>
      </c>
      <c r="H69" s="10">
        <v>2050</v>
      </c>
    </row>
    <row r="70" spans="1:8" x14ac:dyDescent="0.3">
      <c r="B70" s="10" t="s">
        <v>323</v>
      </c>
      <c r="E70" s="10">
        <v>0.72142899999999999</v>
      </c>
      <c r="F70" s="10">
        <v>0.47499999999999998</v>
      </c>
      <c r="G70" s="10">
        <v>0.385714</v>
      </c>
      <c r="H70" s="10">
        <v>0.31428600000000001</v>
      </c>
    </row>
    <row r="71" spans="1:8" x14ac:dyDescent="0.3">
      <c r="B71" s="10" t="s">
        <v>322</v>
      </c>
      <c r="E71" s="10">
        <v>1.4</v>
      </c>
      <c r="F71" s="10">
        <v>0.94642899999999996</v>
      </c>
      <c r="G71" s="10">
        <v>0.75</v>
      </c>
      <c r="H71" s="10">
        <v>0.61071399999999998</v>
      </c>
    </row>
    <row r="73" spans="1:8" x14ac:dyDescent="0.3">
      <c r="A73" s="10" t="s">
        <v>320</v>
      </c>
      <c r="B73" s="10" t="s">
        <v>323</v>
      </c>
      <c r="E73" s="10">
        <v>4.9761286703999996</v>
      </c>
      <c r="F73" s="10">
        <v>3.2763599999999999</v>
      </c>
      <c r="G73" s="10">
        <v>2.6605008863999999</v>
      </c>
      <c r="H73" s="10">
        <v>2.1678191135999998</v>
      </c>
    </row>
    <row r="74" spans="1:8" x14ac:dyDescent="0.3">
      <c r="B74" s="10" t="s">
        <v>322</v>
      </c>
      <c r="E74" s="10">
        <v>9.6566399999999994</v>
      </c>
      <c r="F74" s="10">
        <v>6.5280886703999998</v>
      </c>
      <c r="G74" s="10">
        <v>5.1731999999999996</v>
      </c>
      <c r="H74" s="10">
        <v>4.2124608863999997</v>
      </c>
    </row>
  </sheetData>
  <mergeCells count="6">
    <mergeCell ref="H53:I53"/>
    <mergeCell ref="F3:G3"/>
    <mergeCell ref="H8:I8"/>
    <mergeCell ref="H9:I9"/>
    <mergeCell ref="F4:G4"/>
    <mergeCell ref="H4:I4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15F5-03C3-4204-975B-BA1B52CB3D46}">
  <dimension ref="A1:Q19"/>
  <sheetViews>
    <sheetView workbookViewId="0">
      <selection activeCell="E5" sqref="E5"/>
    </sheetView>
  </sheetViews>
  <sheetFormatPr defaultRowHeight="14" x14ac:dyDescent="0.3"/>
  <cols>
    <col min="2" max="2" width="22.1640625" customWidth="1"/>
    <col min="10" max="10" width="8.6640625" customWidth="1"/>
  </cols>
  <sheetData>
    <row r="1" spans="1:17" x14ac:dyDescent="0.3">
      <c r="C1">
        <v>2020</v>
      </c>
      <c r="D1">
        <v>2030</v>
      </c>
      <c r="E1">
        <v>2040</v>
      </c>
      <c r="F1">
        <v>2050</v>
      </c>
      <c r="K1">
        <v>2020</v>
      </c>
      <c r="L1">
        <v>2030</v>
      </c>
      <c r="M1">
        <v>2040</v>
      </c>
      <c r="N1">
        <v>2050</v>
      </c>
    </row>
    <row r="2" spans="1:17" x14ac:dyDescent="0.3">
      <c r="B2" t="s">
        <v>297</v>
      </c>
      <c r="C2">
        <v>0.32630387711072473</v>
      </c>
      <c r="D2">
        <v>0.2406947465894741</v>
      </c>
      <c r="E2">
        <v>0.1956564304862565</v>
      </c>
      <c r="F2">
        <v>0.1751857766292633</v>
      </c>
      <c r="J2" t="s">
        <v>298</v>
      </c>
      <c r="K2">
        <v>0.32630387711072473</v>
      </c>
      <c r="L2">
        <v>0.2406947465894741</v>
      </c>
      <c r="M2">
        <v>0.1956564304862565</v>
      </c>
      <c r="N2">
        <v>0.1751857766292633</v>
      </c>
    </row>
    <row r="3" spans="1:17" x14ac:dyDescent="0.3">
      <c r="B3" t="s">
        <v>299</v>
      </c>
      <c r="C3">
        <v>0.375</v>
      </c>
      <c r="D3">
        <v>0.24199999999999999</v>
      </c>
      <c r="E3">
        <v>0.17699999999999999</v>
      </c>
      <c r="F3">
        <v>0.113</v>
      </c>
      <c r="J3" t="s">
        <v>300</v>
      </c>
      <c r="K3">
        <v>0.375</v>
      </c>
      <c r="L3">
        <v>0.24199999999999999</v>
      </c>
      <c r="M3">
        <v>0.17699999999999999</v>
      </c>
      <c r="N3">
        <v>0.113</v>
      </c>
    </row>
    <row r="4" spans="1:17" x14ac:dyDescent="0.3">
      <c r="B4" t="s">
        <v>301</v>
      </c>
      <c r="C4">
        <v>0.32200000000000001</v>
      </c>
      <c r="D4">
        <v>0.23899999999999999</v>
      </c>
      <c r="E4">
        <v>0.20899999999999999</v>
      </c>
      <c r="F4">
        <v>0.18</v>
      </c>
      <c r="J4" t="s">
        <v>302</v>
      </c>
      <c r="K4">
        <v>0.32200000000000001</v>
      </c>
      <c r="L4">
        <v>0.23899999999999999</v>
      </c>
      <c r="M4">
        <v>0.20899999999999999</v>
      </c>
      <c r="N4">
        <v>0.18</v>
      </c>
    </row>
    <row r="5" spans="1:17" x14ac:dyDescent="0.3">
      <c r="B5" t="s">
        <v>303</v>
      </c>
      <c r="C5">
        <v>0.3706468984577137</v>
      </c>
      <c r="D5">
        <v>0.33987245969480889</v>
      </c>
      <c r="E5">
        <v>0.32076965502286231</v>
      </c>
      <c r="F5">
        <v>0.30442936729552089</v>
      </c>
      <c r="J5" t="s">
        <v>304</v>
      </c>
      <c r="K5">
        <v>0.3706468984577137</v>
      </c>
      <c r="L5">
        <v>0.33987245969480889</v>
      </c>
      <c r="M5">
        <v>0.32076965502286231</v>
      </c>
      <c r="N5">
        <v>0.30442936729552089</v>
      </c>
    </row>
    <row r="6" spans="1:17" x14ac:dyDescent="0.3">
      <c r="B6" t="s">
        <v>305</v>
      </c>
      <c r="C6">
        <f>(B11-B10)/6*1+B10</f>
        <v>0.360034411336214</v>
      </c>
      <c r="D6">
        <f>AVERAGE(B11:B12)</f>
        <v>0.2954291336325926</v>
      </c>
      <c r="E6">
        <f>(B13-B12)/15*5+B12</f>
        <v>0.24600480966781896</v>
      </c>
      <c r="F6">
        <f>B13</f>
        <v>0.2132450450903704</v>
      </c>
      <c r="J6" t="s">
        <v>306</v>
      </c>
      <c r="K6">
        <v>0.360034411336214</v>
      </c>
      <c r="L6">
        <v>0.2954291336325926</v>
      </c>
      <c r="M6">
        <v>0.24600480966781896</v>
      </c>
      <c r="N6">
        <v>0.2132450450903704</v>
      </c>
    </row>
    <row r="7" spans="1:17" x14ac:dyDescent="0.3">
      <c r="B7" t="s">
        <v>307</v>
      </c>
      <c r="C7">
        <v>0.43</v>
      </c>
      <c r="D7">
        <v>0.37</v>
      </c>
      <c r="E7">
        <v>0.36099999999999999</v>
      </c>
      <c r="F7">
        <v>0.35</v>
      </c>
      <c r="J7" t="s">
        <v>308</v>
      </c>
      <c r="K7">
        <v>0.43</v>
      </c>
      <c r="L7">
        <v>0.37</v>
      </c>
      <c r="M7">
        <v>0.36099999999999999</v>
      </c>
      <c r="N7">
        <v>0.35</v>
      </c>
    </row>
    <row r="9" spans="1:17" x14ac:dyDescent="0.3">
      <c r="L9" t="s">
        <v>298</v>
      </c>
      <c r="M9" t="s">
        <v>300</v>
      </c>
      <c r="N9" t="s">
        <v>302</v>
      </c>
      <c r="O9" t="s">
        <v>304</v>
      </c>
      <c r="P9" t="s">
        <v>306</v>
      </c>
      <c r="Q9" t="s">
        <v>308</v>
      </c>
    </row>
    <row r="10" spans="1:17" x14ac:dyDescent="0.3">
      <c r="A10">
        <v>2019</v>
      </c>
      <c r="B10">
        <v>0.36634657854172842</v>
      </c>
      <c r="K10">
        <v>2020</v>
      </c>
      <c r="L10">
        <v>0.32630387711072473</v>
      </c>
      <c r="M10">
        <v>0.375</v>
      </c>
      <c r="N10">
        <v>0.32200000000000001</v>
      </c>
      <c r="O10">
        <v>0.3706468984577137</v>
      </c>
      <c r="P10">
        <v>0.360034411336214</v>
      </c>
      <c r="Q10">
        <v>0.43</v>
      </c>
    </row>
    <row r="11" spans="1:17" x14ac:dyDescent="0.3">
      <c r="A11">
        <v>2025</v>
      </c>
      <c r="B11">
        <v>0.32847357530864202</v>
      </c>
      <c r="K11">
        <v>2030</v>
      </c>
      <c r="L11">
        <v>0.2406947465894741</v>
      </c>
      <c r="M11">
        <v>0.24199999999999999</v>
      </c>
      <c r="N11">
        <v>0.23899999999999999</v>
      </c>
      <c r="O11">
        <v>0.33987245969480889</v>
      </c>
      <c r="P11">
        <v>0.2954291336325926</v>
      </c>
      <c r="Q11">
        <v>0.37</v>
      </c>
    </row>
    <row r="12" spans="1:17" x14ac:dyDescent="0.3">
      <c r="A12">
        <v>2035</v>
      </c>
      <c r="B12">
        <v>0.26238469195654324</v>
      </c>
      <c r="K12">
        <v>2040</v>
      </c>
      <c r="L12">
        <v>0.1956564304862565</v>
      </c>
      <c r="M12">
        <v>0.17699999999999999</v>
      </c>
      <c r="N12">
        <v>0.20899999999999999</v>
      </c>
      <c r="O12">
        <v>0.32076965502286231</v>
      </c>
      <c r="P12">
        <v>0.24600480966781896</v>
      </c>
      <c r="Q12">
        <v>0.36099999999999999</v>
      </c>
    </row>
    <row r="13" spans="1:17" x14ac:dyDescent="0.3">
      <c r="A13">
        <v>2050</v>
      </c>
      <c r="B13">
        <v>0.2132450450903704</v>
      </c>
      <c r="K13">
        <v>2050</v>
      </c>
      <c r="L13">
        <v>0.1751857766292633</v>
      </c>
      <c r="M13">
        <v>0.113</v>
      </c>
      <c r="N13">
        <v>0.18</v>
      </c>
      <c r="O13">
        <v>0.30442936729552089</v>
      </c>
      <c r="P13">
        <v>0.2132450450903704</v>
      </c>
      <c r="Q13">
        <v>0.35</v>
      </c>
    </row>
    <row r="15" spans="1:17" x14ac:dyDescent="0.3">
      <c r="B15">
        <v>2020</v>
      </c>
      <c r="C15">
        <v>2030</v>
      </c>
      <c r="D15">
        <v>2040</v>
      </c>
      <c r="E15">
        <v>2050</v>
      </c>
    </row>
    <row r="16" spans="1:17" x14ac:dyDescent="0.3">
      <c r="B16">
        <v>0.32333529999999999</v>
      </c>
      <c r="C16">
        <v>8.9820399999999995E-2</v>
      </c>
      <c r="D16">
        <v>4.1916200000000001E-2</v>
      </c>
      <c r="E16">
        <v>2.9940100000000001E-2</v>
      </c>
    </row>
    <row r="17" spans="1:5" x14ac:dyDescent="0.3">
      <c r="A17">
        <v>6.8975999999999997</v>
      </c>
      <c r="B17">
        <f>B16*14.5</f>
        <v>4.6883618499999997</v>
      </c>
      <c r="C17">
        <f t="shared" ref="C17:D17" si="0">C16*14.5</f>
        <v>1.3023958</v>
      </c>
      <c r="D17">
        <f t="shared" si="0"/>
        <v>0.60778489999999996</v>
      </c>
      <c r="E17">
        <f>E16*14.5</f>
        <v>0.43413145000000003</v>
      </c>
    </row>
    <row r="18" spans="1:5" x14ac:dyDescent="0.3">
      <c r="B18">
        <f>B17*$A17</f>
        <v>32.338444696559996</v>
      </c>
      <c r="C18">
        <f t="shared" ref="C18:E18" si="1">C17*$A17</f>
        <v>8.9834052700800004</v>
      </c>
      <c r="D18">
        <f t="shared" si="1"/>
        <v>4.1922571262399995</v>
      </c>
      <c r="E18">
        <f t="shared" si="1"/>
        <v>2.9944650895200002</v>
      </c>
    </row>
    <row r="19" spans="1:5" x14ac:dyDescent="0.3">
      <c r="B19">
        <f>B18*0.01</f>
        <v>0.32338444696559998</v>
      </c>
      <c r="C19">
        <f t="shared" ref="C19:E19" si="2">C18*0.01</f>
        <v>8.9834052700800013E-2</v>
      </c>
      <c r="D19">
        <f t="shared" si="2"/>
        <v>4.1922571262399996E-2</v>
      </c>
      <c r="E19">
        <f t="shared" si="2"/>
        <v>2.9944650895200004E-2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D424-23C3-401A-A40F-837C5207AA37}">
  <dimension ref="A1:H75"/>
  <sheetViews>
    <sheetView topLeftCell="A88" workbookViewId="0">
      <selection activeCell="C120" sqref="C120"/>
    </sheetView>
  </sheetViews>
  <sheetFormatPr defaultRowHeight="13" x14ac:dyDescent="0.3"/>
  <cols>
    <col min="1" max="1" width="15.5" style="1" customWidth="1"/>
    <col min="2" max="2" width="37.25" style="1" customWidth="1"/>
    <col min="3" max="3" width="18.1640625" style="1" customWidth="1"/>
    <col min="4" max="4" width="15.83203125" style="1" customWidth="1"/>
    <col min="5" max="5" width="16.33203125" style="1" customWidth="1"/>
    <col min="6" max="7" width="11.4140625" style="1" customWidth="1"/>
    <col min="8" max="16384" width="8.6640625" style="1"/>
  </cols>
  <sheetData>
    <row r="1" spans="1:4" s="11" customFormat="1" x14ac:dyDescent="0.3">
      <c r="D1" s="11" t="s">
        <v>201</v>
      </c>
    </row>
    <row r="2" spans="1:4" s="11" customFormat="1" x14ac:dyDescent="0.3">
      <c r="B2" s="11" t="s">
        <v>202</v>
      </c>
      <c r="C2" s="11">
        <v>200000</v>
      </c>
      <c r="D2" s="11" t="s">
        <v>198</v>
      </c>
    </row>
    <row r="4" spans="1:4" s="11" customFormat="1" x14ac:dyDescent="0.3">
      <c r="A4" s="28" t="s">
        <v>68</v>
      </c>
      <c r="B4" s="11" t="s">
        <v>203</v>
      </c>
      <c r="C4" s="11" t="s">
        <v>70</v>
      </c>
      <c r="D4" s="11" t="s">
        <v>0</v>
      </c>
    </row>
    <row r="5" spans="1:4" x14ac:dyDescent="0.3">
      <c r="B5" s="1" t="s">
        <v>59</v>
      </c>
      <c r="C5" s="1">
        <v>140400000</v>
      </c>
      <c r="D5" s="1" t="s">
        <v>199</v>
      </c>
    </row>
    <row r="6" spans="1:4" x14ac:dyDescent="0.3">
      <c r="B6" s="1" t="s">
        <v>60</v>
      </c>
      <c r="C6" s="1">
        <v>57630000</v>
      </c>
      <c r="D6" s="1" t="s">
        <v>199</v>
      </c>
    </row>
    <row r="7" spans="1:4" x14ac:dyDescent="0.3">
      <c r="B7" s="1" t="s">
        <v>61</v>
      </c>
      <c r="C7" s="1">
        <v>229600000</v>
      </c>
      <c r="D7" s="1" t="s">
        <v>199</v>
      </c>
    </row>
    <row r="8" spans="1:4" x14ac:dyDescent="0.3">
      <c r="B8" s="1" t="s">
        <v>62</v>
      </c>
      <c r="C8" s="1">
        <v>54910000</v>
      </c>
      <c r="D8" s="1" t="s">
        <v>200</v>
      </c>
    </row>
    <row r="9" spans="1:4" x14ac:dyDescent="0.3">
      <c r="B9" s="1" t="s">
        <v>63</v>
      </c>
      <c r="C9" s="1">
        <v>57750000</v>
      </c>
      <c r="D9" s="1" t="s">
        <v>200</v>
      </c>
    </row>
    <row r="10" spans="1:4" x14ac:dyDescent="0.3">
      <c r="B10" s="1" t="s">
        <v>71</v>
      </c>
      <c r="C10" s="1">
        <v>189100000</v>
      </c>
      <c r="D10" s="1" t="s">
        <v>200</v>
      </c>
    </row>
    <row r="11" spans="1:4" x14ac:dyDescent="0.3">
      <c r="B11" s="1" t="s">
        <v>64</v>
      </c>
      <c r="C11" s="1">
        <v>33580000</v>
      </c>
      <c r="D11" s="1" t="s">
        <v>200</v>
      </c>
    </row>
    <row r="12" spans="1:4" x14ac:dyDescent="0.3">
      <c r="B12" s="1" t="s">
        <v>65</v>
      </c>
      <c r="C12" s="1">
        <v>33580000</v>
      </c>
      <c r="D12" s="1" t="s">
        <v>200</v>
      </c>
    </row>
    <row r="13" spans="1:4" x14ac:dyDescent="0.3">
      <c r="B13" s="1" t="s">
        <v>66</v>
      </c>
      <c r="C13" s="1">
        <v>8059000</v>
      </c>
      <c r="D13" s="1" t="s">
        <v>200</v>
      </c>
    </row>
    <row r="14" spans="1:4" x14ac:dyDescent="0.3">
      <c r="B14" s="1" t="s">
        <v>67</v>
      </c>
      <c r="C14" s="1">
        <v>53720000</v>
      </c>
      <c r="D14" s="1" t="s">
        <v>200</v>
      </c>
    </row>
    <row r="15" spans="1:4" x14ac:dyDescent="0.3">
      <c r="B15" s="9"/>
    </row>
    <row r="16" spans="1:4" x14ac:dyDescent="0.3">
      <c r="B16" s="9"/>
      <c r="D16" s="27"/>
    </row>
    <row r="17" spans="1:4" x14ac:dyDescent="0.3">
      <c r="B17" s="10"/>
      <c r="D17" s="27"/>
    </row>
    <row r="20" spans="1:4" s="11" customFormat="1" x14ac:dyDescent="0.3">
      <c r="A20" s="28" t="s">
        <v>9</v>
      </c>
      <c r="B20" s="11" t="s">
        <v>203</v>
      </c>
      <c r="C20" s="11" t="s">
        <v>58</v>
      </c>
      <c r="D20" s="11" t="s">
        <v>0</v>
      </c>
    </row>
    <row r="21" spans="1:4" x14ac:dyDescent="0.3">
      <c r="B21" s="1" t="s">
        <v>59</v>
      </c>
      <c r="C21" s="1">
        <f>C5*'Exchange Rate'!$C$18/'Exchange Rate'!$C$13*'Exchange Rate'!$G$18</f>
        <v>680625937.59915388</v>
      </c>
      <c r="D21" s="1" t="s">
        <v>199</v>
      </c>
    </row>
    <row r="22" spans="1:4" x14ac:dyDescent="0.3">
      <c r="B22" s="1" t="s">
        <v>60</v>
      </c>
      <c r="C22" s="1">
        <f>C6*'Exchange Rate'!$C$18/'Exchange Rate'!$C$13*'Exchange Rate'!$G$18</f>
        <v>279376586.77948177</v>
      </c>
      <c r="D22" s="1" t="s">
        <v>199</v>
      </c>
    </row>
    <row r="23" spans="1:4" x14ac:dyDescent="0.3">
      <c r="B23" s="1" t="s">
        <v>61</v>
      </c>
      <c r="C23" s="1">
        <f>C7*'Exchange Rate'!$C$18/'Exchange Rate'!$C$13*'Exchange Rate'!$G$18</f>
        <v>1113046405.076679</v>
      </c>
      <c r="D23" s="1" t="s">
        <v>199</v>
      </c>
    </row>
    <row r="24" spans="1:4" x14ac:dyDescent="0.3">
      <c r="B24" s="1" t="s">
        <v>62</v>
      </c>
      <c r="C24" s="1">
        <f>C8*'Exchange Rate'!$C$18/'Exchange Rate'!$C$13*'Exchange Rate'!$G$18</f>
        <v>266190671.17927021</v>
      </c>
      <c r="D24" s="1" t="s">
        <v>198</v>
      </c>
    </row>
    <row r="25" spans="1:4" x14ac:dyDescent="0.3">
      <c r="B25" s="1" t="s">
        <v>63</v>
      </c>
      <c r="C25" s="1">
        <f>C9*'Exchange Rate'!$C$18/'Exchange Rate'!$C$13*'Exchange Rate'!$G$18</f>
        <v>279958318.35007936</v>
      </c>
      <c r="D25" s="1" t="s">
        <v>198</v>
      </c>
    </row>
    <row r="26" spans="1:4" x14ac:dyDescent="0.3">
      <c r="B26" s="1" t="s">
        <v>73</v>
      </c>
      <c r="C26" s="1">
        <f>C10*'Exchange Rate'!$C$18/'Exchange Rate'!$C$13*'Exchange Rate'!$G$18</f>
        <v>916712000</v>
      </c>
      <c r="D26" s="1" t="s">
        <v>198</v>
      </c>
    </row>
    <row r="27" spans="1:4" x14ac:dyDescent="0.3">
      <c r="B27" s="1" t="s">
        <v>72</v>
      </c>
      <c r="C27" s="1">
        <f>C11*'Exchange Rate'!$C$18/'Exchange Rate'!$C$13*'Exchange Rate'!$G$18</f>
        <v>162787884.50555262</v>
      </c>
      <c r="D27" s="1" t="s">
        <v>198</v>
      </c>
    </row>
    <row r="28" spans="1:4" x14ac:dyDescent="0.3">
      <c r="B28" s="1" t="s">
        <v>65</v>
      </c>
      <c r="C28" s="1">
        <f>C12*'Exchange Rate'!$C$18/'Exchange Rate'!$C$13*'Exchange Rate'!$G$18</f>
        <v>162787884.50555262</v>
      </c>
      <c r="D28" s="1" t="s">
        <v>198</v>
      </c>
    </row>
    <row r="29" spans="1:4" x14ac:dyDescent="0.3">
      <c r="B29" s="1" t="s">
        <v>66</v>
      </c>
      <c r="C29" s="1">
        <f>C13*'Exchange Rate'!$C$18/'Exchange Rate'!$C$13*'Exchange Rate'!$G$18</f>
        <v>39068122.728714965</v>
      </c>
      <c r="D29" s="1" t="s">
        <v>198</v>
      </c>
    </row>
    <row r="30" spans="1:4" ht="14" customHeight="1" x14ac:dyDescent="0.3">
      <c r="B30" s="1" t="s">
        <v>67</v>
      </c>
      <c r="C30" s="1">
        <f>C14*'Exchange Rate'!$C$18/'Exchange Rate'!$C$13*'Exchange Rate'!$G$18</f>
        <v>260421833.10417768</v>
      </c>
      <c r="D30" s="1" t="s">
        <v>198</v>
      </c>
    </row>
    <row r="31" spans="1:4" ht="14" customHeight="1" x14ac:dyDescent="0.3">
      <c r="A31" s="1" t="s">
        <v>230</v>
      </c>
      <c r="B31" s="1" t="s">
        <v>227</v>
      </c>
      <c r="C31" s="1">
        <f>Cost!E19</f>
        <v>1448.1782379503973</v>
      </c>
      <c r="D31" s="1" t="s">
        <v>245</v>
      </c>
    </row>
    <row r="32" spans="1:4" ht="14" customHeight="1" x14ac:dyDescent="0.3">
      <c r="A32" s="1" t="s">
        <v>231</v>
      </c>
      <c r="B32" s="1" t="s">
        <v>228</v>
      </c>
      <c r="C32" s="1">
        <f>Cost!E22</f>
        <v>11.173673866048047</v>
      </c>
      <c r="D32" s="1" t="s">
        <v>245</v>
      </c>
    </row>
    <row r="33" spans="1:7" ht="14" customHeight="1" x14ac:dyDescent="0.3">
      <c r="A33" s="1" t="s">
        <v>230</v>
      </c>
      <c r="B33" s="1" t="s">
        <v>229</v>
      </c>
      <c r="C33" s="1">
        <f>Cost!E25</f>
        <v>534.98599364425695</v>
      </c>
      <c r="D33" s="1" t="s">
        <v>245</v>
      </c>
    </row>
    <row r="34" spans="1:7" ht="14" customHeight="1" x14ac:dyDescent="0.3">
      <c r="D34" s="27"/>
    </row>
    <row r="35" spans="1:7" ht="14" customHeight="1" x14ac:dyDescent="0.3">
      <c r="D35" s="27"/>
    </row>
    <row r="36" spans="1:7" ht="14" customHeight="1" x14ac:dyDescent="0.3">
      <c r="D36" s="27"/>
    </row>
    <row r="37" spans="1:7" ht="14" customHeight="1" x14ac:dyDescent="0.3">
      <c r="D37" s="27"/>
    </row>
    <row r="38" spans="1:7" ht="14" customHeight="1" x14ac:dyDescent="0.3">
      <c r="D38" s="27"/>
    </row>
    <row r="39" spans="1:7" ht="14" customHeight="1" x14ac:dyDescent="0.3">
      <c r="D39" s="27"/>
    </row>
    <row r="40" spans="1:7" x14ac:dyDescent="0.3">
      <c r="B40" s="11" t="s">
        <v>204</v>
      </c>
    </row>
    <row r="41" spans="1:7" s="11" customFormat="1" x14ac:dyDescent="0.3">
      <c r="B41" s="1" t="s">
        <v>226</v>
      </c>
      <c r="C41" s="37">
        <v>4.2000000000000003E-2</v>
      </c>
      <c r="D41" s="1" t="s">
        <v>205</v>
      </c>
      <c r="E41" s="1" t="s">
        <v>206</v>
      </c>
      <c r="F41" s="35"/>
    </row>
    <row r="42" spans="1:7" x14ac:dyDescent="0.3">
      <c r="B42" s="1" t="s">
        <v>227</v>
      </c>
      <c r="C42" s="37">
        <v>3.6700000000000003E-2</v>
      </c>
      <c r="D42" s="1" t="s">
        <v>205</v>
      </c>
      <c r="E42" s="1" t="s">
        <v>239</v>
      </c>
    </row>
    <row r="43" spans="1:7" ht="14" x14ac:dyDescent="0.3">
      <c r="B43" s="1" t="s">
        <v>228</v>
      </c>
      <c r="C43" s="37">
        <v>2.2200000000000001E-2</v>
      </c>
      <c r="D43" s="1" t="s">
        <v>205</v>
      </c>
      <c r="E43" s="1" t="s">
        <v>239</v>
      </c>
      <c r="G43" s="6"/>
    </row>
    <row r="44" spans="1:7" x14ac:dyDescent="0.3">
      <c r="B44" s="1" t="s">
        <v>229</v>
      </c>
      <c r="C44" s="4">
        <v>0.04</v>
      </c>
      <c r="D44" s="1" t="s">
        <v>205</v>
      </c>
      <c r="E44" s="1" t="s">
        <v>239</v>
      </c>
    </row>
    <row r="47" spans="1:7" s="11" customFormat="1" x14ac:dyDescent="0.3">
      <c r="B47" s="11" t="s">
        <v>232</v>
      </c>
      <c r="C47" s="11" t="s">
        <v>233</v>
      </c>
      <c r="D47" s="11" t="s">
        <v>234</v>
      </c>
    </row>
    <row r="48" spans="1:7" x14ac:dyDescent="0.3">
      <c r="B48" s="1" t="s">
        <v>226</v>
      </c>
      <c r="C48" s="1">
        <v>0.7</v>
      </c>
      <c r="D48" s="1" t="s">
        <v>235</v>
      </c>
    </row>
    <row r="55" spans="1:8" ht="14" x14ac:dyDescent="0.3">
      <c r="H55" s="38"/>
    </row>
    <row r="56" spans="1:8" ht="14" x14ac:dyDescent="0.3">
      <c r="H56" s="38"/>
    </row>
    <row r="57" spans="1:8" ht="14" x14ac:dyDescent="0.3">
      <c r="H57" s="39"/>
    </row>
    <row r="60" spans="1:8" s="11" customFormat="1" x14ac:dyDescent="0.3">
      <c r="B60" s="11" t="s">
        <v>225</v>
      </c>
      <c r="C60" s="11" t="s">
        <v>3</v>
      </c>
      <c r="D60" s="11" t="s">
        <v>4</v>
      </c>
      <c r="E60" s="11" t="s">
        <v>5</v>
      </c>
      <c r="F60" s="11" t="s">
        <v>4</v>
      </c>
      <c r="G60" s="11" t="s">
        <v>34</v>
      </c>
      <c r="H60" s="11" t="s">
        <v>0</v>
      </c>
    </row>
    <row r="61" spans="1:8" s="31" customFormat="1" x14ac:dyDescent="0.3">
      <c r="A61" s="32" t="s">
        <v>9</v>
      </c>
      <c r="B61" s="31" t="s">
        <v>209</v>
      </c>
      <c r="C61" s="31">
        <v>0.69535066392038625</v>
      </c>
      <c r="D61" s="31" t="s">
        <v>35</v>
      </c>
      <c r="E61" s="31">
        <f>1.115/26.3*29.307</f>
        <v>1.2424830798479087</v>
      </c>
      <c r="F61" s="31" t="s">
        <v>8</v>
      </c>
      <c r="G61" s="31">
        <f>C61*E61</f>
        <v>0.86396143448208962</v>
      </c>
      <c r="H61" s="36" t="s">
        <v>224</v>
      </c>
    </row>
    <row r="62" spans="1:8" s="31" customFormat="1" x14ac:dyDescent="0.3">
      <c r="B62" s="33" t="s">
        <v>210</v>
      </c>
      <c r="C62" s="31">
        <v>0.545780736111111</v>
      </c>
      <c r="D62" s="31" t="s">
        <v>35</v>
      </c>
      <c r="E62" s="31">
        <f>0.315/26.3*29.307</f>
        <v>0.35101539923954372</v>
      </c>
      <c r="F62" s="31" t="s">
        <v>8</v>
      </c>
      <c r="G62" s="31">
        <f>C62*E62</f>
        <v>0.19157744298329368</v>
      </c>
      <c r="H62" s="36" t="s">
        <v>224</v>
      </c>
    </row>
    <row r="63" spans="1:8" s="31" customFormat="1" x14ac:dyDescent="0.3">
      <c r="B63" s="33" t="s">
        <v>211</v>
      </c>
      <c r="C63" s="31">
        <v>0.55463666666666667</v>
      </c>
      <c r="D63" s="31" t="s">
        <v>40</v>
      </c>
      <c r="E63" s="31">
        <v>0.34100000000000003</v>
      </c>
      <c r="F63" s="31" t="s">
        <v>197</v>
      </c>
      <c r="G63" s="31">
        <f>C63*E63</f>
        <v>0.18913110333333336</v>
      </c>
      <c r="H63" s="36" t="s">
        <v>223</v>
      </c>
    </row>
    <row r="64" spans="1:8" s="31" customFormat="1" x14ac:dyDescent="0.3">
      <c r="B64" s="31" t="s">
        <v>212</v>
      </c>
      <c r="C64" s="31">
        <v>0.14149999999999999</v>
      </c>
      <c r="D64" s="31" t="s">
        <v>35</v>
      </c>
      <c r="E64" s="31">
        <v>8.5000000000000006E-5</v>
      </c>
      <c r="F64" s="31" t="s">
        <v>8</v>
      </c>
      <c r="G64" s="31">
        <f t="shared" ref="G64:G70" si="0">C64*E64</f>
        <v>1.20275E-5</v>
      </c>
      <c r="H64" s="34" t="s">
        <v>208</v>
      </c>
    </row>
    <row r="65" spans="2:8" s="31" customFormat="1" x14ac:dyDescent="0.3">
      <c r="B65" s="31" t="s">
        <v>213</v>
      </c>
      <c r="C65" s="31">
        <v>15.901</v>
      </c>
      <c r="D65" s="31" t="s">
        <v>35</v>
      </c>
      <c r="E65" s="31">
        <v>1.0000000000000001E-5</v>
      </c>
      <c r="F65" s="31" t="s">
        <v>8</v>
      </c>
      <c r="G65" s="31">
        <f t="shared" si="0"/>
        <v>1.5901000000000001E-4</v>
      </c>
      <c r="H65" s="36" t="s">
        <v>214</v>
      </c>
    </row>
    <row r="66" spans="2:8" s="31" customFormat="1" x14ac:dyDescent="0.3">
      <c r="B66" s="31" t="s">
        <v>177</v>
      </c>
      <c r="C66" s="31">
        <f>(828.5+1054.2+883.2)/3/1000</f>
        <v>0.92196666666666671</v>
      </c>
      <c r="D66" s="31" t="s">
        <v>35</v>
      </c>
      <c r="E66" s="31">
        <v>5.4999999999999997E-3</v>
      </c>
      <c r="F66" s="31" t="s">
        <v>8</v>
      </c>
      <c r="G66" s="31">
        <f>C66*E66</f>
        <v>5.0708166666666669E-3</v>
      </c>
      <c r="H66" s="34" t="s">
        <v>222</v>
      </c>
    </row>
    <row r="67" spans="2:8" s="31" customFormat="1" x14ac:dyDescent="0.3">
      <c r="B67" s="31" t="s">
        <v>215</v>
      </c>
      <c r="C67" s="31">
        <v>0.38</v>
      </c>
      <c r="D67" s="31" t="s">
        <v>35</v>
      </c>
      <c r="E67" s="31">
        <v>0.06</v>
      </c>
      <c r="F67" s="31" t="s">
        <v>8</v>
      </c>
      <c r="G67" s="31">
        <f>C67*E67</f>
        <v>2.2800000000000001E-2</v>
      </c>
      <c r="H67" s="34" t="s">
        <v>216</v>
      </c>
    </row>
    <row r="68" spans="2:8" s="31" customFormat="1" x14ac:dyDescent="0.3">
      <c r="B68" s="31" t="s">
        <v>219</v>
      </c>
      <c r="C68" s="31">
        <v>4.1000000000000003E-3</v>
      </c>
      <c r="D68" s="31" t="s">
        <v>33</v>
      </c>
      <c r="E68" s="31">
        <v>5.7240000000000002</v>
      </c>
      <c r="F68" s="31" t="s">
        <v>8</v>
      </c>
      <c r="G68" s="31">
        <f t="shared" si="0"/>
        <v>2.3468400000000004E-2</v>
      </c>
      <c r="H68" s="34" t="s">
        <v>207</v>
      </c>
    </row>
    <row r="69" spans="2:8" s="31" customFormat="1" x14ac:dyDescent="0.3">
      <c r="B69" s="31" t="s">
        <v>217</v>
      </c>
      <c r="C69" s="31">
        <v>3</v>
      </c>
      <c r="D69" s="31" t="s">
        <v>35</v>
      </c>
      <c r="E69" s="31">
        <v>4.4900000000000002E-6</v>
      </c>
      <c r="F69" s="31" t="s">
        <v>8</v>
      </c>
      <c r="G69" s="31">
        <f t="shared" si="0"/>
        <v>1.3470000000000001E-5</v>
      </c>
      <c r="H69" s="34" t="s">
        <v>221</v>
      </c>
    </row>
    <row r="70" spans="2:8" s="31" customFormat="1" x14ac:dyDescent="0.3">
      <c r="B70" s="31" t="s">
        <v>6</v>
      </c>
      <c r="C70" s="31">
        <f>2.92*'Exchange Rate'!$E$18*'Exchange Rate'!$C$18/'Exchange Rate'!$C$19</f>
        <v>19.182856798024691</v>
      </c>
      <c r="D70" s="31" t="s">
        <v>35</v>
      </c>
      <c r="E70" s="31">
        <v>2.1000000000000001E-4</v>
      </c>
      <c r="F70" s="31" t="s">
        <v>8</v>
      </c>
      <c r="G70" s="31">
        <f t="shared" si="0"/>
        <v>4.0283999275851851E-3</v>
      </c>
      <c r="H70" s="31" t="s">
        <v>155</v>
      </c>
    </row>
    <row r="71" spans="2:8" s="31" customFormat="1" x14ac:dyDescent="0.3">
      <c r="B71" s="31" t="s">
        <v>219</v>
      </c>
      <c r="C71" s="31">
        <v>4.1000000000000003E-3</v>
      </c>
      <c r="D71" s="31" t="s">
        <v>33</v>
      </c>
      <c r="E71" s="31">
        <v>1.2978568060260456E-2</v>
      </c>
      <c r="F71" s="31" t="s">
        <v>8</v>
      </c>
      <c r="G71" s="31">
        <f t="shared" ref="G71" si="1">C71*E71</f>
        <v>5.321212904706787E-5</v>
      </c>
      <c r="H71" s="34" t="s">
        <v>207</v>
      </c>
    </row>
    <row r="72" spans="2:8" s="31" customFormat="1" x14ac:dyDescent="0.3">
      <c r="B72" s="31" t="s">
        <v>236</v>
      </c>
      <c r="C72" s="31">
        <v>6.8</v>
      </c>
      <c r="D72" s="31" t="s">
        <v>35</v>
      </c>
      <c r="E72" s="31">
        <v>5.562243454397338E-3</v>
      </c>
      <c r="F72" s="31" t="s">
        <v>8</v>
      </c>
      <c r="G72" s="31">
        <f>C72*E72</f>
        <v>3.7823255489901897E-2</v>
      </c>
      <c r="H72" s="36" t="s">
        <v>237</v>
      </c>
    </row>
    <row r="73" spans="2:8" s="31" customFormat="1" x14ac:dyDescent="0.3">
      <c r="B73" s="31" t="s">
        <v>177</v>
      </c>
      <c r="C73" s="31">
        <f>(828.5+1054.2+883.2)/3/1000</f>
        <v>0.92196666666666671</v>
      </c>
      <c r="D73" s="31" t="s">
        <v>35</v>
      </c>
      <c r="E73" s="31">
        <v>4.8206109938110262E-4</v>
      </c>
      <c r="F73" s="31" t="s">
        <v>8</v>
      </c>
      <c r="G73" s="31">
        <f>C73*E73</f>
        <v>4.4444426492606394E-4</v>
      </c>
      <c r="H73" s="34" t="s">
        <v>222</v>
      </c>
    </row>
    <row r="74" spans="2:8" x14ac:dyDescent="0.3">
      <c r="B74" s="1" t="s">
        <v>238</v>
      </c>
      <c r="C74" s="1">
        <v>14.419</v>
      </c>
      <c r="D74" s="1" t="s">
        <v>35</v>
      </c>
      <c r="E74" s="1">
        <f>0.00008775*3.385342664/1.17</f>
        <v>2.539006998E-4</v>
      </c>
      <c r="F74" s="1" t="s">
        <v>8</v>
      </c>
      <c r="G74" s="1">
        <f t="shared" ref="G74" si="2">C74*E74</f>
        <v>3.6609941904162E-3</v>
      </c>
      <c r="H74" s="29" t="s">
        <v>178</v>
      </c>
    </row>
    <row r="75" spans="2:8" s="31" customFormat="1" x14ac:dyDescent="0.3">
      <c r="B75" s="33" t="s">
        <v>211</v>
      </c>
      <c r="C75" s="31">
        <v>0.55463666666666667</v>
      </c>
      <c r="D75" s="31" t="s">
        <v>40</v>
      </c>
      <c r="E75" s="31">
        <v>4.8576926168403421E-3</v>
      </c>
      <c r="F75" s="31" t="s">
        <v>197</v>
      </c>
      <c r="G75" s="31">
        <f>C75*E75</f>
        <v>2.6942544406956047E-3</v>
      </c>
      <c r="H75" s="36" t="s">
        <v>223</v>
      </c>
    </row>
  </sheetData>
  <phoneticPr fontId="1" type="noConversion"/>
  <hyperlinks>
    <hyperlink ref="H64" r:id="rId1" xr:uid="{8C41B302-69E1-4FA9-AE51-38883E4743CF}"/>
    <hyperlink ref="H67" r:id="rId2" xr:uid="{D3F92E07-0752-435A-89D4-728C8159D5B8}"/>
    <hyperlink ref="H69" r:id="rId3" xr:uid="{66846C90-5489-4CDF-AB41-1FEC78578578}"/>
    <hyperlink ref="H68" r:id="rId4" xr:uid="{A5C74F0F-3765-444C-A17F-F27FD489034C}"/>
    <hyperlink ref="H65" r:id="rId5" xr:uid="{39771E5B-C6A0-4D40-9215-88B4E4AF4D11}"/>
    <hyperlink ref="H63" r:id="rId6" xr:uid="{B3A1F529-2CE6-4BBA-AC72-A063D9F53887}"/>
    <hyperlink ref="H62" r:id="rId7" xr:uid="{B1648F8B-EF38-4F8D-9479-71074AA6C1A0}"/>
    <hyperlink ref="H61" r:id="rId8" xr:uid="{12C3B49B-469D-482E-BF5C-B2D19E0BF9EA}"/>
    <hyperlink ref="H72" r:id="rId9" xr:uid="{0C7E2DF3-F8C4-4451-A713-03ABE6A41D06}"/>
    <hyperlink ref="H71" r:id="rId10" xr:uid="{6B456173-0B96-4A8B-85AA-1D5CABA29153}"/>
    <hyperlink ref="H74" r:id="rId11" xr:uid="{9B60E9B2-1B9A-40FB-8A7C-1263F026A0BD}"/>
    <hyperlink ref="H75" r:id="rId12" xr:uid="{62D93676-2306-4CB7-AF58-B1598424BA9B}"/>
  </hyperlinks>
  <pageMargins left="0.7" right="0.7" top="0.75" bottom="0.75" header="0.3" footer="0.3"/>
  <pageSetup paperSize="9" orientation="portrait" horizontalDpi="1200" verticalDpi="1200" r:id="rId1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B972-5488-44D2-A179-452E21715DD5}">
  <dimension ref="A1:H62"/>
  <sheetViews>
    <sheetView topLeftCell="A88" workbookViewId="0">
      <selection activeCell="G63" sqref="G63"/>
    </sheetView>
  </sheetViews>
  <sheetFormatPr defaultRowHeight="13" x14ac:dyDescent="0.3"/>
  <cols>
    <col min="1" max="1" width="8.6640625" style="1" customWidth="1"/>
    <col min="2" max="2" width="26.4140625" style="1" customWidth="1"/>
    <col min="3" max="3" width="18.1640625" style="1" customWidth="1"/>
    <col min="4" max="4" width="30.58203125" style="1" customWidth="1"/>
    <col min="5" max="5" width="16.33203125" style="1" customWidth="1"/>
    <col min="6" max="7" width="11.4140625" style="1" customWidth="1"/>
    <col min="8" max="16384" width="8.6640625" style="1"/>
  </cols>
  <sheetData>
    <row r="1" spans="1:4" s="11" customFormat="1" x14ac:dyDescent="0.3">
      <c r="D1" s="11" t="s">
        <v>201</v>
      </c>
    </row>
    <row r="2" spans="1:4" s="11" customFormat="1" x14ac:dyDescent="0.3">
      <c r="B2" s="11" t="s">
        <v>202</v>
      </c>
      <c r="C2" s="11">
        <v>500000</v>
      </c>
      <c r="D2" s="11" t="s">
        <v>85</v>
      </c>
    </row>
    <row r="4" spans="1:4" s="11" customFormat="1" x14ac:dyDescent="0.3">
      <c r="A4" s="28" t="s">
        <v>138</v>
      </c>
      <c r="B4" s="11" t="s">
        <v>203</v>
      </c>
      <c r="C4" s="11" t="s">
        <v>1</v>
      </c>
      <c r="D4" s="11" t="s">
        <v>0</v>
      </c>
    </row>
    <row r="5" spans="1:4" x14ac:dyDescent="0.3">
      <c r="B5" s="1" t="s">
        <v>74</v>
      </c>
      <c r="C5" s="1">
        <v>41500000</v>
      </c>
      <c r="D5" s="1" t="s">
        <v>86</v>
      </c>
    </row>
    <row r="6" spans="1:4" x14ac:dyDescent="0.3">
      <c r="B6" s="8" t="s">
        <v>75</v>
      </c>
      <c r="C6" s="1">
        <v>157800000</v>
      </c>
      <c r="D6" s="1" t="s">
        <v>86</v>
      </c>
    </row>
    <row r="7" spans="1:4" x14ac:dyDescent="0.3">
      <c r="B7" s="1" t="s">
        <v>76</v>
      </c>
      <c r="C7" s="1">
        <v>6400000</v>
      </c>
      <c r="D7" s="1" t="s">
        <v>86</v>
      </c>
    </row>
    <row r="8" spans="1:4" x14ac:dyDescent="0.3">
      <c r="B8" s="1" t="s">
        <v>77</v>
      </c>
      <c r="C8" s="1">
        <v>10300000</v>
      </c>
      <c r="D8" s="1" t="s">
        <v>86</v>
      </c>
    </row>
    <row r="9" spans="1:4" x14ac:dyDescent="0.3">
      <c r="B9" s="1" t="s">
        <v>78</v>
      </c>
      <c r="C9" s="1">
        <v>87800000</v>
      </c>
      <c r="D9" s="1" t="s">
        <v>86</v>
      </c>
    </row>
    <row r="10" spans="1:4" x14ac:dyDescent="0.3">
      <c r="B10" s="1" t="s">
        <v>79</v>
      </c>
      <c r="C10" s="1">
        <v>700000</v>
      </c>
      <c r="D10" s="1" t="s">
        <v>86</v>
      </c>
    </row>
    <row r="11" spans="1:4" x14ac:dyDescent="0.3">
      <c r="B11" s="1" t="s">
        <v>81</v>
      </c>
      <c r="C11" s="1">
        <v>282000000</v>
      </c>
      <c r="D11" s="1" t="s">
        <v>85</v>
      </c>
    </row>
    <row r="12" spans="1:4" x14ac:dyDescent="0.3">
      <c r="B12" s="1" t="s">
        <v>89</v>
      </c>
      <c r="C12" s="1">
        <v>600000</v>
      </c>
      <c r="D12" s="1" t="s">
        <v>85</v>
      </c>
    </row>
    <row r="13" spans="1:4" x14ac:dyDescent="0.3">
      <c r="B13" s="1" t="s">
        <v>82</v>
      </c>
      <c r="C13" s="1">
        <v>39700000</v>
      </c>
      <c r="D13" s="1" t="s">
        <v>85</v>
      </c>
    </row>
    <row r="14" spans="1:4" x14ac:dyDescent="0.3">
      <c r="B14" s="1" t="s">
        <v>83</v>
      </c>
      <c r="C14" s="1">
        <v>16900000</v>
      </c>
      <c r="D14" s="1" t="s">
        <v>85</v>
      </c>
    </row>
    <row r="15" spans="1:4" x14ac:dyDescent="0.3">
      <c r="B15" s="9" t="s">
        <v>84</v>
      </c>
      <c r="C15" s="1">
        <v>19000000</v>
      </c>
      <c r="D15" s="1" t="s">
        <v>85</v>
      </c>
    </row>
    <row r="16" spans="1:4" x14ac:dyDescent="0.3">
      <c r="B16" s="3"/>
    </row>
    <row r="17" spans="1:4" s="11" customFormat="1" x14ac:dyDescent="0.3">
      <c r="A17" s="28" t="s">
        <v>9</v>
      </c>
      <c r="B17" s="11" t="s">
        <v>203</v>
      </c>
      <c r="C17" s="11" t="s">
        <v>10</v>
      </c>
      <c r="D17" s="11" t="s">
        <v>0</v>
      </c>
    </row>
    <row r="18" spans="1:4" x14ac:dyDescent="0.3">
      <c r="B18" s="1" t="s">
        <v>74</v>
      </c>
      <c r="C18" s="1">
        <f>C5*'Exchange Rate'!$E$18</f>
        <v>274622100</v>
      </c>
      <c r="D18" s="1" t="s">
        <v>86</v>
      </c>
    </row>
    <row r="19" spans="1:4" x14ac:dyDescent="0.3">
      <c r="B19" s="8" t="s">
        <v>75</v>
      </c>
      <c r="C19" s="1">
        <f>C6*'Exchange Rate'!$E$18</f>
        <v>1044225720</v>
      </c>
      <c r="D19" s="1" t="s">
        <v>86</v>
      </c>
    </row>
    <row r="20" spans="1:4" x14ac:dyDescent="0.3">
      <c r="B20" s="1" t="s">
        <v>76</v>
      </c>
      <c r="C20" s="1">
        <f>C7*'Exchange Rate'!$E$18</f>
        <v>42351360</v>
      </c>
      <c r="D20" s="1" t="s">
        <v>86</v>
      </c>
    </row>
    <row r="21" spans="1:4" x14ac:dyDescent="0.3">
      <c r="B21" s="1" t="s">
        <v>77</v>
      </c>
      <c r="C21" s="1">
        <f>C8*'Exchange Rate'!$E$18</f>
        <v>68159220</v>
      </c>
      <c r="D21" s="1" t="s">
        <v>86</v>
      </c>
    </row>
    <row r="22" spans="1:4" x14ac:dyDescent="0.3">
      <c r="B22" s="1" t="s">
        <v>78</v>
      </c>
      <c r="C22" s="1">
        <f>C9*'Exchange Rate'!$E$18</f>
        <v>581007720</v>
      </c>
      <c r="D22" s="1" t="s">
        <v>86</v>
      </c>
    </row>
    <row r="23" spans="1:4" x14ac:dyDescent="0.3">
      <c r="B23" s="1" t="s">
        <v>79</v>
      </c>
      <c r="C23" s="1">
        <f>C10*'Exchange Rate'!$E$18</f>
        <v>4632180</v>
      </c>
      <c r="D23" s="1" t="s">
        <v>86</v>
      </c>
    </row>
    <row r="24" spans="1:4" x14ac:dyDescent="0.3">
      <c r="B24" s="1" t="s">
        <v>81</v>
      </c>
      <c r="C24" s="1">
        <f>C11*'Exchange Rate'!$E$18</f>
        <v>1866106800</v>
      </c>
      <c r="D24" s="1" t="s">
        <v>85</v>
      </c>
    </row>
    <row r="25" spans="1:4" x14ac:dyDescent="0.3">
      <c r="B25" s="1" t="s">
        <v>80</v>
      </c>
      <c r="C25" s="1">
        <f>C12*'Exchange Rate'!$E$18</f>
        <v>3970440</v>
      </c>
      <c r="D25" s="1" t="s">
        <v>85</v>
      </c>
    </row>
    <row r="26" spans="1:4" x14ac:dyDescent="0.3">
      <c r="B26" s="1" t="s">
        <v>82</v>
      </c>
      <c r="C26" s="1">
        <f>C13*'Exchange Rate'!$E$18</f>
        <v>262710780</v>
      </c>
      <c r="D26" s="1" t="s">
        <v>85</v>
      </c>
    </row>
    <row r="27" spans="1:4" x14ac:dyDescent="0.3">
      <c r="B27" s="1" t="s">
        <v>83</v>
      </c>
      <c r="C27" s="1">
        <f>C14*'Exchange Rate'!$E$18</f>
        <v>111834060</v>
      </c>
      <c r="D27" s="1" t="s">
        <v>85</v>
      </c>
    </row>
    <row r="28" spans="1:4" x14ac:dyDescent="0.3">
      <c r="B28" s="9" t="s">
        <v>84</v>
      </c>
      <c r="C28" s="1">
        <f>C15*'Exchange Rate'!$E$18</f>
        <v>125730600</v>
      </c>
      <c r="D28" s="1" t="s">
        <v>241</v>
      </c>
    </row>
    <row r="29" spans="1:4" x14ac:dyDescent="0.3">
      <c r="B29" s="10"/>
    </row>
    <row r="30" spans="1:4" x14ac:dyDescent="0.3">
      <c r="B30" s="10"/>
    </row>
    <row r="31" spans="1:4" x14ac:dyDescent="0.3">
      <c r="B31" s="10"/>
    </row>
    <row r="32" spans="1:4" x14ac:dyDescent="0.3">
      <c r="B32" s="10"/>
    </row>
    <row r="33" spans="2:6" x14ac:dyDescent="0.3">
      <c r="B33" s="10"/>
    </row>
    <row r="34" spans="2:6" x14ac:dyDescent="0.3">
      <c r="B34" s="10"/>
    </row>
    <row r="35" spans="2:6" s="11" customFormat="1" x14ac:dyDescent="0.3">
      <c r="B35" s="11" t="s">
        <v>232</v>
      </c>
      <c r="C35" s="11" t="s">
        <v>233</v>
      </c>
      <c r="D35" s="11" t="s">
        <v>234</v>
      </c>
    </row>
    <row r="36" spans="2:6" x14ac:dyDescent="0.3">
      <c r="B36" s="1" t="s">
        <v>240</v>
      </c>
      <c r="C36" s="1">
        <v>0.7</v>
      </c>
      <c r="D36" s="1" t="s">
        <v>235</v>
      </c>
    </row>
    <row r="38" spans="2:6" s="11" customFormat="1" x14ac:dyDescent="0.3">
      <c r="B38" s="11" t="s">
        <v>204</v>
      </c>
      <c r="C38" s="11" t="s">
        <v>233</v>
      </c>
      <c r="E38" s="11" t="s">
        <v>234</v>
      </c>
    </row>
    <row r="39" spans="2:6" x14ac:dyDescent="0.3">
      <c r="B39" s="1" t="s">
        <v>240</v>
      </c>
      <c r="C39" s="37">
        <v>2.8199999999999999E-2</v>
      </c>
      <c r="D39" s="1" t="s">
        <v>205</v>
      </c>
      <c r="E39" s="1" t="s">
        <v>86</v>
      </c>
      <c r="F39" s="30"/>
    </row>
    <row r="50" spans="1:8" s="11" customFormat="1" x14ac:dyDescent="0.3">
      <c r="A50" s="2" t="s">
        <v>9</v>
      </c>
      <c r="B50" s="11" t="s">
        <v>225</v>
      </c>
      <c r="C50" s="11" t="s">
        <v>3</v>
      </c>
      <c r="D50" s="11" t="s">
        <v>4</v>
      </c>
      <c r="E50" s="11" t="s">
        <v>5</v>
      </c>
      <c r="F50" s="11" t="s">
        <v>4</v>
      </c>
      <c r="G50" s="11" t="s">
        <v>34</v>
      </c>
      <c r="H50" s="11" t="s">
        <v>0</v>
      </c>
    </row>
    <row r="51" spans="1:8" x14ac:dyDescent="0.3">
      <c r="B51" s="1" t="s">
        <v>242</v>
      </c>
      <c r="C51" s="1">
        <v>2.9994000440115438</v>
      </c>
      <c r="D51" s="1" t="s">
        <v>33</v>
      </c>
      <c r="E51" s="1">
        <f>0.747</f>
        <v>0.747</v>
      </c>
      <c r="F51" s="1" t="s">
        <v>7</v>
      </c>
      <c r="G51" s="1">
        <f t="shared" ref="G51:G61" si="0">C51*E51</f>
        <v>2.2405518328766232</v>
      </c>
      <c r="H51" s="1" t="s">
        <v>244</v>
      </c>
    </row>
    <row r="52" spans="1:8" x14ac:dyDescent="0.3">
      <c r="B52" s="1" t="s">
        <v>242</v>
      </c>
      <c r="C52" s="1">
        <v>2.9994000440115438</v>
      </c>
      <c r="D52" s="1" t="s">
        <v>33</v>
      </c>
      <c r="E52" s="1">
        <f>(2.63/36.44/0.9)</f>
        <v>8.0192706427613128E-2</v>
      </c>
      <c r="F52" s="1" t="s">
        <v>7</v>
      </c>
      <c r="G52" s="1">
        <f t="shared" si="0"/>
        <v>0.24053000718838763</v>
      </c>
      <c r="H52" s="1" t="s">
        <v>244</v>
      </c>
    </row>
    <row r="53" spans="1:8" ht="14" customHeight="1" x14ac:dyDescent="0.3">
      <c r="B53" s="1" t="s">
        <v>184</v>
      </c>
      <c r="C53" s="1">
        <v>0.55463666666666667</v>
      </c>
      <c r="D53" s="1" t="s">
        <v>40</v>
      </c>
      <c r="E53" s="1">
        <v>0.95299999999999996</v>
      </c>
      <c r="F53" s="1" t="s">
        <v>179</v>
      </c>
      <c r="G53" s="1">
        <f>C53*E53</f>
        <v>0.52856874333333326</v>
      </c>
      <c r="H53" s="36" t="s">
        <v>223</v>
      </c>
    </row>
    <row r="54" spans="1:8" x14ac:dyDescent="0.3">
      <c r="B54" s="1" t="s">
        <v>218</v>
      </c>
      <c r="C54" s="1">
        <v>4.1000000000000003E-3</v>
      </c>
      <c r="D54" s="1" t="s">
        <v>33</v>
      </c>
      <c r="E54" s="1">
        <v>1.3879999999999999</v>
      </c>
      <c r="F54" s="1" t="s">
        <v>8</v>
      </c>
      <c r="G54" s="1">
        <f t="shared" si="0"/>
        <v>5.6908000000000002E-3</v>
      </c>
      <c r="H54" s="34" t="s">
        <v>207</v>
      </c>
    </row>
    <row r="55" spans="1:8" ht="14" customHeight="1" x14ac:dyDescent="0.3">
      <c r="B55" s="1" t="s">
        <v>246</v>
      </c>
      <c r="C55" s="1">
        <f>1.36*'Exchange Rate'!C19/'Exchange Rate'!C18*'Exchange Rate'!E18</f>
        <v>9.0653223014425457</v>
      </c>
      <c r="D55" s="1" t="s">
        <v>35</v>
      </c>
      <c r="E55" s="1">
        <v>3.1265E-5</v>
      </c>
      <c r="F55" s="1" t="s">
        <v>8</v>
      </c>
      <c r="G55" s="1">
        <f t="shared" si="0"/>
        <v>2.8342730175460117E-4</v>
      </c>
      <c r="H55" s="31" t="s">
        <v>155</v>
      </c>
    </row>
    <row r="56" spans="1:8" x14ac:dyDescent="0.3">
      <c r="B56" s="1" t="s">
        <v>248</v>
      </c>
      <c r="C56" s="1">
        <f>10*'Exchange Rate'!C19/'Exchange Rate'!C18*'Exchange Rate'!E18</f>
        <v>66.656781628254024</v>
      </c>
      <c r="D56" s="1" t="s">
        <v>35</v>
      </c>
      <c r="E56" s="1">
        <v>4.6800000000000001E-6</v>
      </c>
      <c r="F56" s="1" t="s">
        <v>8</v>
      </c>
      <c r="G56" s="1">
        <f t="shared" si="0"/>
        <v>3.1195373802022882E-4</v>
      </c>
      <c r="H56" s="31" t="s">
        <v>155</v>
      </c>
    </row>
    <row r="57" spans="1:8" x14ac:dyDescent="0.3">
      <c r="B57" s="1" t="s">
        <v>250</v>
      </c>
      <c r="C57" s="1">
        <f>1.36*'Exchange Rate'!C19/'Exchange Rate'!C18*'Exchange Rate'!E18</f>
        <v>9.0653223014425457</v>
      </c>
      <c r="D57" s="1" t="s">
        <v>35</v>
      </c>
      <c r="E57" s="1">
        <v>5.8175000000000011E-5</v>
      </c>
      <c r="F57" s="1" t="s">
        <v>8</v>
      </c>
      <c r="G57" s="1">
        <f t="shared" si="0"/>
        <v>5.2737512488642017E-4</v>
      </c>
      <c r="H57" s="31" t="s">
        <v>155</v>
      </c>
    </row>
    <row r="58" spans="1:8" x14ac:dyDescent="0.3">
      <c r="B58" s="1" t="s">
        <v>252</v>
      </c>
      <c r="C58" s="1">
        <f>1.36*'Exchange Rate'!C19/'Exchange Rate'!C18*'Exchange Rate'!E18</f>
        <v>9.0653223014425457</v>
      </c>
      <c r="D58" s="1" t="s">
        <v>35</v>
      </c>
      <c r="E58" s="1">
        <v>1.1732500000000001E-4</v>
      </c>
      <c r="F58" s="1" t="s">
        <v>8</v>
      </c>
      <c r="G58" s="1">
        <f t="shared" si="0"/>
        <v>1.0635889390167468E-3</v>
      </c>
      <c r="H58" s="31" t="s">
        <v>155</v>
      </c>
    </row>
    <row r="59" spans="1:8" x14ac:dyDescent="0.3">
      <c r="B59" s="1" t="s">
        <v>254</v>
      </c>
      <c r="C59" s="1">
        <f>2.37*'Exchange Rate'!C19/'Exchange Rate'!C18*'Exchange Rate'!E18</f>
        <v>15.797657245896204</v>
      </c>
      <c r="D59" s="1" t="s">
        <v>35</v>
      </c>
      <c r="E59" s="1">
        <v>1.4950000000000001E-5</v>
      </c>
      <c r="F59" s="1" t="s">
        <v>8</v>
      </c>
      <c r="G59" s="1">
        <f t="shared" si="0"/>
        <v>2.3617497582614826E-4</v>
      </c>
      <c r="H59" s="31" t="s">
        <v>155</v>
      </c>
    </row>
    <row r="60" spans="1:8" x14ac:dyDescent="0.3">
      <c r="B60" s="1" t="s">
        <v>6</v>
      </c>
      <c r="C60" s="1">
        <f>2.92*'Exchange Rate'!C19/'Exchange Rate'!C18*'Exchange Rate'!E18</f>
        <v>19.463780235450173</v>
      </c>
      <c r="D60" s="1" t="s">
        <v>35</v>
      </c>
      <c r="E60" s="1">
        <v>5.5250000000000008E-5</v>
      </c>
      <c r="F60" s="1" t="s">
        <v>8</v>
      </c>
      <c r="G60" s="1">
        <f t="shared" si="0"/>
        <v>1.0753738580086222E-3</v>
      </c>
      <c r="H60" s="31" t="s">
        <v>155</v>
      </c>
    </row>
    <row r="61" spans="1:8" x14ac:dyDescent="0.3">
      <c r="B61" s="1" t="s">
        <v>256</v>
      </c>
      <c r="C61" s="1">
        <f>2.37*'Exchange Rate'!C19/'Exchange Rate'!C18*'Exchange Rate'!E18</f>
        <v>15.797657245896204</v>
      </c>
      <c r="D61" s="1" t="s">
        <v>156</v>
      </c>
      <c r="E61" s="1">
        <v>4.3225000000000007E-5</v>
      </c>
      <c r="F61" s="1" t="s">
        <v>8</v>
      </c>
      <c r="G61" s="1">
        <f t="shared" si="0"/>
        <v>6.8285373445386348E-4</v>
      </c>
      <c r="H61" s="31" t="s">
        <v>155</v>
      </c>
    </row>
    <row r="62" spans="1:8" x14ac:dyDescent="0.3">
      <c r="G62" s="1">
        <f>SUM(G51:G61)</f>
        <v>3.0195221310703104</v>
      </c>
    </row>
  </sheetData>
  <phoneticPr fontId="1" type="noConversion"/>
  <hyperlinks>
    <hyperlink ref="H54" r:id="rId1" xr:uid="{B610D98C-32DD-4E97-9137-330FD0DBD314}"/>
    <hyperlink ref="H53" r:id="rId2" xr:uid="{488FC2D3-6B3D-431D-BA14-A882013D295A}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B3B2-4486-48B4-AD63-655418469074}">
  <dimension ref="A1:H82"/>
  <sheetViews>
    <sheetView topLeftCell="A55" workbookViewId="0">
      <selection activeCell="D5" sqref="D5"/>
    </sheetView>
  </sheetViews>
  <sheetFormatPr defaultRowHeight="13" x14ac:dyDescent="0.3"/>
  <cols>
    <col min="1" max="1" width="14" style="1" customWidth="1"/>
    <col min="2" max="2" width="28.4140625" style="1" customWidth="1"/>
    <col min="3" max="3" width="18.1640625" style="1" customWidth="1"/>
    <col min="4" max="4" width="32.75" style="1" customWidth="1"/>
    <col min="5" max="5" width="19.9140625" style="1" customWidth="1"/>
    <col min="6" max="7" width="11.4140625" style="1" customWidth="1"/>
    <col min="8" max="16384" width="8.6640625" style="1"/>
  </cols>
  <sheetData>
    <row r="1" spans="1:6" s="11" customFormat="1" x14ac:dyDescent="0.3">
      <c r="D1" s="11" t="s">
        <v>201</v>
      </c>
    </row>
    <row r="2" spans="1:6" s="11" customFormat="1" x14ac:dyDescent="0.3">
      <c r="B2" s="11" t="s">
        <v>202</v>
      </c>
      <c r="C2" s="11">
        <v>500000</v>
      </c>
      <c r="D2" s="11" t="s">
        <v>85</v>
      </c>
    </row>
    <row r="4" spans="1:6" s="11" customFormat="1" x14ac:dyDescent="0.3">
      <c r="A4" s="28" t="s">
        <v>138</v>
      </c>
      <c r="B4" s="11" t="s">
        <v>203</v>
      </c>
      <c r="C4" s="11" t="s">
        <v>1</v>
      </c>
      <c r="D4" s="11" t="s">
        <v>0</v>
      </c>
    </row>
    <row r="5" spans="1:6" x14ac:dyDescent="0.3">
      <c r="B5" s="1" t="s">
        <v>74</v>
      </c>
      <c r="C5" s="1">
        <v>41500000</v>
      </c>
      <c r="D5" s="1" t="s">
        <v>86</v>
      </c>
    </row>
    <row r="6" spans="1:6" x14ac:dyDescent="0.3">
      <c r="B6" s="8" t="s">
        <v>75</v>
      </c>
      <c r="C6" s="1">
        <v>157800000</v>
      </c>
      <c r="D6" s="1" t="s">
        <v>86</v>
      </c>
    </row>
    <row r="7" spans="1:6" x14ac:dyDescent="0.3">
      <c r="B7" s="1" t="s">
        <v>76</v>
      </c>
      <c r="C7" s="1">
        <v>6400000</v>
      </c>
      <c r="D7" s="1" t="s">
        <v>86</v>
      </c>
    </row>
    <row r="8" spans="1:6" x14ac:dyDescent="0.3">
      <c r="B8" s="1" t="s">
        <v>77</v>
      </c>
      <c r="C8" s="1">
        <f>10300000*5</f>
        <v>51500000</v>
      </c>
      <c r="D8" s="1" t="s">
        <v>86</v>
      </c>
    </row>
    <row r="9" spans="1:6" x14ac:dyDescent="0.3">
      <c r="B9" s="1" t="s">
        <v>78</v>
      </c>
      <c r="C9" s="1">
        <v>87800000</v>
      </c>
      <c r="D9" s="1" t="s">
        <v>86</v>
      </c>
    </row>
    <row r="10" spans="1:6" x14ac:dyDescent="0.3">
      <c r="B10" s="1" t="s">
        <v>79</v>
      </c>
      <c r="C10" s="1">
        <v>700000</v>
      </c>
      <c r="D10" s="1" t="s">
        <v>86</v>
      </c>
    </row>
    <row r="11" spans="1:6" x14ac:dyDescent="0.3">
      <c r="B11" s="1" t="s">
        <v>81</v>
      </c>
      <c r="C11" s="1">
        <v>282000000</v>
      </c>
      <c r="D11" s="1" t="s">
        <v>85</v>
      </c>
    </row>
    <row r="12" spans="1:6" x14ac:dyDescent="0.3">
      <c r="B12" s="1" t="s">
        <v>89</v>
      </c>
      <c r="C12" s="1">
        <v>600000</v>
      </c>
      <c r="D12" s="1" t="s">
        <v>85</v>
      </c>
    </row>
    <row r="13" spans="1:6" x14ac:dyDescent="0.3">
      <c r="B13" s="1" t="s">
        <v>82</v>
      </c>
      <c r="C13" s="1">
        <v>39700000</v>
      </c>
      <c r="D13" s="1" t="s">
        <v>85</v>
      </c>
    </row>
    <row r="14" spans="1:6" x14ac:dyDescent="0.3">
      <c r="B14" s="1" t="s">
        <v>83</v>
      </c>
      <c r="C14" s="1">
        <v>16900000</v>
      </c>
      <c r="D14" s="1" t="s">
        <v>85</v>
      </c>
    </row>
    <row r="15" spans="1:6" x14ac:dyDescent="0.3">
      <c r="B15" s="9" t="s">
        <v>84</v>
      </c>
      <c r="C15" s="1">
        <v>19000000</v>
      </c>
      <c r="D15" s="1" t="s">
        <v>85</v>
      </c>
      <c r="F15" s="26"/>
    </row>
    <row r="16" spans="1:6" x14ac:dyDescent="0.3">
      <c r="D16" s="26"/>
    </row>
    <row r="17" spans="1:4" x14ac:dyDescent="0.3">
      <c r="B17" s="27"/>
    </row>
    <row r="18" spans="1:4" x14ac:dyDescent="0.3">
      <c r="B18" s="10"/>
      <c r="D18" s="27"/>
    </row>
    <row r="19" spans="1:4" x14ac:dyDescent="0.3">
      <c r="B19" s="3"/>
    </row>
    <row r="20" spans="1:4" x14ac:dyDescent="0.3">
      <c r="A20" s="2" t="s">
        <v>9</v>
      </c>
      <c r="B20" s="11" t="s">
        <v>203</v>
      </c>
      <c r="C20" s="11" t="s">
        <v>10</v>
      </c>
      <c r="D20" s="11" t="s">
        <v>0</v>
      </c>
    </row>
    <row r="21" spans="1:4" x14ac:dyDescent="0.3">
      <c r="B21" s="1" t="s">
        <v>74</v>
      </c>
      <c r="C21" s="1">
        <f>C5*'Exchange Rate'!$E$18</f>
        <v>274622100</v>
      </c>
      <c r="D21" s="1" t="s">
        <v>86</v>
      </c>
    </row>
    <row r="22" spans="1:4" x14ac:dyDescent="0.3">
      <c r="B22" s="8" t="s">
        <v>75</v>
      </c>
      <c r="C22" s="1">
        <f>C6*'Exchange Rate'!$E$18</f>
        <v>1044225720</v>
      </c>
      <c r="D22" s="1" t="s">
        <v>86</v>
      </c>
    </row>
    <row r="23" spans="1:4" x14ac:dyDescent="0.3">
      <c r="B23" s="1" t="s">
        <v>76</v>
      </c>
      <c r="C23" s="1">
        <f>C7*'Exchange Rate'!$E$18</f>
        <v>42351360</v>
      </c>
      <c r="D23" s="1" t="s">
        <v>86</v>
      </c>
    </row>
    <row r="24" spans="1:4" x14ac:dyDescent="0.3">
      <c r="B24" s="1" t="s">
        <v>77</v>
      </c>
      <c r="C24" s="1">
        <f>C8*'Exchange Rate'!$E$18</f>
        <v>340796100</v>
      </c>
      <c r="D24" s="1" t="s">
        <v>86</v>
      </c>
    </row>
    <row r="25" spans="1:4" x14ac:dyDescent="0.3">
      <c r="B25" s="1" t="s">
        <v>78</v>
      </c>
      <c r="C25" s="1">
        <f>C9*'Exchange Rate'!$E$18</f>
        <v>581007720</v>
      </c>
      <c r="D25" s="1" t="s">
        <v>86</v>
      </c>
    </row>
    <row r="26" spans="1:4" x14ac:dyDescent="0.3">
      <c r="B26" s="1" t="s">
        <v>79</v>
      </c>
      <c r="C26" s="1">
        <f>C10*'Exchange Rate'!$E$18</f>
        <v>4632180</v>
      </c>
      <c r="D26" s="1" t="s">
        <v>86</v>
      </c>
    </row>
    <row r="27" spans="1:4" x14ac:dyDescent="0.3">
      <c r="B27" s="1" t="s">
        <v>81</v>
      </c>
      <c r="C27" s="1">
        <f>C11*'Exchange Rate'!$E$18</f>
        <v>1866106800</v>
      </c>
      <c r="D27" s="1" t="s">
        <v>85</v>
      </c>
    </row>
    <row r="28" spans="1:4" x14ac:dyDescent="0.3">
      <c r="B28" s="1" t="s">
        <v>80</v>
      </c>
      <c r="C28" s="1">
        <f>C12*'Exchange Rate'!$E$18</f>
        <v>3970440</v>
      </c>
      <c r="D28" s="1" t="s">
        <v>85</v>
      </c>
    </row>
    <row r="29" spans="1:4" x14ac:dyDescent="0.3">
      <c r="B29" s="1" t="s">
        <v>82</v>
      </c>
      <c r="C29" s="1">
        <f>C13*'Exchange Rate'!$E$18</f>
        <v>262710780</v>
      </c>
      <c r="D29" s="1" t="s">
        <v>85</v>
      </c>
    </row>
    <row r="30" spans="1:4" x14ac:dyDescent="0.3">
      <c r="B30" s="1" t="s">
        <v>83</v>
      </c>
      <c r="C30" s="1">
        <f>C14*'Exchange Rate'!$E$18</f>
        <v>111834060</v>
      </c>
      <c r="D30" s="1" t="s">
        <v>85</v>
      </c>
    </row>
    <row r="31" spans="1:4" x14ac:dyDescent="0.3">
      <c r="B31" s="9" t="s">
        <v>84</v>
      </c>
      <c r="C31" s="1">
        <f>C15*'Exchange Rate'!$E$18</f>
        <v>125730600</v>
      </c>
      <c r="D31" s="1" t="s">
        <v>85</v>
      </c>
    </row>
    <row r="32" spans="1:4" ht="14" customHeight="1" x14ac:dyDescent="0.3">
      <c r="A32" s="1" t="s">
        <v>230</v>
      </c>
      <c r="B32" s="1" t="s">
        <v>227</v>
      </c>
      <c r="C32" s="1">
        <f>Cost!E20</f>
        <v>1989.2558213604361</v>
      </c>
      <c r="D32" s="1" t="s">
        <v>245</v>
      </c>
    </row>
    <row r="33" spans="1:8" ht="14" customHeight="1" x14ac:dyDescent="0.3">
      <c r="A33" s="1" t="s">
        <v>231</v>
      </c>
      <c r="B33" s="1" t="s">
        <v>228</v>
      </c>
      <c r="C33" s="1">
        <f>Cost!E23</f>
        <v>13.876982059446759</v>
      </c>
      <c r="D33" s="1" t="s">
        <v>245</v>
      </c>
    </row>
    <row r="34" spans="1:8" ht="14" customHeight="1" x14ac:dyDescent="0.3">
      <c r="A34" s="1" t="s">
        <v>230</v>
      </c>
      <c r="B34" s="1" t="s">
        <v>229</v>
      </c>
      <c r="C34" s="1">
        <f>Cost!E26</f>
        <v>573.75398940510877</v>
      </c>
      <c r="D34" s="1" t="s">
        <v>245</v>
      </c>
    </row>
    <row r="35" spans="1:8" x14ac:dyDescent="0.3">
      <c r="B35" s="10"/>
    </row>
    <row r="36" spans="1:8" x14ac:dyDescent="0.3">
      <c r="B36" s="10"/>
    </row>
    <row r="38" spans="1:8" x14ac:dyDescent="0.3">
      <c r="B38" s="11" t="s">
        <v>204</v>
      </c>
    </row>
    <row r="39" spans="1:8" s="11" customFormat="1" x14ac:dyDescent="0.3">
      <c r="B39" s="1" t="s">
        <v>240</v>
      </c>
      <c r="C39" s="37">
        <v>2.8899999999999999E-2</v>
      </c>
      <c r="D39" s="1" t="s">
        <v>205</v>
      </c>
      <c r="E39" s="1" t="s">
        <v>241</v>
      </c>
      <c r="F39" s="35"/>
    </row>
    <row r="40" spans="1:8" x14ac:dyDescent="0.3">
      <c r="B40" s="1" t="s">
        <v>227</v>
      </c>
      <c r="C40" s="37">
        <v>3.6700000000000003E-2</v>
      </c>
      <c r="D40" s="1" t="s">
        <v>205</v>
      </c>
      <c r="E40" s="1" t="s">
        <v>239</v>
      </c>
    </row>
    <row r="41" spans="1:8" ht="14" x14ac:dyDescent="0.3">
      <c r="B41" s="1" t="s">
        <v>228</v>
      </c>
      <c r="C41" s="37">
        <v>2.2200000000000001E-2</v>
      </c>
      <c r="D41" s="1" t="s">
        <v>205</v>
      </c>
      <c r="E41" s="1" t="s">
        <v>239</v>
      </c>
      <c r="G41" s="6"/>
    </row>
    <row r="42" spans="1:8" x14ac:dyDescent="0.3">
      <c r="B42" s="1" t="s">
        <v>229</v>
      </c>
      <c r="C42" s="4">
        <v>0.04</v>
      </c>
      <c r="D42" s="1" t="s">
        <v>205</v>
      </c>
      <c r="E42" s="1" t="s">
        <v>239</v>
      </c>
    </row>
    <row r="45" spans="1:8" s="11" customFormat="1" x14ac:dyDescent="0.3">
      <c r="B45" s="11" t="s">
        <v>286</v>
      </c>
      <c r="C45" s="11" t="s">
        <v>287</v>
      </c>
      <c r="D45" s="11" t="s">
        <v>201</v>
      </c>
    </row>
    <row r="46" spans="1:8" x14ac:dyDescent="0.3">
      <c r="B46" s="1" t="s">
        <v>116</v>
      </c>
      <c r="C46" s="1">
        <v>0.7</v>
      </c>
      <c r="D46" s="1" t="s">
        <v>288</v>
      </c>
    </row>
    <row r="47" spans="1:8" ht="14" x14ac:dyDescent="0.3">
      <c r="H47" s="38"/>
    </row>
    <row r="48" spans="1:8" s="11" customFormat="1" x14ac:dyDescent="0.3"/>
    <row r="57" spans="8:8" ht="14" x14ac:dyDescent="0.3">
      <c r="H57" s="38"/>
    </row>
    <row r="58" spans="8:8" ht="14" x14ac:dyDescent="0.3">
      <c r="H58" s="38"/>
    </row>
    <row r="59" spans="8:8" ht="14" x14ac:dyDescent="0.3">
      <c r="H59" s="39"/>
    </row>
    <row r="66" spans="1:8" s="11" customFormat="1" x14ac:dyDescent="0.3">
      <c r="A66" s="2" t="s">
        <v>9</v>
      </c>
      <c r="B66" s="11" t="s">
        <v>225</v>
      </c>
      <c r="C66" s="11" t="s">
        <v>3</v>
      </c>
      <c r="D66" s="11" t="s">
        <v>4</v>
      </c>
      <c r="E66" s="11" t="s">
        <v>5</v>
      </c>
      <c r="F66" s="11" t="s">
        <v>4</v>
      </c>
      <c r="G66" s="11" t="s">
        <v>34</v>
      </c>
      <c r="H66" s="11" t="s">
        <v>0</v>
      </c>
    </row>
    <row r="67" spans="1:8" x14ac:dyDescent="0.3">
      <c r="B67" s="1" t="s">
        <v>243</v>
      </c>
      <c r="C67" s="1">
        <v>2.9994000440115438</v>
      </c>
      <c r="D67" s="1" t="s">
        <v>33</v>
      </c>
      <c r="E67" s="1">
        <f>0.747</f>
        <v>0.747</v>
      </c>
      <c r="F67" s="1" t="s">
        <v>7</v>
      </c>
      <c r="G67" s="1">
        <f t="shared" ref="G67:G77" si="0">C67*E67</f>
        <v>2.2405518328766232</v>
      </c>
      <c r="H67" s="1" t="s">
        <v>244</v>
      </c>
    </row>
    <row r="68" spans="1:8" x14ac:dyDescent="0.3">
      <c r="B68" s="1" t="s">
        <v>243</v>
      </c>
      <c r="C68" s="1">
        <v>2.9994000440115438</v>
      </c>
      <c r="D68" s="1" t="s">
        <v>33</v>
      </c>
      <c r="E68" s="1">
        <f>(2.63/36.44/0.9)</f>
        <v>8.0192706427613128E-2</v>
      </c>
      <c r="F68" s="1" t="s">
        <v>7</v>
      </c>
      <c r="G68" s="1">
        <f t="shared" si="0"/>
        <v>0.24053000718838763</v>
      </c>
      <c r="H68" s="1" t="s">
        <v>244</v>
      </c>
    </row>
    <row r="69" spans="1:8" ht="14" customHeight="1" x14ac:dyDescent="0.3">
      <c r="B69" s="1" t="s">
        <v>211</v>
      </c>
      <c r="C69" s="1">
        <v>0.54935833333333339</v>
      </c>
      <c r="D69" s="1" t="s">
        <v>40</v>
      </c>
      <c r="E69" s="1">
        <v>0.95299999999999996</v>
      </c>
      <c r="F69" s="1" t="s">
        <v>41</v>
      </c>
      <c r="G69" s="1">
        <f>C69*E69</f>
        <v>0.52353849166666666</v>
      </c>
      <c r="H69" s="36" t="s">
        <v>223</v>
      </c>
    </row>
    <row r="70" spans="1:8" x14ac:dyDescent="0.3">
      <c r="B70" s="1" t="s">
        <v>219</v>
      </c>
      <c r="C70" s="1">
        <v>4.1000000000000003E-3</v>
      </c>
      <c r="D70" s="1" t="s">
        <v>33</v>
      </c>
      <c r="E70" s="1">
        <v>1.3879999999999999</v>
      </c>
      <c r="F70" s="1" t="s">
        <v>8</v>
      </c>
      <c r="G70" s="1">
        <f t="shared" si="0"/>
        <v>5.6908000000000002E-3</v>
      </c>
      <c r="H70" s="34" t="s">
        <v>207</v>
      </c>
    </row>
    <row r="71" spans="1:8" x14ac:dyDescent="0.3">
      <c r="B71" s="1" t="s">
        <v>247</v>
      </c>
      <c r="C71" s="1">
        <f>1.36*'Exchange Rate'!C19/'Exchange Rate'!C18*'Exchange Rate'!E18</f>
        <v>9.0653223014425457</v>
      </c>
      <c r="D71" s="1" t="s">
        <v>35</v>
      </c>
      <c r="E71" s="1">
        <v>3.1265E-5</v>
      </c>
      <c r="F71" s="1" t="s">
        <v>8</v>
      </c>
      <c r="G71" s="1">
        <f t="shared" si="0"/>
        <v>2.8342730175460117E-4</v>
      </c>
      <c r="H71" s="31" t="s">
        <v>155</v>
      </c>
    </row>
    <row r="72" spans="1:8" x14ac:dyDescent="0.3">
      <c r="B72" s="1" t="s">
        <v>249</v>
      </c>
      <c r="C72" s="1">
        <f>10*'Exchange Rate'!C19/'Exchange Rate'!C18*'Exchange Rate'!E18</f>
        <v>66.656781628254024</v>
      </c>
      <c r="D72" s="1" t="s">
        <v>35</v>
      </c>
      <c r="E72" s="1">
        <v>4.6800000000000001E-6</v>
      </c>
      <c r="F72" s="1" t="s">
        <v>8</v>
      </c>
      <c r="G72" s="1">
        <f t="shared" si="0"/>
        <v>3.1195373802022882E-4</v>
      </c>
      <c r="H72" s="31" t="s">
        <v>155</v>
      </c>
    </row>
    <row r="73" spans="1:8" x14ac:dyDescent="0.3">
      <c r="B73" s="1" t="s">
        <v>251</v>
      </c>
      <c r="C73" s="1">
        <f>1.36*'Exchange Rate'!C19/'Exchange Rate'!C18*'Exchange Rate'!E18</f>
        <v>9.0653223014425457</v>
      </c>
      <c r="D73" s="1" t="s">
        <v>35</v>
      </c>
      <c r="E73" s="1">
        <v>5.8175000000000011E-5</v>
      </c>
      <c r="F73" s="1" t="s">
        <v>8</v>
      </c>
      <c r="G73" s="1">
        <f t="shared" si="0"/>
        <v>5.2737512488642017E-4</v>
      </c>
      <c r="H73" s="31" t="s">
        <v>155</v>
      </c>
    </row>
    <row r="74" spans="1:8" x14ac:dyDescent="0.3">
      <c r="B74" s="1" t="s">
        <v>253</v>
      </c>
      <c r="C74" s="1">
        <f>1.36*'Exchange Rate'!C19/'Exchange Rate'!C18*'Exchange Rate'!E18</f>
        <v>9.0653223014425457</v>
      </c>
      <c r="D74" s="1" t="s">
        <v>35</v>
      </c>
      <c r="E74" s="1">
        <v>1.1732500000000001E-4</v>
      </c>
      <c r="F74" s="1" t="s">
        <v>8</v>
      </c>
      <c r="G74" s="1">
        <f t="shared" si="0"/>
        <v>1.0635889390167468E-3</v>
      </c>
      <c r="H74" s="31" t="s">
        <v>155</v>
      </c>
    </row>
    <row r="75" spans="1:8" x14ac:dyDescent="0.3">
      <c r="B75" s="1" t="s">
        <v>255</v>
      </c>
      <c r="C75" s="1">
        <f>2.37*'Exchange Rate'!C19/'Exchange Rate'!C18*'Exchange Rate'!E18</f>
        <v>15.797657245896204</v>
      </c>
      <c r="D75" s="1" t="s">
        <v>35</v>
      </c>
      <c r="E75" s="1">
        <v>1.4950000000000001E-5</v>
      </c>
      <c r="F75" s="1" t="s">
        <v>8</v>
      </c>
      <c r="G75" s="1">
        <f t="shared" si="0"/>
        <v>2.3617497582614826E-4</v>
      </c>
      <c r="H75" s="31" t="s">
        <v>155</v>
      </c>
    </row>
    <row r="76" spans="1:8" x14ac:dyDescent="0.3">
      <c r="B76" s="1" t="s">
        <v>6</v>
      </c>
      <c r="C76" s="1">
        <f>2.92*'Exchange Rate'!C19/'Exchange Rate'!C18*'Exchange Rate'!E18</f>
        <v>19.463780235450173</v>
      </c>
      <c r="D76" s="1" t="s">
        <v>35</v>
      </c>
      <c r="E76" s="1">
        <v>5.5250000000000008E-5</v>
      </c>
      <c r="F76" s="1" t="s">
        <v>8</v>
      </c>
      <c r="G76" s="1">
        <f t="shared" si="0"/>
        <v>1.0753738580086222E-3</v>
      </c>
      <c r="H76" s="31" t="s">
        <v>155</v>
      </c>
    </row>
    <row r="77" spans="1:8" x14ac:dyDescent="0.3">
      <c r="B77" s="1" t="s">
        <v>257</v>
      </c>
      <c r="C77" s="1">
        <f>2.37*'Exchange Rate'!C19/'Exchange Rate'!C18*'Exchange Rate'!E18</f>
        <v>15.797657245896204</v>
      </c>
      <c r="D77" s="1" t="s">
        <v>35</v>
      </c>
      <c r="E77" s="1">
        <v>4.3225000000000007E-5</v>
      </c>
      <c r="F77" s="1" t="s">
        <v>8</v>
      </c>
      <c r="G77" s="1">
        <f t="shared" si="0"/>
        <v>6.8285373445386348E-4</v>
      </c>
      <c r="H77" s="31" t="s">
        <v>155</v>
      </c>
    </row>
    <row r="78" spans="1:8" s="31" customFormat="1" x14ac:dyDescent="0.3">
      <c r="B78" s="31" t="s">
        <v>219</v>
      </c>
      <c r="C78" s="31">
        <v>4.1000000000000003E-3</v>
      </c>
      <c r="D78" s="31" t="s">
        <v>33</v>
      </c>
      <c r="E78" s="31">
        <v>4.7547499999999994E-3</v>
      </c>
      <c r="F78" s="31" t="s">
        <v>8</v>
      </c>
      <c r="G78" s="31">
        <f t="shared" ref="G78" si="1">C78*E78</f>
        <v>1.9494474999999999E-5</v>
      </c>
      <c r="H78" s="34" t="s">
        <v>207</v>
      </c>
    </row>
    <row r="79" spans="1:8" s="31" customFormat="1" x14ac:dyDescent="0.3">
      <c r="B79" s="31" t="s">
        <v>236</v>
      </c>
      <c r="C79" s="31">
        <v>6.8</v>
      </c>
      <c r="D79" s="31" t="s">
        <v>35</v>
      </c>
      <c r="E79" s="31">
        <v>2.0377500000000001E-3</v>
      </c>
      <c r="F79" s="31" t="s">
        <v>8</v>
      </c>
      <c r="G79" s="31">
        <f>C79*E79</f>
        <v>1.38567E-2</v>
      </c>
      <c r="H79" s="36" t="s">
        <v>237</v>
      </c>
    </row>
    <row r="80" spans="1:8" s="31" customFormat="1" x14ac:dyDescent="0.3">
      <c r="B80" s="31" t="s">
        <v>177</v>
      </c>
      <c r="C80" s="31">
        <f>(828.5+1054.2+883.2)/3/1000</f>
        <v>0.92196666666666671</v>
      </c>
      <c r="D80" s="31" t="s">
        <v>35</v>
      </c>
      <c r="E80" s="31">
        <v>1.7660499999999998E-4</v>
      </c>
      <c r="F80" s="31" t="s">
        <v>8</v>
      </c>
      <c r="G80" s="31">
        <f>C80*E80</f>
        <v>1.6282392316666666E-4</v>
      </c>
      <c r="H80" s="34" t="s">
        <v>222</v>
      </c>
    </row>
    <row r="81" spans="2:8" x14ac:dyDescent="0.3">
      <c r="B81" s="1" t="s">
        <v>238</v>
      </c>
      <c r="C81" s="1">
        <v>14.419</v>
      </c>
      <c r="D81" s="1" t="s">
        <v>35</v>
      </c>
      <c r="E81" s="1">
        <v>1.0188749999999999E-4</v>
      </c>
      <c r="F81" s="1" t="s">
        <v>8</v>
      </c>
      <c r="G81" s="1">
        <f t="shared" ref="G81" si="2">C81*E81</f>
        <v>1.4691158624999998E-3</v>
      </c>
      <c r="H81" s="29" t="s">
        <v>178</v>
      </c>
    </row>
    <row r="82" spans="2:8" ht="14" customHeight="1" x14ac:dyDescent="0.3">
      <c r="B82" s="1" t="s">
        <v>211</v>
      </c>
      <c r="C82" s="1">
        <v>0.55463666666666667</v>
      </c>
      <c r="D82" s="1" t="s">
        <v>40</v>
      </c>
      <c r="E82" s="1">
        <v>1.7796349999999999E-3</v>
      </c>
      <c r="F82" s="1" t="s">
        <v>41</v>
      </c>
      <c r="G82" s="1">
        <f>C82*E82</f>
        <v>9.8705082428333338E-4</v>
      </c>
      <c r="H82" s="36" t="s">
        <v>223</v>
      </c>
    </row>
  </sheetData>
  <phoneticPr fontId="1" type="noConversion"/>
  <hyperlinks>
    <hyperlink ref="H69" r:id="rId1" xr:uid="{22226F46-830B-4E3F-A36E-96F95CBFB020}"/>
    <hyperlink ref="H70" r:id="rId2" xr:uid="{24F02B78-812D-4ADD-AB2C-AE56E4820872}"/>
    <hyperlink ref="H79" r:id="rId3" xr:uid="{8CFE0ADF-F133-47F3-B1AA-A60C8A1856CB}"/>
    <hyperlink ref="H78" r:id="rId4" xr:uid="{36344538-7206-4AC6-858B-02E20E05EFFC}"/>
    <hyperlink ref="H81" r:id="rId5" xr:uid="{CFF5E7A5-167B-4788-84C6-346A0DC451D2}"/>
    <hyperlink ref="H82" r:id="rId6" xr:uid="{801BDFB1-CB9D-49E7-8F08-97FE860D90C8}"/>
  </hyperlinks>
  <pageMargins left="0.7" right="0.7" top="0.75" bottom="0.75" header="0.3" footer="0.3"/>
  <pageSetup paperSize="9" orientation="portrait" horizontalDpi="1200" verticalDpi="120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41B4-9A59-4546-BA52-2A3B67B08096}">
  <dimension ref="A2:H143"/>
  <sheetViews>
    <sheetView topLeftCell="A64" zoomScaleNormal="100" workbookViewId="0">
      <selection activeCell="D24" sqref="D24"/>
    </sheetView>
  </sheetViews>
  <sheetFormatPr defaultRowHeight="13" x14ac:dyDescent="0.3"/>
  <cols>
    <col min="1" max="1" width="8.6640625" style="1"/>
    <col min="2" max="2" width="27.83203125" style="1" customWidth="1"/>
    <col min="3" max="3" width="18.25" style="1" customWidth="1"/>
    <col min="4" max="4" width="31.25" style="1" customWidth="1"/>
    <col min="5" max="5" width="10.6640625" style="1" customWidth="1"/>
    <col min="6" max="6" width="31.25" style="1" customWidth="1"/>
    <col min="7" max="7" width="11.4140625" style="1" customWidth="1"/>
    <col min="8" max="8" width="28.08203125" style="1" customWidth="1"/>
    <col min="9" max="9" width="13.25" style="1" customWidth="1"/>
    <col min="10" max="16384" width="8.6640625" style="1"/>
  </cols>
  <sheetData>
    <row r="2" spans="1:5" s="11" customFormat="1" x14ac:dyDescent="0.3">
      <c r="A2" s="28" t="s">
        <v>9</v>
      </c>
      <c r="B2" s="11" t="s">
        <v>203</v>
      </c>
      <c r="C2" s="11" t="s">
        <v>262</v>
      </c>
      <c r="D2" s="11" t="s">
        <v>0</v>
      </c>
    </row>
    <row r="3" spans="1:5" x14ac:dyDescent="0.3">
      <c r="B3" s="1" t="s">
        <v>258</v>
      </c>
      <c r="C3" s="7">
        <f>Cost!E4</f>
        <v>4793.07</v>
      </c>
      <c r="D3" s="1" t="s">
        <v>259</v>
      </c>
      <c r="E3" s="10"/>
    </row>
    <row r="4" spans="1:5" x14ac:dyDescent="0.3">
      <c r="B4" s="1" t="s">
        <v>260</v>
      </c>
      <c r="C4" s="1">
        <f>Cost!E10</f>
        <v>4629.6399999999994</v>
      </c>
      <c r="D4" s="1" t="s">
        <v>261</v>
      </c>
      <c r="E4" s="12"/>
    </row>
    <row r="5" spans="1:5" x14ac:dyDescent="0.3">
      <c r="E5" s="12"/>
    </row>
    <row r="6" spans="1:5" s="11" customFormat="1" x14ac:dyDescent="0.3">
      <c r="A6" s="28" t="s">
        <v>9</v>
      </c>
      <c r="B6" s="11" t="s">
        <v>203</v>
      </c>
      <c r="C6" s="11" t="s">
        <v>58</v>
      </c>
      <c r="D6" s="11" t="s">
        <v>0</v>
      </c>
    </row>
    <row r="7" spans="1:5" x14ac:dyDescent="0.3">
      <c r="B7" s="1" t="s">
        <v>36</v>
      </c>
      <c r="C7" s="1">
        <f>22506100/(515055/100000)^0.7*'Exchange Rate'!C18/'Exchange Rate'!C16*'Exchange Rate'!F18</f>
        <v>62060731.670130365</v>
      </c>
      <c r="D7" s="1" t="s">
        <v>123</v>
      </c>
    </row>
    <row r="8" spans="1:5" s="11" customFormat="1" x14ac:dyDescent="0.3">
      <c r="B8" s="1" t="s">
        <v>2</v>
      </c>
      <c r="C8" s="1">
        <f>18642800/(515055/100000)^0.7*'Exchange Rate'!C18/'Exchange Rate'!C16*'Exchange Rate'!F18</f>
        <v>51407654.297275238</v>
      </c>
      <c r="D8" s="1" t="s">
        <v>263</v>
      </c>
    </row>
    <row r="11" spans="1:5" s="11" customFormat="1" x14ac:dyDescent="0.3">
      <c r="B11" s="11" t="s">
        <v>232</v>
      </c>
      <c r="C11" s="11" t="s">
        <v>233</v>
      </c>
      <c r="D11" s="11" t="s">
        <v>234</v>
      </c>
    </row>
    <row r="12" spans="1:5" x14ac:dyDescent="0.3">
      <c r="B12" s="1" t="s">
        <v>258</v>
      </c>
      <c r="C12" s="1">
        <v>1</v>
      </c>
      <c r="D12" s="1" t="s">
        <v>206</v>
      </c>
    </row>
    <row r="13" spans="1:5" x14ac:dyDescent="0.3">
      <c r="B13" s="1" t="s">
        <v>264</v>
      </c>
      <c r="C13" s="1">
        <v>0.88</v>
      </c>
      <c r="D13" s="1" t="s">
        <v>266</v>
      </c>
    </row>
    <row r="14" spans="1:5" x14ac:dyDescent="0.3">
      <c r="B14" s="1" t="s">
        <v>265</v>
      </c>
      <c r="C14" s="1">
        <v>0.7</v>
      </c>
      <c r="D14" s="1" t="s">
        <v>266</v>
      </c>
    </row>
    <row r="15" spans="1:5" ht="13.5" x14ac:dyDescent="0.3">
      <c r="A15" s="5"/>
      <c r="B15" s="1" t="s">
        <v>36</v>
      </c>
      <c r="C15" s="1">
        <v>0.7</v>
      </c>
      <c r="D15" s="1" t="s">
        <v>235</v>
      </c>
    </row>
    <row r="16" spans="1:5" x14ac:dyDescent="0.3">
      <c r="B16" s="1" t="s">
        <v>2</v>
      </c>
      <c r="C16" s="1">
        <v>0.7</v>
      </c>
      <c r="D16" s="1" t="s">
        <v>235</v>
      </c>
    </row>
    <row r="22" spans="2:6" s="11" customFormat="1" x14ac:dyDescent="0.3">
      <c r="B22" s="11" t="s">
        <v>204</v>
      </c>
      <c r="C22" s="11" t="s">
        <v>233</v>
      </c>
      <c r="E22" s="11" t="s">
        <v>234</v>
      </c>
    </row>
    <row r="23" spans="2:6" x14ac:dyDescent="0.3">
      <c r="B23" s="1" t="s">
        <v>258</v>
      </c>
      <c r="C23" s="41">
        <v>0.03</v>
      </c>
      <c r="D23" s="1" t="s">
        <v>291</v>
      </c>
      <c r="E23" s="1" t="s">
        <v>372</v>
      </c>
      <c r="F23" s="30"/>
    </row>
    <row r="24" spans="2:6" x14ac:dyDescent="0.3">
      <c r="B24" s="1" t="s">
        <v>267</v>
      </c>
      <c r="C24" s="41">
        <v>2.5000000000000001E-2</v>
      </c>
      <c r="D24" s="1" t="s">
        <v>291</v>
      </c>
      <c r="E24" s="1" t="s">
        <v>57</v>
      </c>
    </row>
    <row r="26" spans="2:6" ht="14" x14ac:dyDescent="0.3">
      <c r="B26" s="25"/>
    </row>
    <row r="27" spans="2:6" ht="14" x14ac:dyDescent="0.3">
      <c r="B27" s="25"/>
    </row>
    <row r="28" spans="2:6" ht="14" x14ac:dyDescent="0.3">
      <c r="B28" s="25"/>
    </row>
    <row r="29" spans="2:6" ht="14" x14ac:dyDescent="0.3">
      <c r="B29" s="25"/>
    </row>
    <row r="30" spans="2:6" ht="14" x14ac:dyDescent="0.3">
      <c r="B30" s="25"/>
    </row>
    <row r="31" spans="2:6" ht="14" x14ac:dyDescent="0.3">
      <c r="B31" s="25"/>
    </row>
    <row r="32" spans="2:6" ht="14" x14ac:dyDescent="0.3">
      <c r="B32" s="25"/>
    </row>
    <row r="33" spans="2:2" ht="14" x14ac:dyDescent="0.3">
      <c r="B33" s="25"/>
    </row>
    <row r="34" spans="2:2" ht="14" x14ac:dyDescent="0.3">
      <c r="B34" s="25"/>
    </row>
    <row r="35" spans="2:2" ht="14" x14ac:dyDescent="0.3">
      <c r="B35" s="25"/>
    </row>
    <row r="36" spans="2:2" ht="14" x14ac:dyDescent="0.3">
      <c r="B36" s="25"/>
    </row>
    <row r="37" spans="2:2" ht="14" x14ac:dyDescent="0.3">
      <c r="B37" s="25"/>
    </row>
    <row r="38" spans="2:2" ht="14" x14ac:dyDescent="0.3">
      <c r="B38" s="25"/>
    </row>
    <row r="39" spans="2:2" ht="14" x14ac:dyDescent="0.3">
      <c r="B39" s="25"/>
    </row>
    <row r="40" spans="2:2" ht="14" x14ac:dyDescent="0.3">
      <c r="B40" s="25"/>
    </row>
    <row r="41" spans="2:2" ht="14" x14ac:dyDescent="0.3">
      <c r="B41" s="25"/>
    </row>
    <row r="42" spans="2:2" ht="14" x14ac:dyDescent="0.3">
      <c r="B42" s="25"/>
    </row>
    <row r="43" spans="2:2" ht="14" x14ac:dyDescent="0.3">
      <c r="B43" s="25"/>
    </row>
    <row r="44" spans="2:2" ht="14" x14ac:dyDescent="0.3">
      <c r="B44" s="25"/>
    </row>
    <row r="45" spans="2:2" ht="14" x14ac:dyDescent="0.3">
      <c r="B45" s="25"/>
    </row>
    <row r="47" spans="2:2" ht="14" x14ac:dyDescent="0.3">
      <c r="B47" s="25"/>
    </row>
    <row r="48" spans="2:2" ht="14" x14ac:dyDescent="0.3">
      <c r="B48" s="25"/>
    </row>
    <row r="49" spans="2:2" ht="14" x14ac:dyDescent="0.3">
      <c r="B49" s="25"/>
    </row>
    <row r="50" spans="2:2" ht="14" x14ac:dyDescent="0.3">
      <c r="B50" s="25"/>
    </row>
    <row r="51" spans="2:2" ht="14" x14ac:dyDescent="0.3">
      <c r="B51" s="25"/>
    </row>
    <row r="52" spans="2:2" s="11" customFormat="1" x14ac:dyDescent="0.3"/>
    <row r="100" spans="7:8" x14ac:dyDescent="0.3">
      <c r="G100" s="23"/>
      <c r="H100" s="23"/>
    </row>
    <row r="113" spans="1:5" ht="14" x14ac:dyDescent="0.3">
      <c r="B113"/>
    </row>
    <row r="118" spans="1:5" x14ac:dyDescent="0.3">
      <c r="E118" s="10"/>
    </row>
    <row r="120" spans="1:5" x14ac:dyDescent="0.3">
      <c r="E120" s="10"/>
    </row>
    <row r="122" spans="1:5" s="11" customFormat="1" x14ac:dyDescent="0.3">
      <c r="A122" s="28" t="s">
        <v>9</v>
      </c>
      <c r="B122" s="11" t="s">
        <v>225</v>
      </c>
      <c r="C122" s="11" t="s">
        <v>3</v>
      </c>
      <c r="D122" s="11" t="s">
        <v>4</v>
      </c>
      <c r="E122" s="11" t="s">
        <v>0</v>
      </c>
    </row>
    <row r="123" spans="1:5" x14ac:dyDescent="0.3">
      <c r="B123" s="1" t="s">
        <v>42</v>
      </c>
      <c r="C123" s="1">
        <v>0.01</v>
      </c>
      <c r="D123" s="1" t="s">
        <v>35</v>
      </c>
      <c r="E123" s="10" t="s">
        <v>268</v>
      </c>
    </row>
    <row r="124" spans="1:5" x14ac:dyDescent="0.3">
      <c r="B124" s="1" t="s">
        <v>6</v>
      </c>
      <c r="C124" s="1">
        <f>2.92*'Exchange Rate'!$E$18*'Exchange Rate'!$C$18/'Exchange Rate'!$C$19</f>
        <v>19.182856798024691</v>
      </c>
      <c r="D124" s="1" t="s">
        <v>35</v>
      </c>
      <c r="E124" s="1" t="s">
        <v>220</v>
      </c>
    </row>
    <row r="125" spans="1:5" x14ac:dyDescent="0.3">
      <c r="B125" s="1" t="s">
        <v>115</v>
      </c>
      <c r="C125" s="1">
        <v>7</v>
      </c>
      <c r="D125" s="1" t="s">
        <v>151</v>
      </c>
      <c r="E125" s="10" t="s">
        <v>268</v>
      </c>
    </row>
    <row r="138" spans="1:5" ht="13.5" customHeight="1" x14ac:dyDescent="0.3"/>
    <row r="139" spans="1:5" s="11" customFormat="1" x14ac:dyDescent="0.3">
      <c r="A139" s="28" t="s">
        <v>9</v>
      </c>
      <c r="B139" s="11" t="s">
        <v>225</v>
      </c>
      <c r="C139" s="11" t="s">
        <v>5</v>
      </c>
      <c r="D139" s="11" t="s">
        <v>4</v>
      </c>
      <c r="E139" s="11" t="s">
        <v>0</v>
      </c>
    </row>
    <row r="140" spans="1:5" x14ac:dyDescent="0.3">
      <c r="B140" s="1" t="s">
        <v>154</v>
      </c>
      <c r="C140" s="1">
        <v>10.349723499999998</v>
      </c>
      <c r="D140" s="1" t="s">
        <v>153</v>
      </c>
      <c r="E140" s="1" t="s">
        <v>269</v>
      </c>
    </row>
    <row r="141" spans="1:5" x14ac:dyDescent="0.3">
      <c r="B141" s="1" t="s">
        <v>42</v>
      </c>
      <c r="C141" s="1">
        <v>1.8877999999999999</v>
      </c>
      <c r="D141" s="1" t="s">
        <v>8</v>
      </c>
      <c r="E141" s="1" t="s">
        <v>270</v>
      </c>
    </row>
    <row r="142" spans="1:5" x14ac:dyDescent="0.3">
      <c r="B142" s="1" t="s">
        <v>6</v>
      </c>
      <c r="C142" s="1">
        <v>5.5250000000000008E-5</v>
      </c>
      <c r="D142" s="1" t="s">
        <v>8</v>
      </c>
      <c r="E142" s="1" t="s">
        <v>271</v>
      </c>
    </row>
    <row r="143" spans="1:5" x14ac:dyDescent="0.3">
      <c r="B143" s="1" t="s">
        <v>115</v>
      </c>
      <c r="C143" s="1">
        <v>6.9848600000000001E-4</v>
      </c>
      <c r="D143" s="1" t="s">
        <v>152</v>
      </c>
      <c r="E143" s="1" t="s">
        <v>272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3B74-C1CB-4220-BAB3-71025CD99899}">
  <dimension ref="A2:H143"/>
  <sheetViews>
    <sheetView topLeftCell="A43" zoomScaleNormal="100" workbookViewId="0">
      <selection activeCell="D62" sqref="D62"/>
    </sheetView>
  </sheetViews>
  <sheetFormatPr defaultRowHeight="13" x14ac:dyDescent="0.3"/>
  <cols>
    <col min="1" max="1" width="8.6640625" style="1"/>
    <col min="2" max="2" width="27.83203125" style="1" customWidth="1"/>
    <col min="3" max="3" width="18.25" style="1" customWidth="1"/>
    <col min="4" max="4" width="31.25" style="1" customWidth="1"/>
    <col min="5" max="5" width="10.6640625" style="1" customWidth="1"/>
    <col min="6" max="6" width="31.25" style="1" customWidth="1"/>
    <col min="7" max="7" width="11.4140625" style="1" customWidth="1"/>
    <col min="8" max="8" width="28.08203125" style="1" customWidth="1"/>
    <col min="9" max="9" width="13.25" style="1" customWidth="1"/>
    <col min="10" max="16384" width="8.6640625" style="1"/>
  </cols>
  <sheetData>
    <row r="2" spans="1:5" s="11" customFormat="1" x14ac:dyDescent="0.3">
      <c r="A2" s="28" t="s">
        <v>9</v>
      </c>
      <c r="B2" s="11" t="s">
        <v>203</v>
      </c>
      <c r="C2" s="11" t="s">
        <v>262</v>
      </c>
      <c r="D2" s="11" t="s">
        <v>0</v>
      </c>
    </row>
    <row r="3" spans="1:5" x14ac:dyDescent="0.3">
      <c r="B3" s="1" t="s">
        <v>273</v>
      </c>
      <c r="C3" s="7">
        <f>Cost!E7</f>
        <v>6819.9</v>
      </c>
      <c r="D3" s="1" t="s">
        <v>274</v>
      </c>
      <c r="E3" s="10"/>
    </row>
    <row r="4" spans="1:5" x14ac:dyDescent="0.3">
      <c r="B4" s="1" t="s">
        <v>260</v>
      </c>
      <c r="C4" s="1">
        <f>Cost!E10</f>
        <v>4629.6399999999994</v>
      </c>
      <c r="D4" s="1" t="s">
        <v>261</v>
      </c>
      <c r="E4" s="12"/>
    </row>
    <row r="5" spans="1:5" x14ac:dyDescent="0.3">
      <c r="E5" s="12"/>
    </row>
    <row r="6" spans="1:5" s="11" customFormat="1" x14ac:dyDescent="0.3">
      <c r="A6" s="28" t="s">
        <v>9</v>
      </c>
      <c r="B6" s="11" t="s">
        <v>203</v>
      </c>
      <c r="C6" s="11" t="s">
        <v>58</v>
      </c>
      <c r="D6" s="11" t="s">
        <v>0</v>
      </c>
    </row>
    <row r="7" spans="1:5" x14ac:dyDescent="0.3">
      <c r="B7" s="1" t="s">
        <v>36</v>
      </c>
      <c r="C7" s="1">
        <f>22506100/(515055/100000)^0.7*'Exchange Rate'!C18/'Exchange Rate'!C16*'Exchange Rate'!F18</f>
        <v>62060731.670130365</v>
      </c>
      <c r="D7" s="1" t="s">
        <v>263</v>
      </c>
    </row>
    <row r="8" spans="1:5" s="11" customFormat="1" x14ac:dyDescent="0.3">
      <c r="B8" s="1" t="s">
        <v>2</v>
      </c>
      <c r="C8" s="1">
        <f>18642800/(515055/100000)^0.7*'Exchange Rate'!C18/'Exchange Rate'!C16*'Exchange Rate'!F18</f>
        <v>51407654.297275238</v>
      </c>
      <c r="D8" s="1" t="s">
        <v>263</v>
      </c>
    </row>
    <row r="11" spans="1:5" s="11" customFormat="1" x14ac:dyDescent="0.3">
      <c r="B11" s="11" t="s">
        <v>232</v>
      </c>
      <c r="C11" s="11" t="s">
        <v>233</v>
      </c>
      <c r="D11" s="11" t="s">
        <v>234</v>
      </c>
    </row>
    <row r="12" spans="1:5" x14ac:dyDescent="0.3">
      <c r="B12" s="1" t="s">
        <v>258</v>
      </c>
      <c r="C12" s="1">
        <v>1</v>
      </c>
      <c r="D12" s="1" t="s">
        <v>206</v>
      </c>
    </row>
    <row r="13" spans="1:5" x14ac:dyDescent="0.3">
      <c r="B13" s="1" t="s">
        <v>264</v>
      </c>
      <c r="C13" s="1">
        <v>0.88</v>
      </c>
      <c r="D13" s="1" t="s">
        <v>266</v>
      </c>
    </row>
    <row r="14" spans="1:5" x14ac:dyDescent="0.3">
      <c r="B14" s="1" t="s">
        <v>265</v>
      </c>
      <c r="C14" s="1">
        <v>0.7</v>
      </c>
      <c r="D14" s="1" t="s">
        <v>266</v>
      </c>
    </row>
    <row r="15" spans="1:5" ht="13.5" x14ac:dyDescent="0.3">
      <c r="A15" s="5"/>
      <c r="B15" s="1" t="s">
        <v>36</v>
      </c>
      <c r="C15" s="1">
        <v>0.7</v>
      </c>
      <c r="D15" s="1" t="s">
        <v>235</v>
      </c>
    </row>
    <row r="16" spans="1:5" x14ac:dyDescent="0.3">
      <c r="B16" s="1" t="s">
        <v>2</v>
      </c>
      <c r="C16" s="1">
        <v>0.7</v>
      </c>
      <c r="D16" s="1" t="s">
        <v>235</v>
      </c>
    </row>
    <row r="22" spans="2:6" s="11" customFormat="1" x14ac:dyDescent="0.3">
      <c r="B22" s="11" t="s">
        <v>204</v>
      </c>
      <c r="C22" s="11" t="s">
        <v>233</v>
      </c>
      <c r="E22" s="11" t="s">
        <v>234</v>
      </c>
    </row>
    <row r="23" spans="2:6" ht="13.5" x14ac:dyDescent="0.3">
      <c r="B23" s="1" t="s">
        <v>273</v>
      </c>
      <c r="C23" s="41">
        <v>0.02</v>
      </c>
      <c r="D23" s="1" t="s">
        <v>291</v>
      </c>
      <c r="E23" s="47" t="s">
        <v>289</v>
      </c>
      <c r="F23" s="30"/>
    </row>
    <row r="24" spans="2:6" x14ac:dyDescent="0.3">
      <c r="B24" s="1" t="s">
        <v>267</v>
      </c>
      <c r="C24" s="41">
        <v>2.5000000000000001E-2</v>
      </c>
      <c r="D24" s="1" t="s">
        <v>291</v>
      </c>
      <c r="E24" s="1" t="s">
        <v>290</v>
      </c>
    </row>
    <row r="26" spans="2:6" ht="14" x14ac:dyDescent="0.3">
      <c r="B26" s="25"/>
    </row>
    <row r="27" spans="2:6" ht="14" x14ac:dyDescent="0.3">
      <c r="B27" s="25"/>
    </row>
    <row r="28" spans="2:6" ht="14" x14ac:dyDescent="0.3">
      <c r="B28" s="25"/>
    </row>
    <row r="29" spans="2:6" ht="14" x14ac:dyDescent="0.3">
      <c r="B29" s="25"/>
    </row>
    <row r="30" spans="2:6" ht="14" x14ac:dyDescent="0.3">
      <c r="B30" s="25"/>
    </row>
    <row r="31" spans="2:6" ht="14" x14ac:dyDescent="0.3">
      <c r="B31" s="25"/>
    </row>
    <row r="32" spans="2:6" ht="14" x14ac:dyDescent="0.3">
      <c r="B32" s="25"/>
    </row>
    <row r="33" spans="2:2" ht="14" x14ac:dyDescent="0.3">
      <c r="B33" s="25"/>
    </row>
    <row r="34" spans="2:2" ht="14" x14ac:dyDescent="0.3">
      <c r="B34" s="25"/>
    </row>
    <row r="35" spans="2:2" ht="14" x14ac:dyDescent="0.3">
      <c r="B35" s="25"/>
    </row>
    <row r="36" spans="2:2" ht="14" x14ac:dyDescent="0.3">
      <c r="B36" s="25"/>
    </row>
    <row r="37" spans="2:2" ht="14" x14ac:dyDescent="0.3">
      <c r="B37" s="25"/>
    </row>
    <row r="38" spans="2:2" ht="14" x14ac:dyDescent="0.3">
      <c r="B38" s="25"/>
    </row>
    <row r="39" spans="2:2" ht="14" x14ac:dyDescent="0.3">
      <c r="B39" s="25"/>
    </row>
    <row r="40" spans="2:2" ht="14" x14ac:dyDescent="0.3">
      <c r="B40" s="25"/>
    </row>
    <row r="41" spans="2:2" ht="14" x14ac:dyDescent="0.3">
      <c r="B41" s="25"/>
    </row>
    <row r="42" spans="2:2" ht="14" x14ac:dyDescent="0.3">
      <c r="B42" s="25"/>
    </row>
    <row r="43" spans="2:2" ht="14" x14ac:dyDescent="0.3">
      <c r="B43" s="25"/>
    </row>
    <row r="44" spans="2:2" ht="14" x14ac:dyDescent="0.3">
      <c r="B44" s="25"/>
    </row>
    <row r="45" spans="2:2" ht="14" x14ac:dyDescent="0.3">
      <c r="B45" s="25"/>
    </row>
    <row r="47" spans="2:2" ht="14" x14ac:dyDescent="0.3">
      <c r="B47" s="25"/>
    </row>
    <row r="48" spans="2:2" ht="14" x14ac:dyDescent="0.3">
      <c r="B48" s="25"/>
    </row>
    <row r="49" spans="2:2" ht="14" x14ac:dyDescent="0.3">
      <c r="B49" s="25"/>
    </row>
    <row r="50" spans="2:2" ht="14" x14ac:dyDescent="0.3">
      <c r="B50" s="25"/>
    </row>
    <row r="51" spans="2:2" ht="14" x14ac:dyDescent="0.3">
      <c r="B51" s="25"/>
    </row>
    <row r="52" spans="2:2" s="11" customFormat="1" x14ac:dyDescent="0.3"/>
    <row r="100" spans="7:8" x14ac:dyDescent="0.3">
      <c r="G100" s="23"/>
      <c r="H100" s="23"/>
    </row>
    <row r="113" spans="1:5" ht="14" x14ac:dyDescent="0.3">
      <c r="B113"/>
    </row>
    <row r="118" spans="1:5" x14ac:dyDescent="0.3">
      <c r="E118" s="10"/>
    </row>
    <row r="120" spans="1:5" x14ac:dyDescent="0.3">
      <c r="E120" s="10"/>
    </row>
    <row r="122" spans="1:5" s="11" customFormat="1" x14ac:dyDescent="0.3">
      <c r="A122" s="28" t="s">
        <v>9</v>
      </c>
      <c r="B122" s="11" t="s">
        <v>225</v>
      </c>
      <c r="C122" s="11" t="s">
        <v>3</v>
      </c>
      <c r="D122" s="11" t="s">
        <v>4</v>
      </c>
      <c r="E122" s="11" t="s">
        <v>0</v>
      </c>
    </row>
    <row r="123" spans="1:5" x14ac:dyDescent="0.3">
      <c r="B123" s="1" t="s">
        <v>42</v>
      </c>
      <c r="C123" s="1">
        <v>0.01</v>
      </c>
      <c r="D123" s="1" t="s">
        <v>35</v>
      </c>
      <c r="E123" s="10" t="s">
        <v>268</v>
      </c>
    </row>
    <row r="124" spans="1:5" x14ac:dyDescent="0.3">
      <c r="B124" s="1" t="s">
        <v>6</v>
      </c>
      <c r="C124" s="1">
        <f>2.92*'Exchange Rate'!$E$18*'Exchange Rate'!$C$18/'Exchange Rate'!$C$19</f>
        <v>19.182856798024691</v>
      </c>
      <c r="D124" s="1" t="s">
        <v>35</v>
      </c>
      <c r="E124" s="1" t="s">
        <v>220</v>
      </c>
    </row>
    <row r="125" spans="1:5" x14ac:dyDescent="0.3">
      <c r="B125" s="1" t="s">
        <v>115</v>
      </c>
      <c r="C125" s="1">
        <v>7</v>
      </c>
      <c r="D125" s="1" t="s">
        <v>35</v>
      </c>
      <c r="E125" s="10" t="s">
        <v>268</v>
      </c>
    </row>
    <row r="138" spans="1:5" ht="13.5" customHeight="1" x14ac:dyDescent="0.3"/>
    <row r="139" spans="1:5" s="11" customFormat="1" x14ac:dyDescent="0.3">
      <c r="A139" s="28" t="s">
        <v>9</v>
      </c>
      <c r="B139" s="11" t="s">
        <v>225</v>
      </c>
      <c r="C139" s="11" t="s">
        <v>5</v>
      </c>
      <c r="D139" s="11" t="s">
        <v>4</v>
      </c>
      <c r="E139" s="11" t="s">
        <v>0</v>
      </c>
    </row>
    <row r="140" spans="1:5" x14ac:dyDescent="0.3">
      <c r="B140" s="1" t="s">
        <v>154</v>
      </c>
      <c r="C140" s="1">
        <v>10.349723499999998</v>
      </c>
      <c r="D140" s="1" t="s">
        <v>41</v>
      </c>
      <c r="E140" s="1" t="s">
        <v>269</v>
      </c>
    </row>
    <row r="141" spans="1:5" x14ac:dyDescent="0.3">
      <c r="B141" s="1" t="s">
        <v>42</v>
      </c>
      <c r="C141" s="1">
        <v>1.8877999999999999</v>
      </c>
      <c r="D141" s="1" t="s">
        <v>8</v>
      </c>
      <c r="E141" s="1" t="s">
        <v>270</v>
      </c>
    </row>
    <row r="142" spans="1:5" x14ac:dyDescent="0.3">
      <c r="B142" s="1" t="s">
        <v>6</v>
      </c>
      <c r="C142" s="1">
        <v>5.5250000000000008E-5</v>
      </c>
      <c r="D142" s="1" t="s">
        <v>8</v>
      </c>
      <c r="E142" s="1" t="s">
        <v>271</v>
      </c>
    </row>
    <row r="143" spans="1:5" x14ac:dyDescent="0.3">
      <c r="B143" s="1" t="s">
        <v>115</v>
      </c>
      <c r="C143" s="1">
        <v>6.9848600000000001E-4</v>
      </c>
      <c r="D143" s="1" t="s">
        <v>8</v>
      </c>
      <c r="E143" s="1" t="s">
        <v>272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9370-8BD4-469F-B649-6BDD9FF3E8CA}">
  <dimension ref="B1:O32"/>
  <sheetViews>
    <sheetView zoomScale="70" zoomScaleNormal="70" workbookViewId="0">
      <selection activeCell="C7" sqref="C7"/>
    </sheetView>
  </sheetViews>
  <sheetFormatPr defaultRowHeight="13" x14ac:dyDescent="0.3"/>
  <cols>
    <col min="1" max="1" width="8.6640625" style="23"/>
    <col min="2" max="2" width="19.1640625" style="23" customWidth="1"/>
    <col min="3" max="3" width="22.5" style="40" customWidth="1"/>
    <col min="4" max="5" width="7.4140625" style="40" customWidth="1"/>
    <col min="6" max="14" width="7.4140625" style="23" customWidth="1"/>
    <col min="15" max="15" width="37.5" style="23" customWidth="1"/>
    <col min="16" max="16384" width="8.6640625" style="23"/>
  </cols>
  <sheetData>
    <row r="1" spans="2:15" x14ac:dyDescent="0.3">
      <c r="C1" s="65" t="s">
        <v>187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2:15" s="40" customFormat="1" x14ac:dyDescent="0.3">
      <c r="B2" s="40" t="s">
        <v>188</v>
      </c>
      <c r="C2" s="40" t="s">
        <v>189</v>
      </c>
      <c r="D2" s="40" t="s">
        <v>190</v>
      </c>
      <c r="E2" s="40">
        <v>2018</v>
      </c>
      <c r="F2" s="40">
        <v>2020</v>
      </c>
      <c r="G2" s="40">
        <v>2025</v>
      </c>
      <c r="H2" s="40">
        <v>2030</v>
      </c>
      <c r="I2" s="40">
        <v>2035</v>
      </c>
      <c r="J2" s="40">
        <v>2040</v>
      </c>
      <c r="K2" s="40">
        <v>2045</v>
      </c>
      <c r="L2" s="40">
        <v>2050</v>
      </c>
      <c r="M2" s="40">
        <v>2055</v>
      </c>
      <c r="N2" s="40">
        <v>2060</v>
      </c>
      <c r="O2" s="40" t="s">
        <v>0</v>
      </c>
    </row>
    <row r="3" spans="2:15" ht="15" x14ac:dyDescent="0.3">
      <c r="B3" s="63" t="s">
        <v>183</v>
      </c>
      <c r="C3" s="40" t="s">
        <v>275</v>
      </c>
      <c r="D3" s="40" t="s">
        <v>191</v>
      </c>
      <c r="E3" s="23">
        <v>4200</v>
      </c>
      <c r="F3" s="23">
        <v>4000</v>
      </c>
      <c r="G3" s="23">
        <v>3500</v>
      </c>
      <c r="H3" s="23">
        <v>3000</v>
      </c>
      <c r="I3" s="23">
        <v>2750</v>
      </c>
      <c r="J3" s="23">
        <v>2500</v>
      </c>
      <c r="K3" s="23">
        <v>2350</v>
      </c>
      <c r="L3" s="23">
        <v>2200</v>
      </c>
      <c r="M3" s="23">
        <v>2100</v>
      </c>
      <c r="N3" s="23">
        <v>2000</v>
      </c>
      <c r="O3" s="1" t="s">
        <v>206</v>
      </c>
    </row>
    <row r="4" spans="2:15" x14ac:dyDescent="0.3">
      <c r="B4" s="63"/>
      <c r="C4" s="40" t="s">
        <v>37</v>
      </c>
      <c r="D4" s="40" t="s">
        <v>192</v>
      </c>
      <c r="E4" s="23">
        <f t="shared" ref="E4:E5" si="0">(F4-G4)*2/5+F4</f>
        <v>4793.07</v>
      </c>
      <c r="F4" s="23">
        <f t="shared" ref="F4:N4" si="1">(F5+F3)/2</f>
        <v>4535.75</v>
      </c>
      <c r="G4" s="23">
        <f t="shared" si="1"/>
        <v>3892.4500000000003</v>
      </c>
      <c r="H4" s="23">
        <f t="shared" si="1"/>
        <v>3345.75</v>
      </c>
      <c r="I4" s="23">
        <f t="shared" si="1"/>
        <v>2986.15</v>
      </c>
      <c r="J4" s="23">
        <f t="shared" si="1"/>
        <v>2719.7</v>
      </c>
      <c r="K4" s="23">
        <f t="shared" si="1"/>
        <v>2561.9</v>
      </c>
      <c r="L4" s="23">
        <f t="shared" si="1"/>
        <v>2435.15</v>
      </c>
      <c r="M4" s="23">
        <f t="shared" si="1"/>
        <v>2354.1000000000004</v>
      </c>
      <c r="N4" s="23">
        <f t="shared" si="1"/>
        <v>2293.75</v>
      </c>
      <c r="O4" s="23" t="s">
        <v>114</v>
      </c>
    </row>
    <row r="5" spans="2:15" x14ac:dyDescent="0.3">
      <c r="B5" s="63"/>
      <c r="C5" s="40" t="s">
        <v>37</v>
      </c>
      <c r="D5" s="40" t="s">
        <v>193</v>
      </c>
      <c r="E5" s="23">
        <f t="shared" si="0"/>
        <v>5386.1399999999994</v>
      </c>
      <c r="F5" s="23">
        <v>5071.5</v>
      </c>
      <c r="G5" s="23">
        <v>4284.9000000000005</v>
      </c>
      <c r="H5" s="23">
        <v>3691.5</v>
      </c>
      <c r="I5" s="23">
        <v>3222.3</v>
      </c>
      <c r="J5" s="23">
        <v>2939.4</v>
      </c>
      <c r="K5" s="23">
        <v>2773.8</v>
      </c>
      <c r="L5" s="23">
        <v>2670.3</v>
      </c>
      <c r="M5" s="23">
        <v>2608.2000000000003</v>
      </c>
      <c r="N5" s="23">
        <v>2587.5</v>
      </c>
      <c r="O5" s="23" t="s">
        <v>194</v>
      </c>
    </row>
    <row r="6" spans="2:15" ht="15" x14ac:dyDescent="0.3">
      <c r="B6" s="63" t="s">
        <v>183</v>
      </c>
      <c r="C6" s="40" t="s">
        <v>276</v>
      </c>
      <c r="D6" s="40" t="s">
        <v>191</v>
      </c>
      <c r="E6" s="23">
        <f t="shared" ref="E6:E8" si="2">(F6-G6)*2/5+F6</f>
        <v>6499.8</v>
      </c>
      <c r="F6" s="23">
        <f>930*6.9</f>
        <v>6417</v>
      </c>
      <c r="G6" s="23">
        <f>(F6+H6)/2</f>
        <v>6210</v>
      </c>
      <c r="H6" s="23">
        <f>870*6.9</f>
        <v>6003</v>
      </c>
      <c r="I6" s="23">
        <f>H6+(L6-H6)/20*5</f>
        <v>5882.25</v>
      </c>
      <c r="J6" s="23">
        <f>H6+(L6-H6)/20*10</f>
        <v>5761.5</v>
      </c>
      <c r="K6" s="23">
        <f>H6+(L6-H6)/20*15</f>
        <v>5640.75</v>
      </c>
      <c r="L6" s="23">
        <f>800*6.9</f>
        <v>5520</v>
      </c>
      <c r="M6" s="23">
        <f>H6+(L6-H6)/20*25</f>
        <v>5399.25</v>
      </c>
      <c r="N6" s="23">
        <f>H6+(L6-H6)/20*30</f>
        <v>5278.5</v>
      </c>
      <c r="O6" s="23" t="s">
        <v>195</v>
      </c>
    </row>
    <row r="7" spans="2:15" s="52" customFormat="1" x14ac:dyDescent="0.3">
      <c r="B7" s="63"/>
      <c r="C7" s="40" t="s">
        <v>91</v>
      </c>
      <c r="D7" s="40" t="s">
        <v>192</v>
      </c>
      <c r="E7" s="23">
        <f t="shared" si="2"/>
        <v>6819.9</v>
      </c>
      <c r="F7" s="23">
        <f>(F6+F8)/2</f>
        <v>6708.5</v>
      </c>
      <c r="G7" s="23">
        <f>(G6+G8)/2</f>
        <v>6430</v>
      </c>
      <c r="H7" s="23">
        <f t="shared" ref="H7:N7" si="3">(H6+H8)/2</f>
        <v>6151.5</v>
      </c>
      <c r="I7" s="23">
        <f t="shared" si="3"/>
        <v>5978.625</v>
      </c>
      <c r="J7" s="23">
        <f t="shared" si="3"/>
        <v>5805.75</v>
      </c>
      <c r="K7" s="23">
        <f t="shared" si="3"/>
        <v>5657.875</v>
      </c>
      <c r="L7" s="23">
        <f t="shared" si="3"/>
        <v>5510</v>
      </c>
      <c r="M7" s="23">
        <f t="shared" si="3"/>
        <v>5399.625</v>
      </c>
      <c r="N7" s="23">
        <f t="shared" si="3"/>
        <v>5289.25</v>
      </c>
      <c r="O7" s="23" t="s">
        <v>114</v>
      </c>
    </row>
    <row r="8" spans="2:15" x14ac:dyDescent="0.3">
      <c r="B8" s="63"/>
      <c r="C8" s="40" t="s">
        <v>91</v>
      </c>
      <c r="D8" s="40" t="s">
        <v>193</v>
      </c>
      <c r="E8" s="23">
        <f t="shared" si="2"/>
        <v>7140</v>
      </c>
      <c r="F8" s="23">
        <v>7000</v>
      </c>
      <c r="G8" s="23">
        <f>(F8+H8)/2</f>
        <v>6650</v>
      </c>
      <c r="H8" s="23">
        <v>6300</v>
      </c>
      <c r="I8" s="23">
        <f>(H8+J8)/2</f>
        <v>6075</v>
      </c>
      <c r="J8" s="23">
        <v>5850</v>
      </c>
      <c r="K8" s="23">
        <f>(J8+L8)/2</f>
        <v>5675</v>
      </c>
      <c r="L8" s="23">
        <v>5500</v>
      </c>
      <c r="M8" s="23">
        <f>(L8+N8)/2</f>
        <v>5400</v>
      </c>
      <c r="N8" s="23">
        <v>5300</v>
      </c>
      <c r="O8" s="1" t="s">
        <v>206</v>
      </c>
    </row>
    <row r="9" spans="2:15" ht="15" x14ac:dyDescent="0.3">
      <c r="B9" s="63" t="s">
        <v>183</v>
      </c>
      <c r="C9" s="40" t="s">
        <v>277</v>
      </c>
      <c r="D9" s="40" t="s">
        <v>191</v>
      </c>
      <c r="E9" s="23">
        <v>2615.2800000000002</v>
      </c>
      <c r="F9" s="23">
        <v>2332.4</v>
      </c>
      <c r="G9" s="23">
        <v>1625.2</v>
      </c>
      <c r="H9" s="23">
        <v>918</v>
      </c>
      <c r="I9" s="23">
        <v>855.1</v>
      </c>
      <c r="J9" s="23">
        <v>792.2</v>
      </c>
      <c r="K9" s="23">
        <v>729.3</v>
      </c>
      <c r="L9" s="23">
        <v>666.4</v>
      </c>
      <c r="M9" s="23">
        <v>603.5</v>
      </c>
      <c r="N9" s="23">
        <v>540.59999999999991</v>
      </c>
      <c r="O9" s="1" t="s">
        <v>206</v>
      </c>
    </row>
    <row r="10" spans="2:15" s="52" customFormat="1" ht="15" x14ac:dyDescent="0.3">
      <c r="B10" s="63"/>
      <c r="C10" s="40" t="s">
        <v>277</v>
      </c>
      <c r="D10" s="40" t="s">
        <v>192</v>
      </c>
      <c r="E10" s="23">
        <f>((F10-G10)*2/5+F10)</f>
        <v>4629.6399999999994</v>
      </c>
      <c r="F10" s="23">
        <f>(F9+F11)/2</f>
        <v>4166.2</v>
      </c>
      <c r="G10" s="23">
        <f t="shared" ref="G10:N10" si="4">(G9+G11)/2</f>
        <v>3007.6</v>
      </c>
      <c r="H10" s="23">
        <f t="shared" si="4"/>
        <v>1849</v>
      </c>
      <c r="I10" s="23">
        <f t="shared" si="4"/>
        <v>1622.55</v>
      </c>
      <c r="J10" s="23">
        <f t="shared" si="4"/>
        <v>1396.1</v>
      </c>
      <c r="K10" s="23">
        <f t="shared" si="4"/>
        <v>1277.1500000000001</v>
      </c>
      <c r="L10" s="23">
        <f t="shared" si="4"/>
        <v>1158.2</v>
      </c>
      <c r="M10" s="23">
        <f t="shared" si="4"/>
        <v>1089.25</v>
      </c>
      <c r="N10" s="23">
        <f t="shared" si="4"/>
        <v>1020.3</v>
      </c>
      <c r="O10" s="23" t="s">
        <v>114</v>
      </c>
    </row>
    <row r="11" spans="2:15" ht="14.5" customHeight="1" x14ac:dyDescent="0.3">
      <c r="B11" s="63"/>
      <c r="C11" s="40" t="s">
        <v>278</v>
      </c>
      <c r="D11" s="40" t="s">
        <v>193</v>
      </c>
      <c r="E11" s="23">
        <v>6644</v>
      </c>
      <c r="F11" s="23">
        <v>6000</v>
      </c>
      <c r="G11" s="23">
        <v>4390</v>
      </c>
      <c r="H11" s="23">
        <v>2780</v>
      </c>
      <c r="I11" s="23">
        <v>2390</v>
      </c>
      <c r="J11" s="23">
        <v>2000</v>
      </c>
      <c r="K11" s="23">
        <v>1825</v>
      </c>
      <c r="L11" s="23">
        <v>1650</v>
      </c>
      <c r="M11" s="23">
        <v>1575</v>
      </c>
      <c r="N11" s="23">
        <v>1500</v>
      </c>
      <c r="O11" s="1" t="s">
        <v>235</v>
      </c>
    </row>
    <row r="12" spans="2:15" ht="15" x14ac:dyDescent="0.3">
      <c r="B12" s="63" t="s">
        <v>183</v>
      </c>
      <c r="C12" s="40" t="s">
        <v>376</v>
      </c>
      <c r="D12" s="40" t="s">
        <v>191</v>
      </c>
      <c r="E12" s="23">
        <v>2514.6120000000001</v>
      </c>
      <c r="F12" s="23">
        <v>1965.3679999999999</v>
      </c>
      <c r="G12" s="23">
        <v>1217.6020000000001</v>
      </c>
      <c r="H12" s="23">
        <v>820.55759999999998</v>
      </c>
      <c r="I12" s="23">
        <v>741.14880000000005</v>
      </c>
      <c r="J12" s="23">
        <v>661.74</v>
      </c>
      <c r="K12" s="23">
        <v>582.33119999999997</v>
      </c>
      <c r="L12" s="23">
        <v>502.92239999999998</v>
      </c>
      <c r="M12" s="23">
        <v>423.5136</v>
      </c>
      <c r="N12" s="23">
        <v>344.10480000000001</v>
      </c>
      <c r="O12" s="1" t="s">
        <v>375</v>
      </c>
    </row>
    <row r="13" spans="2:15" s="52" customFormat="1" ht="15" x14ac:dyDescent="0.3">
      <c r="B13" s="63"/>
      <c r="C13" s="40" t="s">
        <v>376</v>
      </c>
      <c r="D13" s="40" t="s">
        <v>192</v>
      </c>
      <c r="E13" s="23">
        <v>2514.6120000000001</v>
      </c>
      <c r="F13" s="23">
        <v>2170.5070000000001</v>
      </c>
      <c r="G13" s="23">
        <v>1700.672</v>
      </c>
      <c r="H13" s="23">
        <v>1406.1980000000001</v>
      </c>
      <c r="I13" s="23">
        <v>1333.4059999999999</v>
      </c>
      <c r="J13" s="23">
        <v>1263.923</v>
      </c>
      <c r="K13" s="23">
        <v>1194.441</v>
      </c>
      <c r="L13" s="23">
        <v>1121.6489999999999</v>
      </c>
      <c r="M13" s="23">
        <v>1048.8579999999999</v>
      </c>
      <c r="N13" s="23">
        <v>976.06650000000002</v>
      </c>
      <c r="O13" s="23" t="s">
        <v>373</v>
      </c>
    </row>
    <row r="14" spans="2:15" ht="14.5" customHeight="1" x14ac:dyDescent="0.3">
      <c r="B14" s="63"/>
      <c r="C14" s="40" t="s">
        <v>376</v>
      </c>
      <c r="D14" s="40" t="s">
        <v>193</v>
      </c>
      <c r="E14" s="23">
        <v>2514.6120000000001</v>
      </c>
      <c r="F14" s="23">
        <v>2375.6469999999999</v>
      </c>
      <c r="G14" s="23">
        <v>2183.7420000000002</v>
      </c>
      <c r="H14" s="23">
        <v>1991.837</v>
      </c>
      <c r="I14" s="23">
        <v>1925.663</v>
      </c>
      <c r="J14" s="23">
        <v>1866.107</v>
      </c>
      <c r="K14" s="23">
        <v>1806.55</v>
      </c>
      <c r="L14" s="23">
        <v>1740.376</v>
      </c>
      <c r="M14" s="23">
        <v>1674.202</v>
      </c>
      <c r="N14" s="23">
        <v>1608.028</v>
      </c>
      <c r="O14" s="1" t="s">
        <v>374</v>
      </c>
    </row>
    <row r="15" spans="2:15" x14ac:dyDescent="0.3">
      <c r="B15" s="63"/>
      <c r="E15" s="23"/>
      <c r="O15" s="1"/>
    </row>
    <row r="16" spans="2:15" s="52" customFormat="1" x14ac:dyDescent="0.3">
      <c r="B16" s="63"/>
      <c r="C16" s="51"/>
      <c r="D16" s="51"/>
    </row>
    <row r="17" spans="2:15" ht="14.5" customHeight="1" x14ac:dyDescent="0.3">
      <c r="B17" s="63"/>
      <c r="E17" s="23"/>
      <c r="O17" s="1"/>
    </row>
    <row r="18" spans="2:15" ht="15" x14ac:dyDescent="0.3">
      <c r="B18" s="63" t="s">
        <v>282</v>
      </c>
      <c r="C18" s="11" t="s">
        <v>279</v>
      </c>
      <c r="D18" s="11" t="s">
        <v>191</v>
      </c>
      <c r="E18" s="23">
        <f t="shared" ref="E18:E26" si="5">(F18-G18)*2/5+F18</f>
        <v>907.10065454035828</v>
      </c>
      <c r="F18" s="23">
        <f>G18-H18+G18</f>
        <v>875.27256139859105</v>
      </c>
      <c r="G18" s="23">
        <v>795.70232854417304</v>
      </c>
      <c r="H18" s="23">
        <v>716.13209568975503</v>
      </c>
      <c r="I18" s="23">
        <v>556.99162998092095</v>
      </c>
      <c r="J18" s="23">
        <v>397.85116427208601</v>
      </c>
      <c r="K18" s="23">
        <f>(J18+L18)/2</f>
        <v>318.28093141766902</v>
      </c>
      <c r="L18" s="23">
        <v>238.71069856325201</v>
      </c>
      <c r="M18" s="23">
        <f>(L18+N18)/2</f>
        <v>198.92558213604099</v>
      </c>
      <c r="N18" s="23">
        <v>159.14046570882999</v>
      </c>
      <c r="O18" s="1" t="s">
        <v>245</v>
      </c>
    </row>
    <row r="19" spans="2:15" ht="15" x14ac:dyDescent="0.3">
      <c r="B19" s="63"/>
      <c r="C19" s="11" t="s">
        <v>279</v>
      </c>
      <c r="D19" s="11" t="s">
        <v>192</v>
      </c>
      <c r="E19" s="23">
        <f t="shared" si="5"/>
        <v>1448.1782379503973</v>
      </c>
      <c r="F19" s="23">
        <f>(F18+F20)/2</f>
        <v>1352.6939585250957</v>
      </c>
      <c r="G19" s="23">
        <f t="shared" ref="G19:N19" si="6">(G18+G20)/2</f>
        <v>1113.9832599618417</v>
      </c>
      <c r="H19" s="23">
        <f t="shared" si="6"/>
        <v>875.27256139858753</v>
      </c>
      <c r="I19" s="23">
        <f t="shared" si="6"/>
        <v>596.7767464081295</v>
      </c>
      <c r="J19" s="23">
        <f t="shared" si="6"/>
        <v>477.42139712650351</v>
      </c>
      <c r="K19" s="23">
        <f t="shared" si="6"/>
        <v>397.85116427208629</v>
      </c>
      <c r="L19" s="23">
        <f t="shared" si="6"/>
        <v>318.28093141766902</v>
      </c>
      <c r="M19" s="23">
        <f t="shared" si="6"/>
        <v>278.49581499045928</v>
      </c>
      <c r="N19" s="23">
        <f t="shared" si="6"/>
        <v>238.71069856324951</v>
      </c>
      <c r="O19" s="23" t="s">
        <v>114</v>
      </c>
    </row>
    <row r="20" spans="2:15" ht="15" x14ac:dyDescent="0.3">
      <c r="B20" s="63"/>
      <c r="C20" s="11" t="s">
        <v>279</v>
      </c>
      <c r="D20" s="11" t="s">
        <v>193</v>
      </c>
      <c r="E20" s="23">
        <f t="shared" si="5"/>
        <v>1989.2558213604361</v>
      </c>
      <c r="F20" s="23">
        <f>G20-H20+G20</f>
        <v>1830.1153556516001</v>
      </c>
      <c r="G20" s="23">
        <v>1432.2641913795101</v>
      </c>
      <c r="H20" s="23">
        <v>1034.41302710742</v>
      </c>
      <c r="I20" s="23">
        <v>636.56186283533805</v>
      </c>
      <c r="J20" s="23">
        <v>556.99162998092095</v>
      </c>
      <c r="K20" s="23">
        <f>(J20+L20)/2</f>
        <v>477.42139712650351</v>
      </c>
      <c r="L20" s="23">
        <v>397.85116427208601</v>
      </c>
      <c r="M20" s="23">
        <f>(L20+N20)/2</f>
        <v>358.06604784487752</v>
      </c>
      <c r="N20" s="23">
        <v>318.28093141766902</v>
      </c>
      <c r="O20" s="1" t="s">
        <v>245</v>
      </c>
    </row>
    <row r="21" spans="2:15" ht="15" x14ac:dyDescent="0.3">
      <c r="B21" s="63" t="s">
        <v>283</v>
      </c>
      <c r="C21" s="11" t="s">
        <v>280</v>
      </c>
      <c r="D21" s="11" t="s">
        <v>191</v>
      </c>
      <c r="E21" s="23">
        <f t="shared" si="5"/>
        <v>8.4703656726493364</v>
      </c>
      <c r="F21" s="23">
        <f>G21-H21+G21</f>
        <v>8.1099245801961715</v>
      </c>
      <c r="G21" s="23">
        <v>7.2088218490632601</v>
      </c>
      <c r="H21" s="23">
        <v>6.3077191179303496</v>
      </c>
      <c r="I21" s="23">
        <v>5.4066163867974497</v>
      </c>
      <c r="J21" s="23">
        <v>4.5055136556645401</v>
      </c>
      <c r="K21" s="23">
        <f>(J21+L21)/2</f>
        <v>4.2802379728813147</v>
      </c>
      <c r="L21" s="23">
        <v>4.0549622900980902</v>
      </c>
      <c r="M21" s="23">
        <f>(L21+N21)/2</f>
        <v>3.8296866073148603</v>
      </c>
      <c r="N21" s="23">
        <v>3.60441092453163</v>
      </c>
      <c r="O21" s="1" t="s">
        <v>245</v>
      </c>
    </row>
    <row r="22" spans="2:15" ht="15" x14ac:dyDescent="0.3">
      <c r="B22" s="63"/>
      <c r="C22" s="11" t="s">
        <v>280</v>
      </c>
      <c r="D22" s="11" t="s">
        <v>192</v>
      </c>
      <c r="E22" s="23">
        <f t="shared" si="5"/>
        <v>11.173673866048047</v>
      </c>
      <c r="F22" s="23">
        <f>(F21+F23)/2</f>
        <v>10.813232773594885</v>
      </c>
      <c r="G22" s="23">
        <f t="shared" ref="G22:N22" si="7">(G21+G23)/2</f>
        <v>9.91213004246198</v>
      </c>
      <c r="H22" s="23">
        <f t="shared" si="7"/>
        <v>9.0110273113290749</v>
      </c>
      <c r="I22" s="23">
        <f t="shared" si="7"/>
        <v>8.109924580196175</v>
      </c>
      <c r="J22" s="23">
        <f t="shared" si="7"/>
        <v>7.2088218490632654</v>
      </c>
      <c r="K22" s="23">
        <f t="shared" si="7"/>
        <v>7.0961840076716527</v>
      </c>
      <c r="L22" s="23">
        <f t="shared" si="7"/>
        <v>6.9835461662800409</v>
      </c>
      <c r="M22" s="23">
        <f t="shared" si="7"/>
        <v>6.6456326421051974</v>
      </c>
      <c r="N22" s="23">
        <f t="shared" si="7"/>
        <v>6.3077191179303549</v>
      </c>
      <c r="O22" s="23" t="s">
        <v>114</v>
      </c>
    </row>
    <row r="23" spans="2:15" ht="15" x14ac:dyDescent="0.3">
      <c r="B23" s="63"/>
      <c r="C23" s="11" t="s">
        <v>280</v>
      </c>
      <c r="D23" s="11" t="s">
        <v>193</v>
      </c>
      <c r="E23" s="23">
        <f t="shared" si="5"/>
        <v>13.876982059446759</v>
      </c>
      <c r="F23" s="23">
        <f>G23-H23+G23</f>
        <v>13.516540966993599</v>
      </c>
      <c r="G23" s="23">
        <v>12.615438235860699</v>
      </c>
      <c r="H23" s="23">
        <v>11.714335504727799</v>
      </c>
      <c r="I23" s="23">
        <v>10.813232773594899</v>
      </c>
      <c r="J23" s="23">
        <v>9.9121300424619907</v>
      </c>
      <c r="K23" s="23">
        <f>(J23+L23)/2</f>
        <v>9.9121300424619907</v>
      </c>
      <c r="L23" s="23">
        <v>9.9121300424619907</v>
      </c>
      <c r="M23" s="23">
        <f>(L23+N23)/2</f>
        <v>9.4615786768955346</v>
      </c>
      <c r="N23" s="23">
        <v>9.0110273113290802</v>
      </c>
      <c r="O23" s="1" t="s">
        <v>245</v>
      </c>
    </row>
    <row r="24" spans="2:15" ht="15" x14ac:dyDescent="0.3">
      <c r="B24" s="63" t="s">
        <v>282</v>
      </c>
      <c r="C24" s="11" t="s">
        <v>281</v>
      </c>
      <c r="D24" s="11" t="s">
        <v>191</v>
      </c>
      <c r="E24" s="23">
        <f t="shared" si="5"/>
        <v>496.21799788340519</v>
      </c>
      <c r="F24" s="23">
        <f>G24-H24+G24</f>
        <v>465.20454683122597</v>
      </c>
      <c r="G24" s="23">
        <v>387.67091920077797</v>
      </c>
      <c r="H24" s="23">
        <v>310.13729157032998</v>
      </c>
      <c r="I24" s="23">
        <v>271.37013012403798</v>
      </c>
      <c r="J24" s="23">
        <v>232.60296867774699</v>
      </c>
      <c r="K24" s="23">
        <f>(J24+L24)/2</f>
        <v>213.21938795460147</v>
      </c>
      <c r="L24" s="23">
        <v>193.83580723145599</v>
      </c>
      <c r="M24" s="23">
        <f>(L24+N24)/2</f>
        <v>174.4522265083105</v>
      </c>
      <c r="N24" s="23">
        <v>155.06864578516499</v>
      </c>
      <c r="O24" s="1" t="s">
        <v>245</v>
      </c>
    </row>
    <row r="25" spans="2:15" ht="15" x14ac:dyDescent="0.3">
      <c r="B25" s="63"/>
      <c r="C25" s="11" t="s">
        <v>281</v>
      </c>
      <c r="D25" s="11" t="s">
        <v>192</v>
      </c>
      <c r="E25" s="23">
        <f t="shared" si="5"/>
        <v>534.98599364425695</v>
      </c>
      <c r="F25" s="23">
        <f>(F24+F26)/2</f>
        <v>503.97240353965094</v>
      </c>
      <c r="G25" s="23">
        <f t="shared" ref="G25:N25" si="8">(G24+G26)/2</f>
        <v>426.43842827813597</v>
      </c>
      <c r="H25" s="23">
        <f t="shared" si="8"/>
        <v>348.90445301662101</v>
      </c>
      <c r="I25" s="23">
        <f t="shared" si="8"/>
        <v>290.75371084718398</v>
      </c>
      <c r="J25" s="23">
        <f t="shared" si="8"/>
        <v>251.9865494008925</v>
      </c>
      <c r="K25" s="23">
        <f t="shared" si="8"/>
        <v>232.60296867774699</v>
      </c>
      <c r="L25" s="23">
        <f t="shared" si="8"/>
        <v>213.21938795460147</v>
      </c>
      <c r="M25" s="23">
        <f t="shared" si="8"/>
        <v>193.83580723145599</v>
      </c>
      <c r="N25" s="23">
        <f t="shared" si="8"/>
        <v>174.4522265083105</v>
      </c>
      <c r="O25" s="23" t="s">
        <v>114</v>
      </c>
    </row>
    <row r="26" spans="2:15" ht="15" x14ac:dyDescent="0.3">
      <c r="B26" s="63"/>
      <c r="C26" s="11" t="s">
        <v>281</v>
      </c>
      <c r="D26" s="11" t="s">
        <v>193</v>
      </c>
      <c r="E26" s="23">
        <f t="shared" si="5"/>
        <v>573.75398940510877</v>
      </c>
      <c r="F26" s="23">
        <f>G26-H26+G26</f>
        <v>542.74026024807597</v>
      </c>
      <c r="G26" s="23">
        <v>465.20593735549397</v>
      </c>
      <c r="H26" s="23">
        <v>387.67161446291198</v>
      </c>
      <c r="I26" s="23">
        <v>310.13729157032998</v>
      </c>
      <c r="J26" s="23">
        <v>271.37013012403798</v>
      </c>
      <c r="K26" s="23">
        <f>(J26+L26)/2</f>
        <v>251.9865494008925</v>
      </c>
      <c r="L26" s="23">
        <v>232.60296867774699</v>
      </c>
      <c r="M26" s="23">
        <f>(L26+N26)/2</f>
        <v>213.21938795460147</v>
      </c>
      <c r="N26" s="23">
        <v>193.83580723145599</v>
      </c>
      <c r="O26" s="1" t="s">
        <v>245</v>
      </c>
    </row>
    <row r="27" spans="2:15" x14ac:dyDescent="0.3">
      <c r="B27" s="13"/>
      <c r="C27" s="11"/>
      <c r="D27" s="11"/>
      <c r="E27" s="11"/>
    </row>
    <row r="28" spans="2:15" x14ac:dyDescent="0.3">
      <c r="B28" s="13"/>
      <c r="C28" s="11"/>
      <c r="D28" s="11"/>
      <c r="E28" s="11"/>
      <c r="F28" s="11"/>
      <c r="G28" s="11"/>
      <c r="H28" s="11"/>
    </row>
    <row r="29" spans="2:15" x14ac:dyDescent="0.3">
      <c r="C29" s="40" t="s">
        <v>196</v>
      </c>
    </row>
    <row r="30" spans="2:15" x14ac:dyDescent="0.3">
      <c r="C30" s="64" t="s">
        <v>293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</row>
    <row r="31" spans="2:15" x14ac:dyDescent="0.3">
      <c r="C31" s="48" t="s">
        <v>292</v>
      </c>
    </row>
    <row r="32" spans="2:15" x14ac:dyDescent="0.3">
      <c r="C32" s="40" t="s">
        <v>294</v>
      </c>
    </row>
  </sheetData>
  <mergeCells count="10">
    <mergeCell ref="B18:B20"/>
    <mergeCell ref="B21:B23"/>
    <mergeCell ref="B24:B26"/>
    <mergeCell ref="C30:O30"/>
    <mergeCell ref="C1:O1"/>
    <mergeCell ref="B3:B5"/>
    <mergeCell ref="B6:B8"/>
    <mergeCell ref="B9:B11"/>
    <mergeCell ref="B12:B14"/>
    <mergeCell ref="B15:B1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76B1-F25F-4BE3-8C68-74C80102F6E8}">
  <dimension ref="A1:O32"/>
  <sheetViews>
    <sheetView workbookViewId="0">
      <selection activeCell="H13" sqref="H13"/>
    </sheetView>
  </sheetViews>
  <sheetFormatPr defaultRowHeight="14" x14ac:dyDescent="0.3"/>
  <sheetData>
    <row r="1" spans="1:15" x14ac:dyDescent="0.3">
      <c r="A1" s="54"/>
      <c r="B1" s="54"/>
      <c r="C1" s="68" t="s">
        <v>340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15" x14ac:dyDescent="0.3">
      <c r="A2" s="55"/>
      <c r="B2" s="55" t="s">
        <v>341</v>
      </c>
      <c r="C2" s="55" t="s">
        <v>342</v>
      </c>
      <c r="D2" s="55" t="s">
        <v>343</v>
      </c>
      <c r="E2" s="55">
        <v>2018</v>
      </c>
      <c r="F2" s="55">
        <v>2020</v>
      </c>
      <c r="G2" s="55">
        <v>2025</v>
      </c>
      <c r="H2" s="55">
        <v>2030</v>
      </c>
      <c r="I2" s="55">
        <v>2035</v>
      </c>
      <c r="J2" s="55">
        <v>2040</v>
      </c>
      <c r="K2" s="55">
        <v>2045</v>
      </c>
      <c r="L2" s="55">
        <v>2050</v>
      </c>
      <c r="M2" s="55">
        <v>2055</v>
      </c>
      <c r="N2" s="55">
        <v>2060</v>
      </c>
      <c r="O2" s="55" t="s">
        <v>201</v>
      </c>
    </row>
    <row r="3" spans="1:15" ht="15" x14ac:dyDescent="0.3">
      <c r="A3" s="54"/>
      <c r="B3" s="66" t="s">
        <v>344</v>
      </c>
      <c r="C3" s="55" t="s">
        <v>345</v>
      </c>
      <c r="D3" s="55" t="s">
        <v>346</v>
      </c>
      <c r="E3" s="57">
        <v>4200</v>
      </c>
      <c r="F3" s="57">
        <v>4000</v>
      </c>
      <c r="G3" s="57">
        <v>3500</v>
      </c>
      <c r="H3" s="57">
        <v>3000</v>
      </c>
      <c r="I3" s="57">
        <v>2750</v>
      </c>
      <c r="J3" s="57">
        <v>2500</v>
      </c>
      <c r="K3" s="57">
        <v>2350</v>
      </c>
      <c r="L3" s="57">
        <v>2200</v>
      </c>
      <c r="M3" s="57">
        <v>2100</v>
      </c>
      <c r="N3" s="54">
        <v>2000</v>
      </c>
      <c r="O3" s="58" t="s">
        <v>347</v>
      </c>
    </row>
    <row r="4" spans="1:15" x14ac:dyDescent="0.3">
      <c r="A4" s="54"/>
      <c r="B4" s="66"/>
      <c r="C4" s="55" t="s">
        <v>185</v>
      </c>
      <c r="D4" s="55" t="s">
        <v>348</v>
      </c>
      <c r="E4" s="57">
        <v>4793.07</v>
      </c>
      <c r="F4" s="57">
        <v>4535.75</v>
      </c>
      <c r="G4" s="57">
        <v>3892.45</v>
      </c>
      <c r="H4" s="57">
        <v>3345.75</v>
      </c>
      <c r="I4" s="57">
        <v>2986.15</v>
      </c>
      <c r="J4" s="57">
        <v>2719.7</v>
      </c>
      <c r="K4" s="57">
        <v>2561.9</v>
      </c>
      <c r="L4" s="57">
        <v>2435.15</v>
      </c>
      <c r="M4" s="57">
        <v>2354.1</v>
      </c>
      <c r="N4" s="54">
        <v>2293.75</v>
      </c>
      <c r="O4" s="54" t="s">
        <v>315</v>
      </c>
    </row>
    <row r="5" spans="1:15" x14ac:dyDescent="0.3">
      <c r="A5" s="54"/>
      <c r="B5" s="66"/>
      <c r="C5" s="55" t="s">
        <v>185</v>
      </c>
      <c r="D5" s="55" t="s">
        <v>349</v>
      </c>
      <c r="E5" s="57">
        <v>5386.14</v>
      </c>
      <c r="F5" s="57">
        <v>5071.5</v>
      </c>
      <c r="G5" s="57">
        <v>4284.8999999999996</v>
      </c>
      <c r="H5" s="57">
        <v>3691.5</v>
      </c>
      <c r="I5" s="57">
        <v>3222.3</v>
      </c>
      <c r="J5" s="57">
        <v>2939.4</v>
      </c>
      <c r="K5" s="57">
        <v>2773.8</v>
      </c>
      <c r="L5" s="57">
        <v>2670.3</v>
      </c>
      <c r="M5" s="57">
        <v>2608.1999999999998</v>
      </c>
      <c r="N5" s="54">
        <v>2587.5</v>
      </c>
      <c r="O5" s="54" t="s">
        <v>194</v>
      </c>
    </row>
    <row r="6" spans="1:15" ht="15" x14ac:dyDescent="0.3">
      <c r="A6" s="54"/>
      <c r="B6" s="66" t="s">
        <v>344</v>
      </c>
      <c r="C6" s="55" t="s">
        <v>350</v>
      </c>
      <c r="D6" s="55" t="s">
        <v>346</v>
      </c>
      <c r="E6" s="54">
        <v>6499.8</v>
      </c>
      <c r="F6" s="54">
        <v>6417</v>
      </c>
      <c r="G6" s="54">
        <v>6210</v>
      </c>
      <c r="H6" s="54">
        <v>6003</v>
      </c>
      <c r="I6" s="54">
        <v>5882.25</v>
      </c>
      <c r="J6" s="54">
        <v>5761.5</v>
      </c>
      <c r="K6" s="54">
        <v>5640.75</v>
      </c>
      <c r="L6" s="54">
        <v>5520</v>
      </c>
      <c r="M6" s="54">
        <v>5399.25</v>
      </c>
      <c r="N6" s="54">
        <v>5278.5</v>
      </c>
      <c r="O6" s="54" t="s">
        <v>195</v>
      </c>
    </row>
    <row r="7" spans="1:15" x14ac:dyDescent="0.3">
      <c r="A7" s="52"/>
      <c r="B7" s="66"/>
      <c r="C7" s="51" t="s">
        <v>296</v>
      </c>
      <c r="D7" s="51" t="s">
        <v>348</v>
      </c>
      <c r="E7" s="52">
        <v>6819.9</v>
      </c>
      <c r="F7" s="52">
        <v>6708.5</v>
      </c>
      <c r="G7" s="52">
        <v>6430</v>
      </c>
      <c r="H7" s="52">
        <v>6151.5</v>
      </c>
      <c r="I7" s="52">
        <v>5978.625</v>
      </c>
      <c r="J7" s="52">
        <v>5805.75</v>
      </c>
      <c r="K7" s="52">
        <v>5657.875</v>
      </c>
      <c r="L7" s="52">
        <v>5510</v>
      </c>
      <c r="M7" s="52">
        <v>5399.625</v>
      </c>
      <c r="N7" s="52">
        <v>5289.25</v>
      </c>
      <c r="O7" s="52" t="s">
        <v>315</v>
      </c>
    </row>
    <row r="8" spans="1:15" x14ac:dyDescent="0.3">
      <c r="A8" s="54"/>
      <c r="B8" s="66"/>
      <c r="C8" s="55" t="s">
        <v>296</v>
      </c>
      <c r="D8" s="55" t="s">
        <v>349</v>
      </c>
      <c r="E8" s="54">
        <v>7140</v>
      </c>
      <c r="F8" s="54">
        <v>7000</v>
      </c>
      <c r="G8" s="54">
        <v>6650</v>
      </c>
      <c r="H8" s="54">
        <v>6300</v>
      </c>
      <c r="I8" s="54">
        <v>6075</v>
      </c>
      <c r="J8" s="54">
        <v>5850</v>
      </c>
      <c r="K8" s="54">
        <v>5675</v>
      </c>
      <c r="L8" s="54">
        <v>5500</v>
      </c>
      <c r="M8" s="54">
        <v>5400</v>
      </c>
      <c r="N8" s="54">
        <v>5300</v>
      </c>
      <c r="O8" s="58" t="s">
        <v>347</v>
      </c>
    </row>
    <row r="9" spans="1:15" ht="15" x14ac:dyDescent="0.3">
      <c r="A9" s="54"/>
      <c r="B9" s="66" t="s">
        <v>344</v>
      </c>
      <c r="C9" s="55" t="s">
        <v>351</v>
      </c>
      <c r="D9" s="55" t="s">
        <v>346</v>
      </c>
      <c r="E9" s="54">
        <v>2615.2800000000002</v>
      </c>
      <c r="F9" s="54">
        <v>2332.4</v>
      </c>
      <c r="G9" s="54">
        <v>1625.2</v>
      </c>
      <c r="H9" s="54">
        <v>918</v>
      </c>
      <c r="I9" s="54">
        <v>855.1</v>
      </c>
      <c r="J9" s="54">
        <v>792.2</v>
      </c>
      <c r="K9" s="54">
        <v>729.3</v>
      </c>
      <c r="L9" s="54">
        <v>666.4</v>
      </c>
      <c r="M9" s="54">
        <v>603.5</v>
      </c>
      <c r="N9" s="54">
        <v>540.6</v>
      </c>
      <c r="O9" s="58" t="s">
        <v>347</v>
      </c>
    </row>
    <row r="10" spans="1:15" ht="15" x14ac:dyDescent="0.3">
      <c r="A10" s="52"/>
      <c r="B10" s="66"/>
      <c r="C10" s="51" t="s">
        <v>352</v>
      </c>
      <c r="D10" s="51" t="s">
        <v>348</v>
      </c>
      <c r="E10" s="52">
        <v>253733</v>
      </c>
      <c r="F10" s="52">
        <v>228333.6</v>
      </c>
      <c r="G10" s="52">
        <v>164835.1</v>
      </c>
      <c r="H10" s="52">
        <v>101336.7</v>
      </c>
      <c r="I10" s="52">
        <v>88925.8</v>
      </c>
      <c r="J10" s="52">
        <v>76514.929999999993</v>
      </c>
      <c r="K10" s="52">
        <v>69995.740000000005</v>
      </c>
      <c r="L10" s="52">
        <v>63476.54</v>
      </c>
      <c r="M10" s="52">
        <v>59697.65</v>
      </c>
      <c r="N10" s="52">
        <v>55918.76</v>
      </c>
      <c r="O10" s="52" t="s">
        <v>315</v>
      </c>
    </row>
    <row r="11" spans="1:15" ht="15" x14ac:dyDescent="0.3">
      <c r="A11" s="54"/>
      <c r="B11" s="66"/>
      <c r="C11" s="55" t="s">
        <v>353</v>
      </c>
      <c r="D11" s="55" t="s">
        <v>349</v>
      </c>
      <c r="E11" s="54">
        <v>6644</v>
      </c>
      <c r="F11" s="54">
        <v>6000</v>
      </c>
      <c r="G11" s="54">
        <v>4390</v>
      </c>
      <c r="H11" s="54">
        <v>2780</v>
      </c>
      <c r="I11" s="54">
        <v>2390</v>
      </c>
      <c r="J11" s="54">
        <v>2000</v>
      </c>
      <c r="K11" s="54">
        <v>1825</v>
      </c>
      <c r="L11" s="54">
        <v>1650</v>
      </c>
      <c r="M11" s="54">
        <v>1575</v>
      </c>
      <c r="N11" s="54">
        <v>1500</v>
      </c>
      <c r="O11" s="58" t="s">
        <v>235</v>
      </c>
    </row>
    <row r="12" spans="1:15" x14ac:dyDescent="0.3">
      <c r="A12" s="54"/>
      <c r="B12" s="66" t="s">
        <v>344</v>
      </c>
      <c r="C12" s="55" t="s">
        <v>354</v>
      </c>
      <c r="D12" s="55" t="s">
        <v>346</v>
      </c>
      <c r="E12" s="54">
        <v>2514.6120000000001</v>
      </c>
      <c r="F12" s="54">
        <v>1965.3679999999999</v>
      </c>
      <c r="G12" s="54">
        <v>1217.6020000000001</v>
      </c>
      <c r="H12" s="54">
        <v>820.55759999999998</v>
      </c>
      <c r="I12" s="54">
        <v>741.14880000000005</v>
      </c>
      <c r="J12" s="54">
        <v>661.74</v>
      </c>
      <c r="K12" s="54">
        <v>582.33119999999997</v>
      </c>
      <c r="L12" s="54">
        <v>502.92239999999998</v>
      </c>
      <c r="M12" s="54">
        <v>423.5136</v>
      </c>
      <c r="N12" s="54">
        <v>344.10480000000001</v>
      </c>
      <c r="O12" s="58"/>
    </row>
    <row r="13" spans="1:15" x14ac:dyDescent="0.3">
      <c r="A13" s="52"/>
      <c r="B13" s="66"/>
      <c r="C13" s="51" t="s">
        <v>354</v>
      </c>
      <c r="D13" s="51" t="s">
        <v>348</v>
      </c>
      <c r="E13" s="52">
        <v>2514.6120000000001</v>
      </c>
      <c r="F13" s="52">
        <v>2170.5070000000001</v>
      </c>
      <c r="G13" s="52">
        <v>1700.672</v>
      </c>
      <c r="H13" s="52">
        <v>1406.1980000000001</v>
      </c>
      <c r="I13" s="52">
        <v>1333.4059999999999</v>
      </c>
      <c r="J13" s="52">
        <v>1263.923</v>
      </c>
      <c r="K13" s="52">
        <v>1194.441</v>
      </c>
      <c r="L13" s="52">
        <v>1121.6489999999999</v>
      </c>
      <c r="M13" s="52">
        <v>1048.8579999999999</v>
      </c>
      <c r="N13" s="52">
        <v>976.06650000000002</v>
      </c>
      <c r="O13" s="52"/>
    </row>
    <row r="14" spans="1:15" x14ac:dyDescent="0.3">
      <c r="A14" s="54"/>
      <c r="B14" s="66"/>
      <c r="C14" s="55" t="s">
        <v>354</v>
      </c>
      <c r="D14" s="55" t="s">
        <v>349</v>
      </c>
      <c r="E14" s="54">
        <v>2514.6120000000001</v>
      </c>
      <c r="F14" s="54">
        <v>2375.6469999999999</v>
      </c>
      <c r="G14" s="54">
        <v>2183.7420000000002</v>
      </c>
      <c r="H14" s="54">
        <v>1991.837</v>
      </c>
      <c r="I14" s="54">
        <v>1925.663</v>
      </c>
      <c r="J14" s="54">
        <v>1866.107</v>
      </c>
      <c r="K14" s="54">
        <v>1806.55</v>
      </c>
      <c r="L14" s="54">
        <v>1740.376</v>
      </c>
      <c r="M14" s="54">
        <v>1674.202</v>
      </c>
      <c r="N14" s="54">
        <v>1608.028</v>
      </c>
      <c r="O14" s="58"/>
    </row>
    <row r="15" spans="1:15" x14ac:dyDescent="0.3">
      <c r="A15" s="54"/>
      <c r="B15" s="66"/>
      <c r="C15" s="55"/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8"/>
    </row>
    <row r="16" spans="1:15" x14ac:dyDescent="0.3">
      <c r="A16" s="52"/>
      <c r="B16" s="66"/>
      <c r="C16" s="51"/>
      <c r="D16" s="51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1:15" x14ac:dyDescent="0.3">
      <c r="A17" s="54"/>
      <c r="B17" s="66"/>
      <c r="C17" s="55"/>
      <c r="D17" s="55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8"/>
    </row>
    <row r="18" spans="1:15" ht="15" x14ac:dyDescent="0.3">
      <c r="A18" s="54"/>
      <c r="B18" s="66" t="s">
        <v>355</v>
      </c>
      <c r="C18" s="59" t="s">
        <v>356</v>
      </c>
      <c r="D18" s="59" t="s">
        <v>346</v>
      </c>
      <c r="E18" s="54">
        <v>907.10069999999996</v>
      </c>
      <c r="F18" s="54">
        <v>875.27260000000001</v>
      </c>
      <c r="G18" s="54">
        <v>795.70230000000004</v>
      </c>
      <c r="H18" s="54">
        <v>716.13210000000004</v>
      </c>
      <c r="I18" s="54">
        <v>556.99159999999995</v>
      </c>
      <c r="J18" s="54">
        <v>397.85120000000001</v>
      </c>
      <c r="K18" s="54">
        <v>318.28089999999997</v>
      </c>
      <c r="L18" s="54">
        <v>238.7107</v>
      </c>
      <c r="M18" s="54">
        <v>198.9256</v>
      </c>
      <c r="N18" s="54">
        <v>159.1405</v>
      </c>
      <c r="O18" s="58" t="s">
        <v>357</v>
      </c>
    </row>
    <row r="19" spans="1:15" ht="15" x14ac:dyDescent="0.3">
      <c r="A19" s="54"/>
      <c r="B19" s="66"/>
      <c r="C19" s="59" t="s">
        <v>356</v>
      </c>
      <c r="D19" s="59" t="s">
        <v>348</v>
      </c>
      <c r="E19" s="54">
        <v>1448.1780000000001</v>
      </c>
      <c r="F19" s="54">
        <v>1352.694</v>
      </c>
      <c r="G19" s="54">
        <v>1113.9829999999999</v>
      </c>
      <c r="H19" s="54">
        <v>875.27260000000001</v>
      </c>
      <c r="I19" s="54">
        <v>596.77670000000001</v>
      </c>
      <c r="J19" s="54">
        <v>477.42140000000001</v>
      </c>
      <c r="K19" s="54">
        <v>397.85120000000001</v>
      </c>
      <c r="L19" s="54">
        <v>318.28089999999997</v>
      </c>
      <c r="M19" s="54">
        <v>278.49579999999997</v>
      </c>
      <c r="N19" s="54">
        <v>238.7107</v>
      </c>
      <c r="O19" s="54" t="s">
        <v>315</v>
      </c>
    </row>
    <row r="20" spans="1:15" ht="15" x14ac:dyDescent="0.3">
      <c r="A20" s="54"/>
      <c r="B20" s="66"/>
      <c r="C20" s="59" t="s">
        <v>356</v>
      </c>
      <c r="D20" s="59" t="s">
        <v>349</v>
      </c>
      <c r="E20" s="54">
        <v>1989.2560000000001</v>
      </c>
      <c r="F20" s="54">
        <v>1830.115</v>
      </c>
      <c r="G20" s="54">
        <v>1432.2639999999999</v>
      </c>
      <c r="H20" s="54">
        <v>1034.413</v>
      </c>
      <c r="I20" s="54">
        <v>636.56190000000004</v>
      </c>
      <c r="J20" s="54">
        <v>556.99159999999995</v>
      </c>
      <c r="K20" s="54">
        <v>477.42140000000001</v>
      </c>
      <c r="L20" s="54">
        <v>397.85120000000001</v>
      </c>
      <c r="M20" s="54">
        <v>358.06599999999997</v>
      </c>
      <c r="N20" s="54">
        <v>318.28089999999997</v>
      </c>
      <c r="O20" s="58" t="s">
        <v>357</v>
      </c>
    </row>
    <row r="21" spans="1:15" ht="15" x14ac:dyDescent="0.3">
      <c r="A21" s="54"/>
      <c r="B21" s="66" t="s">
        <v>358</v>
      </c>
      <c r="C21" s="59" t="s">
        <v>359</v>
      </c>
      <c r="D21" s="59" t="s">
        <v>346</v>
      </c>
      <c r="E21" s="54">
        <v>8.4703660000000003</v>
      </c>
      <c r="F21" s="54">
        <v>8.1099250000000005</v>
      </c>
      <c r="G21" s="54">
        <v>7.2088219999999996</v>
      </c>
      <c r="H21" s="54">
        <v>6.3077189999999996</v>
      </c>
      <c r="I21" s="54">
        <v>5.4066159999999996</v>
      </c>
      <c r="J21" s="54">
        <v>4.5055139999999998</v>
      </c>
      <c r="K21" s="54">
        <v>4.2802379999999998</v>
      </c>
      <c r="L21" s="54">
        <v>4.0549619999999997</v>
      </c>
      <c r="M21" s="54">
        <v>3.8296869999999998</v>
      </c>
      <c r="N21" s="54">
        <v>3.6044109999999998</v>
      </c>
      <c r="O21" s="58" t="s">
        <v>357</v>
      </c>
    </row>
    <row r="22" spans="1:15" ht="15" x14ac:dyDescent="0.3">
      <c r="A22" s="54"/>
      <c r="B22" s="66"/>
      <c r="C22" s="59" t="s">
        <v>359</v>
      </c>
      <c r="D22" s="59" t="s">
        <v>348</v>
      </c>
      <c r="E22" s="54">
        <v>11.17367</v>
      </c>
      <c r="F22" s="54">
        <v>10.813230000000001</v>
      </c>
      <c r="G22" s="54">
        <v>9.9121299999999994</v>
      </c>
      <c r="H22" s="54">
        <v>9.0110270000000003</v>
      </c>
      <c r="I22" s="54">
        <v>8.1099250000000005</v>
      </c>
      <c r="J22" s="54">
        <v>7.2088219999999996</v>
      </c>
      <c r="K22" s="54">
        <v>7.096184</v>
      </c>
      <c r="L22" s="54">
        <v>6.9835459999999996</v>
      </c>
      <c r="M22" s="54">
        <v>6.6456330000000001</v>
      </c>
      <c r="N22" s="54">
        <v>6.3077189999999996</v>
      </c>
      <c r="O22" s="54" t="s">
        <v>315</v>
      </c>
    </row>
    <row r="23" spans="1:15" ht="15" x14ac:dyDescent="0.3">
      <c r="A23" s="54"/>
      <c r="B23" s="66"/>
      <c r="C23" s="59" t="s">
        <v>359</v>
      </c>
      <c r="D23" s="59" t="s">
        <v>349</v>
      </c>
      <c r="E23" s="54">
        <v>13.87698</v>
      </c>
      <c r="F23" s="54">
        <v>13.516540000000001</v>
      </c>
      <c r="G23" s="54">
        <v>12.61544</v>
      </c>
      <c r="H23" s="54">
        <v>11.71434</v>
      </c>
      <c r="I23" s="54">
        <v>10.813230000000001</v>
      </c>
      <c r="J23" s="54">
        <v>9.9121299999999994</v>
      </c>
      <c r="K23" s="54">
        <v>9.9121299999999994</v>
      </c>
      <c r="L23" s="54">
        <v>9.9121299999999994</v>
      </c>
      <c r="M23" s="54">
        <v>9.4615790000000004</v>
      </c>
      <c r="N23" s="54">
        <v>9.0110270000000003</v>
      </c>
      <c r="O23" s="58" t="s">
        <v>357</v>
      </c>
    </row>
    <row r="24" spans="1:15" ht="15" x14ac:dyDescent="0.3">
      <c r="A24" s="54"/>
      <c r="B24" s="66" t="s">
        <v>355</v>
      </c>
      <c r="C24" s="59" t="s">
        <v>360</v>
      </c>
      <c r="D24" s="59" t="s">
        <v>346</v>
      </c>
      <c r="E24" s="54">
        <v>496.21800000000002</v>
      </c>
      <c r="F24" s="54">
        <v>465.2045</v>
      </c>
      <c r="G24" s="54">
        <v>387.67090000000002</v>
      </c>
      <c r="H24" s="54">
        <v>310.13729999999998</v>
      </c>
      <c r="I24" s="54">
        <v>271.37009999999998</v>
      </c>
      <c r="J24" s="54">
        <v>232.60300000000001</v>
      </c>
      <c r="K24" s="54">
        <v>213.21940000000001</v>
      </c>
      <c r="L24" s="54">
        <v>193.83580000000001</v>
      </c>
      <c r="M24" s="54">
        <v>174.4522</v>
      </c>
      <c r="N24" s="54">
        <v>155.0686</v>
      </c>
      <c r="O24" s="58" t="s">
        <v>357</v>
      </c>
    </row>
    <row r="25" spans="1:15" ht="15" x14ac:dyDescent="0.3">
      <c r="A25" s="54"/>
      <c r="B25" s="66"/>
      <c r="C25" s="59" t="s">
        <v>360</v>
      </c>
      <c r="D25" s="59" t="s">
        <v>348</v>
      </c>
      <c r="E25" s="54">
        <v>534.98599999999999</v>
      </c>
      <c r="F25" s="54">
        <v>503.97239999999999</v>
      </c>
      <c r="G25" s="54">
        <v>426.4384</v>
      </c>
      <c r="H25" s="54">
        <v>348.90449999999998</v>
      </c>
      <c r="I25" s="54">
        <v>290.75369999999998</v>
      </c>
      <c r="J25" s="54">
        <v>251.98650000000001</v>
      </c>
      <c r="K25" s="54">
        <v>232.60300000000001</v>
      </c>
      <c r="L25" s="54">
        <v>213.21940000000001</v>
      </c>
      <c r="M25" s="54">
        <v>193.83580000000001</v>
      </c>
      <c r="N25" s="54">
        <v>174.4522</v>
      </c>
      <c r="O25" s="54" t="s">
        <v>315</v>
      </c>
    </row>
    <row r="26" spans="1:15" ht="15" x14ac:dyDescent="0.3">
      <c r="A26" s="54"/>
      <c r="B26" s="66"/>
      <c r="C26" s="59" t="s">
        <v>360</v>
      </c>
      <c r="D26" s="59" t="s">
        <v>349</v>
      </c>
      <c r="E26" s="54">
        <v>573.75400000000002</v>
      </c>
      <c r="F26" s="54">
        <v>542.74030000000005</v>
      </c>
      <c r="G26" s="54">
        <v>465.20589999999999</v>
      </c>
      <c r="H26" s="54">
        <v>387.67160000000001</v>
      </c>
      <c r="I26" s="54">
        <v>310.13729999999998</v>
      </c>
      <c r="J26" s="54">
        <v>271.37009999999998</v>
      </c>
      <c r="K26" s="54">
        <v>251.98650000000001</v>
      </c>
      <c r="L26" s="54">
        <v>232.60300000000001</v>
      </c>
      <c r="M26" s="54">
        <v>213.21940000000001</v>
      </c>
      <c r="N26" s="54">
        <v>193.83580000000001</v>
      </c>
      <c r="O26" s="58" t="s">
        <v>357</v>
      </c>
    </row>
    <row r="27" spans="1:15" x14ac:dyDescent="0.3">
      <c r="A27" s="54"/>
      <c r="B27" s="56"/>
      <c r="C27" s="59"/>
      <c r="D27" s="59"/>
      <c r="E27" s="59"/>
      <c r="F27" s="54"/>
      <c r="G27" s="54"/>
      <c r="H27" s="54"/>
      <c r="I27" s="54"/>
      <c r="J27" s="54"/>
      <c r="K27" s="54"/>
      <c r="L27" s="54"/>
      <c r="M27" s="54"/>
      <c r="N27" s="54"/>
      <c r="O27" s="54"/>
    </row>
    <row r="28" spans="1:15" x14ac:dyDescent="0.3">
      <c r="A28" s="54"/>
      <c r="B28" s="56"/>
      <c r="C28" s="59"/>
      <c r="D28" s="59"/>
      <c r="E28" s="59"/>
      <c r="F28" s="59"/>
      <c r="G28" s="59"/>
      <c r="H28" s="59"/>
      <c r="I28" s="54"/>
      <c r="J28" s="54"/>
      <c r="K28" s="54"/>
      <c r="L28" s="54"/>
      <c r="M28" s="54"/>
      <c r="N28" s="54"/>
      <c r="O28" s="54"/>
    </row>
    <row r="29" spans="1:15" x14ac:dyDescent="0.3">
      <c r="A29" s="54"/>
      <c r="B29" s="54"/>
      <c r="C29" s="55" t="s">
        <v>196</v>
      </c>
      <c r="D29" s="55"/>
      <c r="E29" s="55"/>
      <c r="F29" s="54"/>
      <c r="G29" s="54"/>
      <c r="H29" s="54"/>
      <c r="I29" s="54"/>
      <c r="J29" s="54"/>
      <c r="K29" s="54"/>
      <c r="L29" s="54"/>
      <c r="M29" s="54"/>
      <c r="N29" s="54"/>
      <c r="O29" s="54"/>
    </row>
    <row r="30" spans="1:15" x14ac:dyDescent="0.3">
      <c r="A30" s="54"/>
      <c r="B30" s="54"/>
      <c r="C30" s="67" t="s">
        <v>361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</row>
    <row r="31" spans="1:15" x14ac:dyDescent="0.3">
      <c r="A31" s="54"/>
      <c r="B31" s="54"/>
      <c r="C31" s="55" t="s">
        <v>362</v>
      </c>
      <c r="D31" s="55"/>
      <c r="E31" s="55"/>
      <c r="F31" s="55"/>
      <c r="G31" s="55"/>
      <c r="H31" s="54"/>
      <c r="I31" s="54"/>
      <c r="J31" s="54"/>
      <c r="K31" s="54"/>
      <c r="L31" s="54"/>
      <c r="M31" s="54"/>
      <c r="N31" s="54"/>
      <c r="O31" s="54"/>
    </row>
    <row r="32" spans="1:15" x14ac:dyDescent="0.3">
      <c r="A32" s="54"/>
      <c r="B32" s="54"/>
      <c r="C32" s="55" t="s">
        <v>363</v>
      </c>
      <c r="D32" s="55"/>
      <c r="E32" s="55"/>
      <c r="F32" s="55"/>
      <c r="G32" s="54"/>
      <c r="H32" s="54"/>
      <c r="I32" s="54"/>
      <c r="J32" s="54"/>
      <c r="K32" s="54"/>
      <c r="L32" s="54"/>
      <c r="M32" s="54"/>
      <c r="N32" s="54"/>
      <c r="O32" s="54"/>
    </row>
  </sheetData>
  <mergeCells count="10">
    <mergeCell ref="B18:B20"/>
    <mergeCell ref="B21:B23"/>
    <mergeCell ref="B24:B26"/>
    <mergeCell ref="C30:O30"/>
    <mergeCell ref="C1:O1"/>
    <mergeCell ref="B3:B5"/>
    <mergeCell ref="B6:B8"/>
    <mergeCell ref="B9:B11"/>
    <mergeCell ref="B12:B14"/>
    <mergeCell ref="B15:B1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5FB5-3401-44C2-A1EB-13E01DC3B87E}">
  <dimension ref="B2:I29"/>
  <sheetViews>
    <sheetView topLeftCell="A19" workbookViewId="0">
      <selection activeCell="C30" sqref="C30"/>
    </sheetView>
  </sheetViews>
  <sheetFormatPr defaultRowHeight="13" x14ac:dyDescent="0.3"/>
  <cols>
    <col min="1" max="2" width="8.6640625" style="3"/>
    <col min="3" max="3" width="23.08203125" style="3" customWidth="1"/>
    <col min="4" max="4" width="16.58203125" style="3" customWidth="1"/>
    <col min="5" max="5" width="19.33203125" style="3" customWidth="1"/>
    <col min="6" max="16384" width="8.6640625" style="3"/>
  </cols>
  <sheetData>
    <row r="2" spans="2:9" x14ac:dyDescent="0.3">
      <c r="C2" s="3" t="s">
        <v>87</v>
      </c>
      <c r="D2" s="3" t="s">
        <v>23</v>
      </c>
      <c r="E2" s="3" t="s">
        <v>11</v>
      </c>
      <c r="F2" s="3" t="s">
        <v>56</v>
      </c>
      <c r="G2" s="3" t="s">
        <v>69</v>
      </c>
      <c r="H2" s="3" t="s">
        <v>164</v>
      </c>
    </row>
    <row r="3" spans="2:9" x14ac:dyDescent="0.3">
      <c r="B3" s="3" t="s">
        <v>24</v>
      </c>
      <c r="C3" s="3">
        <v>402</v>
      </c>
      <c r="D3" s="3">
        <v>9.89</v>
      </c>
      <c r="F3" s="3">
        <v>9.3613</v>
      </c>
    </row>
    <row r="4" spans="2:9" x14ac:dyDescent="0.3">
      <c r="B4" s="3" t="s">
        <v>25</v>
      </c>
      <c r="C4" s="3">
        <v>444.2</v>
      </c>
      <c r="D4" s="3">
        <v>10.89</v>
      </c>
      <c r="F4" s="3">
        <v>10.29</v>
      </c>
    </row>
    <row r="5" spans="2:9" x14ac:dyDescent="0.3">
      <c r="B5" s="3" t="s">
        <v>26</v>
      </c>
      <c r="C5" s="3">
        <v>468.2</v>
      </c>
      <c r="D5" s="3">
        <v>12.130999999999998</v>
      </c>
      <c r="F5" s="3">
        <v>10.1953</v>
      </c>
    </row>
    <row r="6" spans="2:9" x14ac:dyDescent="0.3">
      <c r="B6" s="3" t="s">
        <v>27</v>
      </c>
      <c r="C6" s="3">
        <v>499.6</v>
      </c>
      <c r="D6" s="3">
        <v>13.674000000000001</v>
      </c>
      <c r="F6" s="3">
        <v>10.019</v>
      </c>
    </row>
    <row r="7" spans="2:9" x14ac:dyDescent="0.3">
      <c r="B7" s="3" t="s">
        <v>28</v>
      </c>
      <c r="C7" s="3">
        <v>545.4</v>
      </c>
      <c r="D7" s="3">
        <v>15.62</v>
      </c>
      <c r="F7" s="3">
        <v>10.4175</v>
      </c>
    </row>
    <row r="8" spans="2:9" x14ac:dyDescent="0.3">
      <c r="B8" s="3" t="s">
        <v>29</v>
      </c>
      <c r="C8" s="3">
        <v>575.4</v>
      </c>
      <c r="D8" s="3">
        <v>17.128</v>
      </c>
      <c r="F8" s="3">
        <v>10.2227</v>
      </c>
      <c r="I8" s="3">
        <f>3125/12*44</f>
        <v>11458.333333333334</v>
      </c>
    </row>
    <row r="9" spans="2:9" x14ac:dyDescent="0.3">
      <c r="B9" s="3" t="s">
        <v>30</v>
      </c>
      <c r="C9" s="3">
        <v>521.9</v>
      </c>
      <c r="D9" s="3">
        <v>18.738</v>
      </c>
      <c r="F9" s="3">
        <v>9.527000000000001</v>
      </c>
    </row>
    <row r="10" spans="2:9" x14ac:dyDescent="0.3">
      <c r="B10" s="3" t="s">
        <v>31</v>
      </c>
      <c r="C10" s="3">
        <v>550.79999999999995</v>
      </c>
      <c r="D10" s="3">
        <v>20.730999999999998</v>
      </c>
      <c r="E10" s="3">
        <v>6.7694999999999999</v>
      </c>
      <c r="F10" s="3">
        <v>8.9725000000000001</v>
      </c>
    </row>
    <row r="11" spans="2:9" x14ac:dyDescent="0.3">
      <c r="B11" s="3" t="s">
        <v>32</v>
      </c>
      <c r="C11" s="3">
        <v>585.70000000000005</v>
      </c>
      <c r="D11" s="3">
        <v>22.710999999999999</v>
      </c>
      <c r="F11" s="3">
        <v>9.001100000000001</v>
      </c>
    </row>
    <row r="12" spans="2:9" x14ac:dyDescent="0.3">
      <c r="B12" s="3" t="s">
        <v>12</v>
      </c>
      <c r="C12" s="3">
        <v>584.6</v>
      </c>
      <c r="D12" s="3">
        <v>24.495999999999999</v>
      </c>
      <c r="E12" s="3">
        <v>6.3125</v>
      </c>
      <c r="F12" s="3">
        <v>8.1067</v>
      </c>
    </row>
    <row r="13" spans="2:9" x14ac:dyDescent="0.3">
      <c r="B13" s="3" t="s">
        <v>13</v>
      </c>
      <c r="C13" s="3">
        <v>567.29999999999995</v>
      </c>
      <c r="D13" s="3">
        <v>26.399000000000001</v>
      </c>
      <c r="E13" s="3">
        <v>6.1932000000000009</v>
      </c>
      <c r="F13" s="3">
        <v>8.2218999999999998</v>
      </c>
      <c r="G13" s="3">
        <v>5.9974999999999996</v>
      </c>
    </row>
    <row r="14" spans="2:9" x14ac:dyDescent="0.3">
      <c r="B14" s="3" t="s">
        <v>14</v>
      </c>
      <c r="C14" s="3">
        <v>576.1</v>
      </c>
      <c r="D14" s="3">
        <v>28.359000000000002</v>
      </c>
      <c r="E14" s="3">
        <v>6.1427999999999994</v>
      </c>
      <c r="F14" s="3">
        <v>8.1651000000000007</v>
      </c>
    </row>
    <row r="15" spans="2:9" x14ac:dyDescent="0.3">
      <c r="B15" s="3" t="s">
        <v>15</v>
      </c>
      <c r="C15" s="3">
        <v>556.79999999999995</v>
      </c>
      <c r="D15" s="3">
        <v>30.355999999999998</v>
      </c>
      <c r="E15" s="3">
        <v>6.2284000000000006</v>
      </c>
      <c r="F15" s="3">
        <v>6.9140999999999995</v>
      </c>
    </row>
    <row r="16" spans="2:9" x14ac:dyDescent="0.3">
      <c r="B16" s="3" t="s">
        <v>16</v>
      </c>
      <c r="C16" s="3">
        <v>541.70000000000005</v>
      </c>
      <c r="D16" s="3">
        <v>32.435000000000002</v>
      </c>
      <c r="E16" s="3">
        <v>6.6423000000000005</v>
      </c>
      <c r="F16" s="3">
        <v>7.3426</v>
      </c>
    </row>
    <row r="17" spans="2:8" x14ac:dyDescent="0.3">
      <c r="B17" s="3" t="s">
        <v>17</v>
      </c>
      <c r="C17" s="3">
        <v>567.5</v>
      </c>
      <c r="D17" s="3">
        <v>34.688000000000002</v>
      </c>
      <c r="E17" s="3">
        <v>6.7517999999999994</v>
      </c>
      <c r="F17" s="3">
        <v>7.6303000000000001</v>
      </c>
    </row>
    <row r="18" spans="2:8" s="24" customFormat="1" x14ac:dyDescent="0.3">
      <c r="B18" s="24" t="s">
        <v>18</v>
      </c>
      <c r="C18" s="24">
        <v>603.1</v>
      </c>
      <c r="D18" s="24">
        <v>37.03</v>
      </c>
      <c r="E18" s="24">
        <v>6.6173999999999999</v>
      </c>
      <c r="F18" s="24">
        <v>7.8015999999999996</v>
      </c>
      <c r="G18" s="24">
        <v>4.5599999999999996</v>
      </c>
      <c r="H18" s="24">
        <v>8.8215000000000003</v>
      </c>
    </row>
    <row r="19" spans="2:8" x14ac:dyDescent="0.3">
      <c r="B19" s="3" t="s">
        <v>19</v>
      </c>
      <c r="C19" s="3">
        <v>607.5</v>
      </c>
      <c r="D19" s="3">
        <v>39.233000000000004</v>
      </c>
      <c r="E19" s="3">
        <v>6.8985000000000003</v>
      </c>
      <c r="F19" s="3">
        <v>7.7254999999999994</v>
      </c>
    </row>
    <row r="20" spans="2:8" x14ac:dyDescent="0.3">
      <c r="B20" s="3" t="s">
        <v>20</v>
      </c>
      <c r="C20" s="3">
        <v>596.20000000000005</v>
      </c>
      <c r="D20" s="3">
        <v>40.111999999999995</v>
      </c>
      <c r="E20" s="3">
        <v>6.8975999999999997</v>
      </c>
      <c r="F20" s="3">
        <v>7.8754999999999997</v>
      </c>
    </row>
    <row r="21" spans="2:8" x14ac:dyDescent="0.3">
      <c r="B21" s="3" t="s">
        <v>21</v>
      </c>
      <c r="D21" s="3">
        <v>43.5</v>
      </c>
      <c r="E21" s="3">
        <v>6.4514999999999993</v>
      </c>
      <c r="F21" s="3">
        <v>7.6292999999999997</v>
      </c>
    </row>
    <row r="22" spans="2:8" x14ac:dyDescent="0.3">
      <c r="B22" s="3" t="s">
        <v>22</v>
      </c>
      <c r="D22" s="3">
        <v>44.801000000000002</v>
      </c>
      <c r="E22" s="3">
        <v>6.7260999999999997</v>
      </c>
    </row>
    <row r="23" spans="2:8" ht="14" x14ac:dyDescent="0.3">
      <c r="C23" s="6" t="s">
        <v>88</v>
      </c>
    </row>
    <row r="24" spans="2:8" ht="14" x14ac:dyDescent="0.3">
      <c r="C24" s="62" t="s">
        <v>377</v>
      </c>
    </row>
    <row r="27" spans="2:8" x14ac:dyDescent="0.3">
      <c r="B27" s="3">
        <f>(234+137)*F18</f>
        <v>2894.3935999999999</v>
      </c>
    </row>
    <row r="28" spans="2:8" x14ac:dyDescent="0.3">
      <c r="B28" s="3">
        <f>10860*F18</f>
        <v>84725.375999999989</v>
      </c>
    </row>
    <row r="29" spans="2:8" x14ac:dyDescent="0.3">
      <c r="B29" s="3">
        <v>84725.376000000004</v>
      </c>
    </row>
  </sheetData>
  <phoneticPr fontId="1" type="noConversion"/>
  <hyperlinks>
    <hyperlink ref="C24" r:id="rId1" xr:uid="{101F9D7A-53A5-4B5B-909E-F2ACA22BC474}"/>
    <hyperlink ref="C23" r:id="rId2" display="https://www.chemengonline.com/pci-home" xr:uid="{F551C81A-21FC-4972-8569-FCA683E14F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CG</vt:lpstr>
      <vt:lpstr>CG_CCS</vt:lpstr>
      <vt:lpstr>SMR</vt:lpstr>
      <vt:lpstr>SMR_CCS</vt:lpstr>
      <vt:lpstr>PV</vt:lpstr>
      <vt:lpstr>Wind</vt:lpstr>
      <vt:lpstr>Cost</vt:lpstr>
      <vt:lpstr>Cost(1)</vt:lpstr>
      <vt:lpstr>Exchange Rate</vt:lpstr>
      <vt:lpstr>Province</vt:lpstr>
      <vt:lpstr>Sheet5</vt:lpstr>
      <vt:lpstr>Sheet6</vt:lpstr>
      <vt:lpstr>Sheet1</vt:lpstr>
      <vt:lpstr>Sheet2</vt:lpstr>
      <vt:lpstr>Sheet3</vt:lpstr>
      <vt:lpstr>Ammonia_Comparison</vt:lpstr>
      <vt:lpstr>LCOE_20-50_comparison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2024-11-25T06:27:43Z</dcterms:modified>
</cp:coreProperties>
</file>