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B6625A2B-D211-4D84-9530-026C1AEE1768}" xr6:coauthVersionLast="43" xr6:coauthVersionMax="43" xr10:uidLastSave="{00000000-0000-0000-0000-000000000000}"/>
  <bookViews>
    <workbookView xWindow="-120" yWindow="-120" windowWidth="20730" windowHeight="11760" tabRatio="685" firstSheet="12" activeTab="13" xr2:uid="{00000000-000D-0000-FFFF-FFFF00000000}"/>
  </bookViews>
  <sheets>
    <sheet name="Intro" sheetId="10" r:id="rId1"/>
    <sheet name="Weight Buildup" sheetId="1" r:id="rId2"/>
    <sheet name="Airfoil Selection " sheetId="2" r:id="rId3"/>
    <sheet name="Wing Calculations(Rectangle)" sheetId="4" r:id="rId4"/>
    <sheet name="Wing Performance &amp; Cruise Vel." sheetId="23" r:id="rId5"/>
    <sheet name="Payload Fraction" sheetId="15" r:id="rId6"/>
    <sheet name="Transport Container" sheetId="6" r:id="rId7"/>
    <sheet name="Wing Loading" sheetId="8" r:id="rId8"/>
    <sheet name="Fuselage Sizing" sheetId="7" r:id="rId9"/>
    <sheet name="Nose Cone Design" sheetId="14" r:id="rId10"/>
    <sheet name="Tail Sizing" sheetId="9" r:id="rId11"/>
    <sheet name="Control Surface Sizing" sheetId="11" r:id="rId12"/>
    <sheet name="Drag Calculation" sheetId="12" r:id="rId13"/>
    <sheet name="Servo Sizing" sheetId="22" r:id="rId14"/>
    <sheet name="Power Required" sheetId="13" r:id="rId15"/>
    <sheet name="Dynamic Thrust (Simplyfied)" sheetId="20" r:id="rId16"/>
    <sheet name="Dynamic Thrust (Expanded)" sheetId="25" r:id="rId17"/>
    <sheet name="Model Details" sheetId="19" r:id="rId18"/>
    <sheet name="CE" sheetId="26" r:id="rId19"/>
  </sheets>
  <externalReferences>
    <externalReference r:id="rId20"/>
  </externalReferences>
  <definedNames>
    <definedName name="Aeliron_Chord">'Control Surface Sizing'!$I$16</definedName>
    <definedName name="Aeliron_Span">'Control Surface Sizing'!$C$18</definedName>
    <definedName name="AR">'Wing Calculations(Rectangle)'!$E$16</definedName>
    <definedName name="b">'Wing Calculations(Rectangle)'!$F$16</definedName>
    <definedName name="bht">'Tail Sizing'!$J$21</definedName>
    <definedName name="bvt">'Tail Sizing'!$J$34</definedName>
    <definedName name="Cd">'Drag Calculation'!$F$31</definedName>
    <definedName name="Cd_W">'Drag Calculation'!$J$26</definedName>
    <definedName name="Cd0">'Airfoil Selection '!$J$17</definedName>
    <definedName name="Celev">'Control Surface Sizing'!$C$35</definedName>
    <definedName name="Cht">'Tail Sizing'!$K$21</definedName>
    <definedName name="Clmax">'Airfoil Selection '!$I$19</definedName>
    <definedName name="Crudd">'Control Surface Sizing'!$H$33</definedName>
    <definedName name="Cvt">'Tail Sizing'!$K$34</definedName>
    <definedName name="Cw">'Wing Calculations(Rectangle)'!$H$16</definedName>
    <definedName name="Fl">'Fuselage Sizing'!$D$13</definedName>
    <definedName name="gross_weight">'[1]weight builtup'!$F$17</definedName>
    <definedName name="L_kgs">'Wing Calculations(Rectangle)'!$N$16</definedName>
    <definedName name="L_N">'Wing Calculations(Rectangle)'!$M$16</definedName>
    <definedName name="Lht">'Tail Sizing'!$F$22</definedName>
    <definedName name="Lvt">'Tail Sizing'!$F$38</definedName>
    <definedName name="MTOW">'Weight Buildup'!$E$13</definedName>
    <definedName name="P">'Power Required'!$F$30</definedName>
    <definedName name="p_1">'Dynamic Thrust (Simplyfied)'!$I$19</definedName>
    <definedName name="p_2">'Dynamic Thrust (Simplyfied)'!$J$19</definedName>
    <definedName name="p_3">'Dynamic Thrust (Simplyfied)'!$K$19</definedName>
    <definedName name="p_4">'Dynamic Thrust (Simplyfied)'!$L$19</definedName>
    <definedName name="p_5">'Dynamic Thrust (Simplyfied)'!$I$20</definedName>
    <definedName name="p_6">'Dynamic Thrust (Simplyfied)'!$J$20</definedName>
    <definedName name="p_7">'Dynamic Thrust (Simplyfied)'!$K$20</definedName>
    <definedName name="p_8">'Dynamic Thrust (Simplyfied)'!$L$20</definedName>
    <definedName name="Payload">'Weight Buildup'!$E$9</definedName>
    <definedName name="pd_1" comment="Propeller Diameter">'Dynamic Thrust (Simplyfied)'!$D$19</definedName>
    <definedName name="pd_2" comment="Propeller Diameter">'Dynamic Thrust (Simplyfied)'!$D$20</definedName>
    <definedName name="pie">'Drag Calculation'!$I$2</definedName>
    <definedName name="rho">'Wing Calculations(Rectangle)'!$B$5</definedName>
    <definedName name="Sht">'Tail Sizing'!$B$22</definedName>
    <definedName name="Stall_angle">'Airfoil Selection '!$H$20</definedName>
    <definedName name="Svt">'Tail Sizing'!$B$38</definedName>
    <definedName name="Sw">'Wing Calculations(Rectangle)'!$M$12</definedName>
    <definedName name="t_c_HT">'Drag Calculation'!$R$31</definedName>
    <definedName name="t_c_VT">'Drag Calculation'!$R$36</definedName>
    <definedName name="t_c_W">'Drag Calculation'!$R$26</definedName>
    <definedName name="TbyW">'Dynamic Thrust (Simplyfied)'!$K$11</definedName>
    <definedName name="Vcruise">'Wing Performance &amp; Cruise Vel.'!$H$38</definedName>
    <definedName name="Vstall">'Wing Calculations(Rectangle)'!$Q$3</definedName>
    <definedName name="W">'Weight Buildup'!$E$13</definedName>
    <definedName name="W_N" comment="In Newtons">'Wing Calculations(Rectangle)'!$D$4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2" l="1"/>
  <c r="AB38" i="12"/>
  <c r="AB37" i="12"/>
  <c r="AB36" i="12"/>
  <c r="AB35" i="12"/>
  <c r="AC39" i="12"/>
  <c r="AC36" i="12"/>
  <c r="AB40" i="12" l="1"/>
  <c r="AD37" i="12"/>
  <c r="AD38" i="12"/>
  <c r="AD40" i="12"/>
  <c r="AC40" i="12"/>
  <c r="AD36" i="12"/>
  <c r="AD39" i="12"/>
  <c r="AC35" i="12"/>
  <c r="AD35" i="12"/>
  <c r="AC38" i="12"/>
  <c r="AC37" i="12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16" i="23"/>
  <c r="D36" i="12"/>
  <c r="M16" i="4" l="1"/>
  <c r="M15" i="4"/>
  <c r="AI67" i="12" l="1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66" i="12"/>
  <c r="V82" i="20" l="1"/>
  <c r="S82" i="20"/>
  <c r="P82" i="20"/>
  <c r="M82" i="20"/>
  <c r="J82" i="20"/>
  <c r="G82" i="20"/>
  <c r="D82" i="20"/>
  <c r="A82" i="20"/>
  <c r="V63" i="20"/>
  <c r="S63" i="20"/>
  <c r="P63" i="20"/>
  <c r="M63" i="20"/>
  <c r="J63" i="20"/>
  <c r="G63" i="20"/>
  <c r="D63" i="20"/>
  <c r="A63" i="20"/>
  <c r="V44" i="20"/>
  <c r="S44" i="20"/>
  <c r="P44" i="20"/>
  <c r="M44" i="20"/>
  <c r="J44" i="20"/>
  <c r="G44" i="20"/>
  <c r="D44" i="20"/>
  <c r="A44" i="20"/>
  <c r="V25" i="20"/>
  <c r="P25" i="20"/>
  <c r="J25" i="20"/>
  <c r="S25" i="20"/>
  <c r="M25" i="20"/>
  <c r="G25" i="20"/>
  <c r="D25" i="20"/>
  <c r="A25" i="20"/>
  <c r="E18" i="6"/>
  <c r="E15" i="6"/>
  <c r="E9" i="6"/>
  <c r="Q43" i="9" l="1"/>
  <c r="S43" i="9" s="1"/>
  <c r="S48" i="12" l="1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47" i="12"/>
  <c r="J28" i="22" l="1"/>
  <c r="M41" i="12"/>
  <c r="M36" i="12"/>
  <c r="M31" i="12"/>
  <c r="M26" i="12"/>
  <c r="B26" i="12"/>
  <c r="M3" i="4"/>
  <c r="R36" i="12"/>
  <c r="R31" i="12"/>
  <c r="J90" i="19"/>
  <c r="J88" i="19"/>
  <c r="J92" i="19"/>
  <c r="J91" i="19"/>
  <c r="J89" i="19"/>
  <c r="J87" i="19"/>
  <c r="E22" i="26"/>
  <c r="E9" i="26"/>
  <c r="E6" i="26"/>
  <c r="E7" i="26"/>
  <c r="E8" i="26"/>
  <c r="C54" i="9"/>
  <c r="D54" i="9"/>
  <c r="G67" i="12" l="1"/>
  <c r="G71" i="12"/>
  <c r="G75" i="12"/>
  <c r="G79" i="12"/>
  <c r="G74" i="12"/>
  <c r="G68" i="12"/>
  <c r="G72" i="12"/>
  <c r="G76" i="12"/>
  <c r="G80" i="12"/>
  <c r="G78" i="12"/>
  <c r="G69" i="12"/>
  <c r="G73" i="12"/>
  <c r="G77" i="12"/>
  <c r="G66" i="12"/>
  <c r="G70" i="12"/>
  <c r="AG49" i="12"/>
  <c r="AG53" i="12"/>
  <c r="AG57" i="12"/>
  <c r="AG61" i="12"/>
  <c r="AG48" i="12"/>
  <c r="AG56" i="12"/>
  <c r="AG50" i="12"/>
  <c r="AG54" i="12"/>
  <c r="AG58" i="12"/>
  <c r="AG47" i="12"/>
  <c r="AG60" i="12"/>
  <c r="AG51" i="12"/>
  <c r="AG55" i="12"/>
  <c r="AG59" i="12"/>
  <c r="AG52" i="12"/>
  <c r="K6" i="22"/>
  <c r="C17" i="25"/>
  <c r="D17" i="25" s="1"/>
  <c r="G17" i="25" s="1"/>
  <c r="C21" i="25"/>
  <c r="D21" i="25" s="1"/>
  <c r="G21" i="25" s="1"/>
  <c r="C25" i="25"/>
  <c r="D25" i="25" s="1"/>
  <c r="G25" i="25" s="1"/>
  <c r="C29" i="25"/>
  <c r="D29" i="25" s="1"/>
  <c r="G29" i="25" s="1"/>
  <c r="C33" i="25"/>
  <c r="D33" i="25" s="1"/>
  <c r="C35" i="25"/>
  <c r="D35" i="25" s="1"/>
  <c r="C34" i="25"/>
  <c r="D34" i="25" s="1"/>
  <c r="C32" i="25"/>
  <c r="D32" i="25" s="1"/>
  <c r="C31" i="25"/>
  <c r="D31" i="25" s="1"/>
  <c r="C30" i="25"/>
  <c r="D30" i="25" s="1"/>
  <c r="C28" i="25"/>
  <c r="D28" i="25" s="1"/>
  <c r="C27" i="25"/>
  <c r="D27" i="25" s="1"/>
  <c r="G27" i="25" s="1"/>
  <c r="C26" i="25"/>
  <c r="D26" i="25" s="1"/>
  <c r="C24" i="25"/>
  <c r="D24" i="25" s="1"/>
  <c r="C23" i="25"/>
  <c r="D23" i="25" s="1"/>
  <c r="G23" i="25" s="1"/>
  <c r="C22" i="25"/>
  <c r="D22" i="25" s="1"/>
  <c r="C20" i="25"/>
  <c r="D20" i="25" s="1"/>
  <c r="C19" i="25"/>
  <c r="D19" i="25" s="1"/>
  <c r="G19" i="25" s="1"/>
  <c r="C18" i="25"/>
  <c r="D18" i="25" s="1"/>
  <c r="C16" i="25"/>
  <c r="D16" i="25" s="1"/>
  <c r="C15" i="25"/>
  <c r="D15" i="25" s="1"/>
  <c r="G15" i="25" s="1"/>
  <c r="E20" i="25" l="1"/>
  <c r="F20" i="25"/>
  <c r="G20" i="25"/>
  <c r="E26" i="25"/>
  <c r="G26" i="25"/>
  <c r="F26" i="25"/>
  <c r="E30" i="25"/>
  <c r="F30" i="25"/>
  <c r="G30" i="25"/>
  <c r="E34" i="25"/>
  <c r="G34" i="25"/>
  <c r="F34" i="25"/>
  <c r="E32" i="25"/>
  <c r="F32" i="25"/>
  <c r="G32" i="25"/>
  <c r="G33" i="25"/>
  <c r="F33" i="25"/>
  <c r="E33" i="25"/>
  <c r="E16" i="25"/>
  <c r="F16" i="25"/>
  <c r="G16" i="25"/>
  <c r="E18" i="25"/>
  <c r="G18" i="25"/>
  <c r="F18" i="25"/>
  <c r="E22" i="25"/>
  <c r="G22" i="25"/>
  <c r="F22" i="25"/>
  <c r="E24" i="25"/>
  <c r="F24" i="25"/>
  <c r="G24" i="25"/>
  <c r="E28" i="25"/>
  <c r="G28" i="25"/>
  <c r="F28" i="25"/>
  <c r="G31" i="25"/>
  <c r="F31" i="25"/>
  <c r="E31" i="25"/>
  <c r="G35" i="25"/>
  <c r="F35" i="25"/>
  <c r="E35" i="25"/>
  <c r="E15" i="25"/>
  <c r="E17" i="25"/>
  <c r="E19" i="25"/>
  <c r="E21" i="25"/>
  <c r="E23" i="25"/>
  <c r="E25" i="25"/>
  <c r="E27" i="25"/>
  <c r="E29" i="25"/>
  <c r="F15" i="25"/>
  <c r="F17" i="25"/>
  <c r="F19" i="25"/>
  <c r="F21" i="25"/>
  <c r="F23" i="25"/>
  <c r="F25" i="25"/>
  <c r="F27" i="25"/>
  <c r="F29" i="25"/>
  <c r="C33" i="6" l="1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I26" i="22" s="1"/>
  <c r="G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6" i="22"/>
  <c r="C6" i="22"/>
  <c r="D10" i="22"/>
  <c r="D20" i="22"/>
  <c r="D24" i="22"/>
  <c r="D25" i="22"/>
  <c r="D26" i="22"/>
  <c r="B26" i="22"/>
  <c r="B25" i="22"/>
  <c r="B24" i="22"/>
  <c r="B23" i="22"/>
  <c r="D23" i="22" s="1"/>
  <c r="B22" i="22"/>
  <c r="D22" i="22" s="1"/>
  <c r="B21" i="22"/>
  <c r="D21" i="22" s="1"/>
  <c r="B20" i="22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B9" i="22"/>
  <c r="D9" i="22" s="1"/>
  <c r="B8" i="22"/>
  <c r="D8" i="22" s="1"/>
  <c r="B7" i="22"/>
  <c r="D7" i="22" s="1"/>
  <c r="B6" i="22"/>
  <c r="I18" i="22" l="1"/>
  <c r="D6" i="22"/>
  <c r="H6" i="22" s="1"/>
  <c r="L6" i="22" s="1"/>
  <c r="H14" i="22"/>
  <c r="L14" i="22" s="1"/>
  <c r="I22" i="22"/>
  <c r="H10" i="22"/>
  <c r="L10" i="22" s="1"/>
  <c r="H9" i="22"/>
  <c r="L9" i="22" s="1"/>
  <c r="I9" i="22"/>
  <c r="I21" i="22"/>
  <c r="H21" i="22"/>
  <c r="L21" i="22" s="1"/>
  <c r="H8" i="22"/>
  <c r="L8" i="22" s="1"/>
  <c r="I8" i="22"/>
  <c r="H25" i="22"/>
  <c r="L25" i="22" s="1"/>
  <c r="I25" i="22"/>
  <c r="I7" i="22"/>
  <c r="H7" i="22"/>
  <c r="L7" i="22" s="1"/>
  <c r="I11" i="22"/>
  <c r="H11" i="22"/>
  <c r="L11" i="22" s="1"/>
  <c r="H24" i="22"/>
  <c r="L24" i="22" s="1"/>
  <c r="I24" i="22"/>
  <c r="H12" i="22"/>
  <c r="L12" i="22" s="1"/>
  <c r="I12" i="22"/>
  <c r="I15" i="22"/>
  <c r="H15" i="22"/>
  <c r="L15" i="22" s="1"/>
  <c r="I13" i="22"/>
  <c r="H13" i="22"/>
  <c r="L13" i="22" s="1"/>
  <c r="H16" i="22"/>
  <c r="L16" i="22" s="1"/>
  <c r="I16" i="22"/>
  <c r="I19" i="22"/>
  <c r="H19" i="22"/>
  <c r="L19" i="22" s="1"/>
  <c r="I17" i="22"/>
  <c r="H17" i="22"/>
  <c r="L17" i="22" s="1"/>
  <c r="H20" i="22"/>
  <c r="L20" i="22" s="1"/>
  <c r="I20" i="22"/>
  <c r="I23" i="22"/>
  <c r="H23" i="22"/>
  <c r="L23" i="22" s="1"/>
  <c r="H18" i="22"/>
  <c r="L18" i="22" s="1"/>
  <c r="H22" i="22"/>
  <c r="L22" i="22" s="1"/>
  <c r="H26" i="22"/>
  <c r="L26" i="22" s="1"/>
  <c r="I10" i="22"/>
  <c r="I14" i="22"/>
  <c r="I6" i="22" l="1"/>
  <c r="C55" i="6" l="1"/>
  <c r="B55" i="6"/>
  <c r="A55" i="6"/>
  <c r="D54" i="6"/>
  <c r="N11" i="20" l="1"/>
  <c r="J13" i="20"/>
  <c r="J14" i="20" s="1"/>
  <c r="U97" i="20"/>
  <c r="U96" i="20"/>
  <c r="U95" i="20"/>
  <c r="U94" i="20"/>
  <c r="U93" i="20"/>
  <c r="U92" i="20"/>
  <c r="U91" i="20"/>
  <c r="U90" i="20"/>
  <c r="U89" i="20"/>
  <c r="U88" i="20"/>
  <c r="U87" i="20"/>
  <c r="U86" i="20"/>
  <c r="U85" i="20"/>
  <c r="U84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65" i="20"/>
  <c r="O97" i="20"/>
  <c r="O96" i="20"/>
  <c r="O95" i="20"/>
  <c r="O94" i="20"/>
  <c r="O93" i="20"/>
  <c r="O92" i="20"/>
  <c r="O91" i="20"/>
  <c r="O90" i="20"/>
  <c r="O89" i="20"/>
  <c r="O88" i="20"/>
  <c r="O87" i="20"/>
  <c r="O86" i="20"/>
  <c r="O85" i="20"/>
  <c r="O84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65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65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65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27" i="20"/>
  <c r="O59" i="20"/>
  <c r="O58" i="20"/>
  <c r="O57" i="20"/>
  <c r="O56" i="20"/>
  <c r="O55" i="20"/>
  <c r="O54" i="20"/>
  <c r="O53" i="20"/>
  <c r="O52" i="20"/>
  <c r="O51" i="20"/>
  <c r="O50" i="20"/>
  <c r="O49" i="20"/>
  <c r="O48" i="20"/>
  <c r="O47" i="20"/>
  <c r="O46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27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27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27" i="20"/>
  <c r="T97" i="20"/>
  <c r="T96" i="20"/>
  <c r="T95" i="20"/>
  <c r="T94" i="20"/>
  <c r="T93" i="20"/>
  <c r="T92" i="20"/>
  <c r="T91" i="20"/>
  <c r="T90" i="20"/>
  <c r="T89" i="20"/>
  <c r="T88" i="20"/>
  <c r="T87" i="20"/>
  <c r="T86" i="20"/>
  <c r="T85" i="20"/>
  <c r="T84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T78" i="20"/>
  <c r="T77" i="20"/>
  <c r="T76" i="20"/>
  <c r="T75" i="20"/>
  <c r="T74" i="20"/>
  <c r="T73" i="20"/>
  <c r="T72" i="20"/>
  <c r="T71" i="20"/>
  <c r="T70" i="20"/>
  <c r="T69" i="20"/>
  <c r="T68" i="20"/>
  <c r="T67" i="20"/>
  <c r="T66" i="20"/>
  <c r="T65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65" i="20"/>
  <c r="T59" i="20"/>
  <c r="T58" i="20"/>
  <c r="T57" i="20"/>
  <c r="T56" i="20"/>
  <c r="T55" i="20"/>
  <c r="T54" i="20"/>
  <c r="T53" i="20"/>
  <c r="T52" i="20"/>
  <c r="T51" i="20"/>
  <c r="T50" i="20"/>
  <c r="T49" i="20"/>
  <c r="T48" i="20"/>
  <c r="T47" i="20"/>
  <c r="T46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27" i="20"/>
  <c r="W97" i="20" l="1"/>
  <c r="Q97" i="20"/>
  <c r="K97" i="20"/>
  <c r="E97" i="20"/>
  <c r="W96" i="20"/>
  <c r="Q96" i="20"/>
  <c r="K96" i="20"/>
  <c r="E96" i="20"/>
  <c r="W95" i="20"/>
  <c r="Q95" i="20"/>
  <c r="K95" i="20"/>
  <c r="E95" i="20"/>
  <c r="W94" i="20"/>
  <c r="Q94" i="20"/>
  <c r="K94" i="20"/>
  <c r="E94" i="20"/>
  <c r="W93" i="20"/>
  <c r="Q93" i="20"/>
  <c r="K93" i="20"/>
  <c r="E93" i="20"/>
  <c r="W92" i="20"/>
  <c r="Q92" i="20"/>
  <c r="K92" i="20"/>
  <c r="E92" i="20"/>
  <c r="W91" i="20"/>
  <c r="Q91" i="20"/>
  <c r="K91" i="20"/>
  <c r="E91" i="20"/>
  <c r="W90" i="20"/>
  <c r="Q90" i="20"/>
  <c r="K90" i="20"/>
  <c r="E90" i="20"/>
  <c r="W89" i="20"/>
  <c r="Q89" i="20"/>
  <c r="K89" i="20"/>
  <c r="E89" i="20"/>
  <c r="W88" i="20"/>
  <c r="Q88" i="20"/>
  <c r="K88" i="20"/>
  <c r="E88" i="20"/>
  <c r="W87" i="20"/>
  <c r="Q87" i="20"/>
  <c r="K87" i="20"/>
  <c r="E87" i="20"/>
  <c r="W86" i="20"/>
  <c r="Q86" i="20"/>
  <c r="K86" i="20"/>
  <c r="E86" i="20"/>
  <c r="W85" i="20"/>
  <c r="Q85" i="20"/>
  <c r="K85" i="20"/>
  <c r="E85" i="20"/>
  <c r="W84" i="20"/>
  <c r="Q84" i="20"/>
  <c r="K84" i="20"/>
  <c r="E84" i="20"/>
  <c r="W78" i="20"/>
  <c r="Q78" i="20"/>
  <c r="K78" i="20"/>
  <c r="E78" i="20"/>
  <c r="W77" i="20"/>
  <c r="Q77" i="20"/>
  <c r="K77" i="20"/>
  <c r="E77" i="20"/>
  <c r="W76" i="20"/>
  <c r="Q76" i="20"/>
  <c r="K76" i="20"/>
  <c r="E76" i="20"/>
  <c r="W75" i="20"/>
  <c r="Q75" i="20"/>
  <c r="K75" i="20"/>
  <c r="E75" i="20"/>
  <c r="W74" i="20"/>
  <c r="Q74" i="20"/>
  <c r="K74" i="20"/>
  <c r="E74" i="20"/>
  <c r="W73" i="20"/>
  <c r="Q73" i="20"/>
  <c r="K73" i="20"/>
  <c r="E73" i="20"/>
  <c r="W72" i="20"/>
  <c r="Q72" i="20"/>
  <c r="K72" i="20"/>
  <c r="E72" i="20"/>
  <c r="W71" i="20"/>
  <c r="Q71" i="20"/>
  <c r="K71" i="20"/>
  <c r="E71" i="20"/>
  <c r="W70" i="20"/>
  <c r="Q70" i="20"/>
  <c r="K70" i="20"/>
  <c r="E70" i="20"/>
  <c r="W69" i="20"/>
  <c r="Q69" i="20"/>
  <c r="K69" i="20"/>
  <c r="E69" i="20"/>
  <c r="W68" i="20"/>
  <c r="Q68" i="20"/>
  <c r="K68" i="20"/>
  <c r="E68" i="20"/>
  <c r="W67" i="20"/>
  <c r="Q67" i="20"/>
  <c r="K67" i="20"/>
  <c r="E67" i="20"/>
  <c r="W66" i="20"/>
  <c r="Q66" i="20"/>
  <c r="K66" i="20"/>
  <c r="E66" i="20"/>
  <c r="W65" i="20"/>
  <c r="Q65" i="20"/>
  <c r="K65" i="20"/>
  <c r="E65" i="20"/>
  <c r="W59" i="20"/>
  <c r="Q59" i="20"/>
  <c r="K59" i="20"/>
  <c r="E59" i="20"/>
  <c r="W58" i="20"/>
  <c r="Q58" i="20"/>
  <c r="K58" i="20"/>
  <c r="E58" i="20"/>
  <c r="W57" i="20"/>
  <c r="Q57" i="20"/>
  <c r="K57" i="20"/>
  <c r="E57" i="20"/>
  <c r="W56" i="20"/>
  <c r="Q56" i="20"/>
  <c r="K56" i="20"/>
  <c r="E56" i="20"/>
  <c r="W55" i="20"/>
  <c r="Q55" i="20"/>
  <c r="K55" i="20"/>
  <c r="E55" i="20"/>
  <c r="W54" i="20"/>
  <c r="Q54" i="20"/>
  <c r="K54" i="20"/>
  <c r="E54" i="20"/>
  <c r="W53" i="20"/>
  <c r="Q53" i="20"/>
  <c r="K53" i="20"/>
  <c r="E53" i="20"/>
  <c r="W52" i="20"/>
  <c r="Q52" i="20"/>
  <c r="K52" i="20"/>
  <c r="E52" i="20"/>
  <c r="W51" i="20"/>
  <c r="Q51" i="20"/>
  <c r="K51" i="20"/>
  <c r="E51" i="20"/>
  <c r="W50" i="20"/>
  <c r="Q50" i="20"/>
  <c r="K50" i="20"/>
  <c r="E50" i="20"/>
  <c r="W49" i="20"/>
  <c r="Q49" i="20"/>
  <c r="K49" i="20"/>
  <c r="E49" i="20"/>
  <c r="W48" i="20"/>
  <c r="Q48" i="20"/>
  <c r="K48" i="20"/>
  <c r="E48" i="20"/>
  <c r="W47" i="20"/>
  <c r="Q47" i="20"/>
  <c r="K47" i="20"/>
  <c r="E47" i="20"/>
  <c r="W46" i="20"/>
  <c r="Q46" i="20"/>
  <c r="K46" i="20"/>
  <c r="E46" i="20"/>
  <c r="W40" i="20"/>
  <c r="W39" i="20"/>
  <c r="W38" i="20"/>
  <c r="W37" i="20"/>
  <c r="W36" i="20"/>
  <c r="W35" i="20"/>
  <c r="W34" i="20"/>
  <c r="W33" i="20"/>
  <c r="W32" i="20"/>
  <c r="W31" i="20"/>
  <c r="W30" i="20"/>
  <c r="W29" i="20"/>
  <c r="W28" i="20"/>
  <c r="W27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E36" i="20" l="1"/>
  <c r="E37" i="20"/>
  <c r="E38" i="20"/>
  <c r="E39" i="20"/>
  <c r="E40" i="20"/>
  <c r="E28" i="20"/>
  <c r="E29" i="20"/>
  <c r="E30" i="20"/>
  <c r="E31" i="20"/>
  <c r="E32" i="20"/>
  <c r="E33" i="20"/>
  <c r="E34" i="20"/>
  <c r="E35" i="20"/>
  <c r="E27" i="20"/>
  <c r="B68" i="19" l="1"/>
  <c r="L28" i="9" l="1"/>
  <c r="B49" i="6" l="1"/>
  <c r="B41" i="6"/>
  <c r="B39" i="6"/>
  <c r="B19" i="6"/>
  <c r="B11" i="6"/>
  <c r="B9" i="6"/>
  <c r="A38" i="9"/>
  <c r="A39" i="9"/>
  <c r="B34" i="6" l="1"/>
  <c r="E18" i="8"/>
  <c r="H18" i="8"/>
  <c r="B26" i="6" l="1"/>
  <c r="B24" i="6"/>
  <c r="L50" i="6"/>
  <c r="L49" i="6"/>
  <c r="P8" i="4"/>
  <c r="D41" i="9"/>
  <c r="D42" i="9"/>
  <c r="A42" i="9"/>
  <c r="A41" i="9"/>
  <c r="A40" i="9"/>
  <c r="A37" i="9"/>
  <c r="A36" i="9"/>
  <c r="A35" i="9"/>
  <c r="A34" i="9"/>
  <c r="Q46" i="6" l="1"/>
  <c r="F15" i="4"/>
  <c r="F14" i="4"/>
  <c r="F13" i="4"/>
  <c r="O42" i="6"/>
  <c r="O43" i="6"/>
  <c r="O44" i="6"/>
  <c r="O45" i="6"/>
  <c r="O47" i="6"/>
  <c r="O48" i="6"/>
  <c r="O49" i="6"/>
  <c r="O50" i="6"/>
  <c r="O41" i="6"/>
  <c r="P50" i="6" l="1"/>
  <c r="P49" i="6"/>
  <c r="P48" i="6"/>
  <c r="P47" i="6"/>
  <c r="P46" i="6"/>
  <c r="P45" i="6"/>
  <c r="P44" i="6"/>
  <c r="P43" i="6"/>
  <c r="P42" i="6"/>
  <c r="N50" i="6"/>
  <c r="N49" i="6"/>
  <c r="N48" i="6"/>
  <c r="N47" i="6"/>
  <c r="N46" i="6"/>
  <c r="N45" i="6"/>
  <c r="N44" i="6"/>
  <c r="N43" i="6"/>
  <c r="N42" i="6"/>
  <c r="L48" i="6"/>
  <c r="L47" i="6"/>
  <c r="L46" i="6"/>
  <c r="L45" i="6"/>
  <c r="L44" i="6"/>
  <c r="L41" i="6"/>
  <c r="L43" i="6"/>
  <c r="L42" i="6"/>
  <c r="P41" i="6"/>
  <c r="N41" i="6"/>
  <c r="D43" i="19" l="1"/>
  <c r="C43" i="19"/>
  <c r="B43" i="19"/>
  <c r="A43" i="19"/>
  <c r="D26" i="19"/>
  <c r="B19" i="19"/>
  <c r="B18" i="19"/>
  <c r="E19" i="8" l="1"/>
  <c r="E20" i="8"/>
  <c r="E21" i="8"/>
  <c r="E22" i="8"/>
  <c r="E23" i="8"/>
  <c r="E24" i="8"/>
  <c r="C19" i="8"/>
  <c r="C20" i="8"/>
  <c r="C21" i="8"/>
  <c r="C22" i="8"/>
  <c r="C23" i="8"/>
  <c r="C24" i="8"/>
  <c r="C18" i="8"/>
  <c r="H19" i="8"/>
  <c r="H20" i="8"/>
  <c r="H21" i="8"/>
  <c r="H22" i="8"/>
  <c r="H23" i="8"/>
  <c r="H24" i="8"/>
  <c r="A18" i="8"/>
  <c r="C11" i="13" l="1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10" i="13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66" i="12"/>
  <c r="A66" i="12"/>
  <c r="I66" i="12"/>
  <c r="J66" i="12"/>
  <c r="O66" i="12"/>
  <c r="U66" i="12"/>
  <c r="A67" i="12"/>
  <c r="A47" i="12"/>
  <c r="F47" i="12"/>
  <c r="I47" i="12"/>
  <c r="M47" i="12"/>
  <c r="U47" i="12"/>
  <c r="AA47" i="12"/>
  <c r="AI47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26" i="12"/>
  <c r="O67" i="12"/>
  <c r="U67" i="12"/>
  <c r="O68" i="12"/>
  <c r="U68" i="12"/>
  <c r="O69" i="12"/>
  <c r="U69" i="12"/>
  <c r="O70" i="12"/>
  <c r="U70" i="12"/>
  <c r="O71" i="12"/>
  <c r="U71" i="12"/>
  <c r="O72" i="12"/>
  <c r="U72" i="12"/>
  <c r="O73" i="12"/>
  <c r="U73" i="12"/>
  <c r="O74" i="12"/>
  <c r="U74" i="12"/>
  <c r="O75" i="12"/>
  <c r="U75" i="12"/>
  <c r="O76" i="12"/>
  <c r="U76" i="12"/>
  <c r="O77" i="12"/>
  <c r="U77" i="12"/>
  <c r="O78" i="12"/>
  <c r="U78" i="12"/>
  <c r="O79" i="12"/>
  <c r="U79" i="12"/>
  <c r="O80" i="12"/>
  <c r="U80" i="12"/>
  <c r="I67" i="12"/>
  <c r="J67" i="12"/>
  <c r="A68" i="12"/>
  <c r="I68" i="12"/>
  <c r="J68" i="12"/>
  <c r="A69" i="12"/>
  <c r="I69" i="12"/>
  <c r="J69" i="12"/>
  <c r="A70" i="12"/>
  <c r="I70" i="12"/>
  <c r="J70" i="12"/>
  <c r="A71" i="12"/>
  <c r="I71" i="12"/>
  <c r="J71" i="12"/>
  <c r="A72" i="12"/>
  <c r="I72" i="12"/>
  <c r="J72" i="12"/>
  <c r="A73" i="12"/>
  <c r="I73" i="12"/>
  <c r="J73" i="12"/>
  <c r="A74" i="12"/>
  <c r="I74" i="12"/>
  <c r="J74" i="12"/>
  <c r="A75" i="12"/>
  <c r="I75" i="12"/>
  <c r="J75" i="12"/>
  <c r="A76" i="12"/>
  <c r="I76" i="12"/>
  <c r="J76" i="12"/>
  <c r="A77" i="12"/>
  <c r="I77" i="12"/>
  <c r="J77" i="12"/>
  <c r="A78" i="12"/>
  <c r="I78" i="12"/>
  <c r="J78" i="12"/>
  <c r="A79" i="12"/>
  <c r="I79" i="12"/>
  <c r="J79" i="12"/>
  <c r="A80" i="12"/>
  <c r="I80" i="12"/>
  <c r="J80" i="12"/>
  <c r="AA48" i="12"/>
  <c r="AI48" i="12"/>
  <c r="AA49" i="12"/>
  <c r="AI49" i="12"/>
  <c r="AA50" i="12"/>
  <c r="AI50" i="12"/>
  <c r="AA51" i="12"/>
  <c r="AI51" i="12"/>
  <c r="AA52" i="12"/>
  <c r="AI52" i="12"/>
  <c r="AA53" i="12"/>
  <c r="AI53" i="12"/>
  <c r="AA54" i="12"/>
  <c r="AI54" i="12"/>
  <c r="AA55" i="12"/>
  <c r="AI55" i="12"/>
  <c r="AA56" i="12"/>
  <c r="AI56" i="12"/>
  <c r="AA57" i="12"/>
  <c r="AI57" i="12"/>
  <c r="AA58" i="12"/>
  <c r="AI58" i="12"/>
  <c r="AA59" i="12"/>
  <c r="AI59" i="12"/>
  <c r="AA60" i="12"/>
  <c r="AI60" i="12"/>
  <c r="AA61" i="12"/>
  <c r="AI61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A60" i="12"/>
  <c r="F60" i="12"/>
  <c r="A61" i="12"/>
  <c r="F61" i="12"/>
  <c r="A48" i="12"/>
  <c r="F48" i="12"/>
  <c r="A49" i="12"/>
  <c r="F49" i="12"/>
  <c r="A50" i="12"/>
  <c r="F50" i="12"/>
  <c r="A51" i="12"/>
  <c r="F51" i="12"/>
  <c r="A52" i="12"/>
  <c r="F52" i="12"/>
  <c r="A53" i="12"/>
  <c r="F53" i="12"/>
  <c r="A54" i="12"/>
  <c r="F54" i="12"/>
  <c r="A55" i="12"/>
  <c r="F55" i="12"/>
  <c r="A56" i="12"/>
  <c r="F56" i="12"/>
  <c r="A57" i="12"/>
  <c r="F57" i="12"/>
  <c r="A58" i="12"/>
  <c r="F58" i="12"/>
  <c r="A59" i="12"/>
  <c r="F59" i="12"/>
  <c r="D40" i="9" l="1"/>
  <c r="G5" i="7" l="1"/>
  <c r="A23" i="9"/>
  <c r="C9" i="7"/>
  <c r="C10" i="7"/>
  <c r="C11" i="7"/>
  <c r="C12" i="7"/>
  <c r="C13" i="7"/>
  <c r="C14" i="7"/>
  <c r="C15" i="7"/>
  <c r="C16" i="7"/>
  <c r="C8" i="7"/>
  <c r="D37" i="9"/>
  <c r="T26" i="12" l="1"/>
  <c r="A31" i="11"/>
  <c r="E8" i="15" l="1"/>
  <c r="H7" i="15" l="1"/>
  <c r="H8" i="15"/>
  <c r="H9" i="15"/>
  <c r="H10" i="15"/>
  <c r="H11" i="15"/>
  <c r="H12" i="15"/>
  <c r="H13" i="15"/>
  <c r="H6" i="15"/>
  <c r="C7" i="15"/>
  <c r="D7" i="15" s="1"/>
  <c r="C8" i="15"/>
  <c r="D8" i="15" s="1"/>
  <c r="C9" i="15"/>
  <c r="D9" i="15" s="1"/>
  <c r="C10" i="15"/>
  <c r="D10" i="15" s="1"/>
  <c r="C11" i="15"/>
  <c r="D11" i="15" s="1"/>
  <c r="C12" i="15"/>
  <c r="D12" i="15" s="1"/>
  <c r="C13" i="15"/>
  <c r="D13" i="15" s="1"/>
  <c r="C6" i="15"/>
  <c r="E6" i="15" s="1"/>
  <c r="F6" i="15" s="1"/>
  <c r="G6" i="15" s="1"/>
  <c r="E13" i="15" l="1"/>
  <c r="F13" i="15" s="1"/>
  <c r="G13" i="15" s="1"/>
  <c r="E12" i="15"/>
  <c r="F12" i="15" s="1"/>
  <c r="G12" i="15" s="1"/>
  <c r="F8" i="15"/>
  <c r="G8" i="15" s="1"/>
  <c r="E7" i="15"/>
  <c r="F7" i="15" s="1"/>
  <c r="G7" i="15" s="1"/>
  <c r="E11" i="15"/>
  <c r="F11" i="15" s="1"/>
  <c r="G11" i="15" s="1"/>
  <c r="D6" i="15"/>
  <c r="E10" i="15"/>
  <c r="F10" i="15" s="1"/>
  <c r="G10" i="15" s="1"/>
  <c r="E9" i="15"/>
  <c r="F9" i="15" s="1"/>
  <c r="G9" i="15" s="1"/>
  <c r="U36" i="12" l="1"/>
  <c r="R41" i="12" l="1"/>
  <c r="L41" i="12"/>
  <c r="L36" i="12"/>
  <c r="L31" i="12"/>
  <c r="L26" i="12" l="1"/>
  <c r="F26" i="12"/>
  <c r="A26" i="12"/>
  <c r="E4" i="1" l="1"/>
  <c r="E5" i="1"/>
  <c r="E6" i="1"/>
  <c r="E7" i="1"/>
  <c r="E8" i="1"/>
  <c r="E9" i="1"/>
  <c r="E10" i="1"/>
  <c r="E11" i="1"/>
  <c r="E12" i="1"/>
  <c r="E3" i="1"/>
  <c r="E47" i="14" l="1"/>
  <c r="E45" i="14"/>
  <c r="E43" i="14"/>
  <c r="E42" i="14"/>
  <c r="E41" i="14"/>
  <c r="E33" i="14" l="1"/>
  <c r="E31" i="14"/>
  <c r="E29" i="14"/>
  <c r="E28" i="14"/>
  <c r="E27" i="14"/>
  <c r="T13" i="7" l="1"/>
  <c r="R13" i="7" l="1"/>
  <c r="F36" i="11" l="1"/>
  <c r="F35" i="11"/>
  <c r="F34" i="11"/>
  <c r="F33" i="11"/>
  <c r="F32" i="11"/>
  <c r="F31" i="11"/>
  <c r="A36" i="11"/>
  <c r="A35" i="11"/>
  <c r="A34" i="11"/>
  <c r="A33" i="11"/>
  <c r="A32" i="11"/>
  <c r="F16" i="11"/>
  <c r="F15" i="11"/>
  <c r="F14" i="11"/>
  <c r="F13" i="11"/>
  <c r="F12" i="11"/>
  <c r="B13" i="11"/>
  <c r="B14" i="11"/>
  <c r="B15" i="11"/>
  <c r="B16" i="11"/>
  <c r="B17" i="11"/>
  <c r="B18" i="11"/>
  <c r="B19" i="11"/>
  <c r="B20" i="11"/>
  <c r="B12" i="11"/>
  <c r="A20" i="11"/>
  <c r="A19" i="11"/>
  <c r="A18" i="11"/>
  <c r="A17" i="11"/>
  <c r="C17" i="11" s="1"/>
  <c r="A16" i="11"/>
  <c r="A15" i="11"/>
  <c r="C15" i="11" s="1"/>
  <c r="A14" i="11"/>
  <c r="A13" i="11"/>
  <c r="C13" i="11" s="1"/>
  <c r="A12" i="11"/>
  <c r="C12" i="11" l="1"/>
  <c r="C16" i="11"/>
  <c r="C20" i="11"/>
  <c r="C19" i="11"/>
  <c r="C18" i="11"/>
  <c r="D31" i="19" s="1"/>
  <c r="C14" i="11"/>
  <c r="A26" i="9" l="1"/>
  <c r="A25" i="9"/>
  <c r="A24" i="9"/>
  <c r="A21" i="9"/>
  <c r="D35" i="9"/>
  <c r="D36" i="9"/>
  <c r="D38" i="9"/>
  <c r="D39" i="9"/>
  <c r="D34" i="9"/>
  <c r="D13" i="1" l="1"/>
  <c r="E13" i="1" s="1"/>
  <c r="D48" i="12" l="1"/>
  <c r="D52" i="12"/>
  <c r="D56" i="12"/>
  <c r="D51" i="12"/>
  <c r="D55" i="12"/>
  <c r="D59" i="12"/>
  <c r="D49" i="12"/>
  <c r="D61" i="12"/>
  <c r="D53" i="12"/>
  <c r="D47" i="12"/>
  <c r="D60" i="12"/>
  <c r="D50" i="12"/>
  <c r="D54" i="12"/>
  <c r="D58" i="12"/>
  <c r="D57" i="12"/>
  <c r="F10" i="4"/>
  <c r="M11" i="4" s="1"/>
  <c r="D4" i="4"/>
  <c r="D11" i="19"/>
  <c r="D26" i="12"/>
  <c r="F7" i="4"/>
  <c r="B4" i="4"/>
  <c r="L15" i="4" l="1"/>
  <c r="H13" i="4"/>
  <c r="H14" i="4"/>
  <c r="H15" i="4"/>
  <c r="H16" i="4"/>
  <c r="M12" i="4" l="1"/>
  <c r="D25" i="19"/>
  <c r="D27" i="19"/>
  <c r="T49" i="12"/>
  <c r="T53" i="12"/>
  <c r="T57" i="12"/>
  <c r="T61" i="12"/>
  <c r="O48" i="12"/>
  <c r="Q48" i="12" s="1"/>
  <c r="R48" i="12" s="1"/>
  <c r="O50" i="12"/>
  <c r="Q50" i="12" s="1"/>
  <c r="R50" i="12" s="1"/>
  <c r="O52" i="12"/>
  <c r="Q52" i="12" s="1"/>
  <c r="R52" i="12" s="1"/>
  <c r="O54" i="12"/>
  <c r="Q54" i="12" s="1"/>
  <c r="R54" i="12" s="1"/>
  <c r="O56" i="12"/>
  <c r="Q56" i="12" s="1"/>
  <c r="R56" i="12" s="1"/>
  <c r="O58" i="12"/>
  <c r="Q58" i="12" s="1"/>
  <c r="R58" i="12" s="1"/>
  <c r="O60" i="12"/>
  <c r="Q60" i="12" s="1"/>
  <c r="R60" i="12" s="1"/>
  <c r="T48" i="12"/>
  <c r="T52" i="12"/>
  <c r="T56" i="12"/>
  <c r="T60" i="12"/>
  <c r="T47" i="12"/>
  <c r="T51" i="12"/>
  <c r="T55" i="12"/>
  <c r="T59" i="12"/>
  <c r="O49" i="12"/>
  <c r="Q49" i="12" s="1"/>
  <c r="R49" i="12" s="1"/>
  <c r="O57" i="12"/>
  <c r="Q57" i="12" s="1"/>
  <c r="R57" i="12" s="1"/>
  <c r="O55" i="12"/>
  <c r="Q55" i="12" s="1"/>
  <c r="R55" i="12" s="1"/>
  <c r="T50" i="12"/>
  <c r="T58" i="12"/>
  <c r="O61" i="12"/>
  <c r="Q61" i="12" s="1"/>
  <c r="R61" i="12" s="1"/>
  <c r="T54" i="12"/>
  <c r="O53" i="12"/>
  <c r="Q53" i="12" s="1"/>
  <c r="R53" i="12" s="1"/>
  <c r="O47" i="12"/>
  <c r="Q47" i="12" s="1"/>
  <c r="R47" i="12" s="1"/>
  <c r="O51" i="12"/>
  <c r="Q51" i="12" s="1"/>
  <c r="R51" i="12" s="1"/>
  <c r="O59" i="12"/>
  <c r="Q59" i="12" s="1"/>
  <c r="R59" i="12" s="1"/>
  <c r="D22" i="9"/>
  <c r="S26" i="12"/>
  <c r="J19" i="4"/>
  <c r="G14" i="11"/>
  <c r="I14" i="11" s="1"/>
  <c r="D24" i="9"/>
  <c r="G15" i="11"/>
  <c r="I15" i="11" s="1"/>
  <c r="D25" i="9"/>
  <c r="G16" i="11"/>
  <c r="I16" i="11" s="1"/>
  <c r="D32" i="19" s="1"/>
  <c r="G12" i="11"/>
  <c r="I12" i="11" s="1"/>
  <c r="G13" i="11"/>
  <c r="I13" i="11" s="1"/>
  <c r="D21" i="9"/>
  <c r="N26" i="12"/>
  <c r="D26" i="9"/>
  <c r="D23" i="9"/>
  <c r="E21" i="9"/>
  <c r="E35" i="9"/>
  <c r="B24" i="9"/>
  <c r="B25" i="9"/>
  <c r="E24" i="9" l="1"/>
  <c r="E34" i="9"/>
  <c r="E23" i="9"/>
  <c r="B21" i="9"/>
  <c r="F21" i="9" s="1"/>
  <c r="E25" i="9"/>
  <c r="F25" i="9" s="1"/>
  <c r="B35" i="9"/>
  <c r="B39" i="9"/>
  <c r="B34" i="9"/>
  <c r="B41" i="9"/>
  <c r="E41" i="9"/>
  <c r="E42" i="9"/>
  <c r="B42" i="9"/>
  <c r="B38" i="9"/>
  <c r="B40" i="9"/>
  <c r="B36" i="9"/>
  <c r="B37" i="9"/>
  <c r="D24" i="19"/>
  <c r="D19" i="8"/>
  <c r="D23" i="8"/>
  <c r="D20" i="8"/>
  <c r="D24" i="8"/>
  <c r="D21" i="8"/>
  <c r="D18" i="8"/>
  <c r="D22" i="8"/>
  <c r="B26" i="9"/>
  <c r="E26" i="9"/>
  <c r="E38" i="9"/>
  <c r="C26" i="12"/>
  <c r="B23" i="9"/>
  <c r="F23" i="9" s="1"/>
  <c r="E36" i="9"/>
  <c r="E39" i="9"/>
  <c r="D13" i="13"/>
  <c r="D17" i="13"/>
  <c r="D21" i="13"/>
  <c r="D25" i="13"/>
  <c r="D29" i="13"/>
  <c r="D33" i="13"/>
  <c r="D10" i="13"/>
  <c r="C47" i="12"/>
  <c r="E47" i="12" s="1"/>
  <c r="J47" i="12" s="1"/>
  <c r="W51" i="12"/>
  <c r="X51" i="12" s="1"/>
  <c r="Y51" i="12" s="1"/>
  <c r="W55" i="12"/>
  <c r="X55" i="12" s="1"/>
  <c r="Y55" i="12" s="1"/>
  <c r="W59" i="12"/>
  <c r="X59" i="12" s="1"/>
  <c r="Y59" i="12" s="1"/>
  <c r="C60" i="12"/>
  <c r="E60" i="12" s="1"/>
  <c r="J60" i="12" s="1"/>
  <c r="C61" i="12"/>
  <c r="E61" i="12" s="1"/>
  <c r="J61" i="12" s="1"/>
  <c r="C48" i="12"/>
  <c r="E48" i="12" s="1"/>
  <c r="J48" i="12" s="1"/>
  <c r="C49" i="12"/>
  <c r="E49" i="12" s="1"/>
  <c r="J49" i="12" s="1"/>
  <c r="C50" i="12"/>
  <c r="E50" i="12" s="1"/>
  <c r="J50" i="12" s="1"/>
  <c r="C51" i="12"/>
  <c r="E51" i="12" s="1"/>
  <c r="J51" i="12" s="1"/>
  <c r="C52" i="12"/>
  <c r="E52" i="12" s="1"/>
  <c r="J52" i="12" s="1"/>
  <c r="C53" i="12"/>
  <c r="E53" i="12" s="1"/>
  <c r="J53" i="12" s="1"/>
  <c r="C54" i="12"/>
  <c r="E54" i="12" s="1"/>
  <c r="J54" i="12" s="1"/>
  <c r="C55" i="12"/>
  <c r="E55" i="12" s="1"/>
  <c r="J55" i="12" s="1"/>
  <c r="D14" i="13"/>
  <c r="D18" i="13"/>
  <c r="D22" i="13"/>
  <c r="D26" i="13"/>
  <c r="D30" i="13"/>
  <c r="D34" i="13"/>
  <c r="W47" i="12"/>
  <c r="X47" i="12" s="1"/>
  <c r="Y47" i="12" s="1"/>
  <c r="W50" i="12"/>
  <c r="X50" i="12" s="1"/>
  <c r="Y50" i="12" s="1"/>
  <c r="W54" i="12"/>
  <c r="X54" i="12" s="1"/>
  <c r="Y54" i="12" s="1"/>
  <c r="W58" i="12"/>
  <c r="X58" i="12" s="1"/>
  <c r="Y58" i="12" s="1"/>
  <c r="D16" i="13"/>
  <c r="D24" i="13"/>
  <c r="D32" i="13"/>
  <c r="W57" i="12"/>
  <c r="X57" i="12" s="1"/>
  <c r="Y57" i="12" s="1"/>
  <c r="D28" i="13"/>
  <c r="C56" i="12"/>
  <c r="E56" i="12" s="1"/>
  <c r="J56" i="12" s="1"/>
  <c r="C58" i="12"/>
  <c r="E58" i="12" s="1"/>
  <c r="J58" i="12" s="1"/>
  <c r="D15" i="13"/>
  <c r="D31" i="13"/>
  <c r="W48" i="12"/>
  <c r="X48" i="12" s="1"/>
  <c r="Y48" i="12" s="1"/>
  <c r="W52" i="12"/>
  <c r="X52" i="12" s="1"/>
  <c r="Y52" i="12" s="1"/>
  <c r="W60" i="12"/>
  <c r="X60" i="12" s="1"/>
  <c r="Y60" i="12" s="1"/>
  <c r="D11" i="13"/>
  <c r="D19" i="13"/>
  <c r="D27" i="13"/>
  <c r="D35" i="13"/>
  <c r="W49" i="12"/>
  <c r="X49" i="12" s="1"/>
  <c r="Y49" i="12" s="1"/>
  <c r="W53" i="12"/>
  <c r="X53" i="12" s="1"/>
  <c r="Y53" i="12" s="1"/>
  <c r="W61" i="12"/>
  <c r="X61" i="12" s="1"/>
  <c r="Y61" i="12" s="1"/>
  <c r="D12" i="13"/>
  <c r="D20" i="13"/>
  <c r="D36" i="13"/>
  <c r="C57" i="12"/>
  <c r="E57" i="12" s="1"/>
  <c r="J57" i="12" s="1"/>
  <c r="C59" i="12"/>
  <c r="E59" i="12" s="1"/>
  <c r="J59" i="12" s="1"/>
  <c r="D23" i="13"/>
  <c r="W56" i="12"/>
  <c r="X56" i="12" s="1"/>
  <c r="Y56" i="12" s="1"/>
  <c r="N35" i="9"/>
  <c r="E22" i="9"/>
  <c r="B22" i="9"/>
  <c r="N22" i="9"/>
  <c r="E40" i="9"/>
  <c r="E37" i="9"/>
  <c r="V26" i="12"/>
  <c r="L16" i="4"/>
  <c r="F24" i="9"/>
  <c r="S9" i="7"/>
  <c r="T14" i="7" s="1"/>
  <c r="S16" i="7" s="1"/>
  <c r="T16" i="7" s="1"/>
  <c r="S8" i="7"/>
  <c r="S7" i="7"/>
  <c r="AC74" i="12" l="1"/>
  <c r="AJ74" i="12" s="1"/>
  <c r="AK74" i="12" s="1"/>
  <c r="K55" i="12"/>
  <c r="AC69" i="12"/>
  <c r="AJ69" i="12" s="1"/>
  <c r="AK69" i="12" s="1"/>
  <c r="K50" i="12"/>
  <c r="AC79" i="12"/>
  <c r="AJ79" i="12" s="1"/>
  <c r="AK79" i="12" s="1"/>
  <c r="K60" i="12"/>
  <c r="AC66" i="12"/>
  <c r="AJ66" i="12" s="1"/>
  <c r="AK66" i="12" s="1"/>
  <c r="K47" i="12"/>
  <c r="AC76" i="12"/>
  <c r="AJ76" i="12" s="1"/>
  <c r="AK76" i="12" s="1"/>
  <c r="K57" i="12"/>
  <c r="AC77" i="12"/>
  <c r="AJ77" i="12" s="1"/>
  <c r="AK77" i="12" s="1"/>
  <c r="K58" i="12"/>
  <c r="AC71" i="12"/>
  <c r="AJ71" i="12" s="1"/>
  <c r="AK71" i="12" s="1"/>
  <c r="K52" i="12"/>
  <c r="AC67" i="12"/>
  <c r="AJ67" i="12" s="1"/>
  <c r="AK67" i="12" s="1"/>
  <c r="K48" i="12"/>
  <c r="AC75" i="12"/>
  <c r="AJ75" i="12" s="1"/>
  <c r="AK75" i="12" s="1"/>
  <c r="K56" i="12"/>
  <c r="AC70" i="12"/>
  <c r="AJ70" i="12" s="1"/>
  <c r="AK70" i="12" s="1"/>
  <c r="K51" i="12"/>
  <c r="AC80" i="12"/>
  <c r="AJ80" i="12" s="1"/>
  <c r="AK80" i="12" s="1"/>
  <c r="K61" i="12"/>
  <c r="AC73" i="12"/>
  <c r="AJ73" i="12" s="1"/>
  <c r="AK73" i="12" s="1"/>
  <c r="K54" i="12"/>
  <c r="AC78" i="12"/>
  <c r="AJ78" i="12" s="1"/>
  <c r="AK78" i="12" s="1"/>
  <c r="K59" i="12"/>
  <c r="AC72" i="12"/>
  <c r="AJ72" i="12" s="1"/>
  <c r="AK72" i="12" s="1"/>
  <c r="K53" i="12"/>
  <c r="AC68" i="12"/>
  <c r="AJ68" i="12" s="1"/>
  <c r="AK68" i="12" s="1"/>
  <c r="K49" i="12"/>
  <c r="F26" i="9"/>
  <c r="Q38" i="9"/>
  <c r="R38" i="9" s="1"/>
  <c r="S38" i="9" s="1"/>
  <c r="I39" i="9"/>
  <c r="J39" i="9" s="1"/>
  <c r="K39" i="9" s="1"/>
  <c r="I40" i="9"/>
  <c r="J40" i="9" s="1"/>
  <c r="K40" i="9" s="1"/>
  <c r="I41" i="9"/>
  <c r="J41" i="9" s="1"/>
  <c r="K41" i="9" s="1"/>
  <c r="I42" i="9"/>
  <c r="J42" i="9" s="1"/>
  <c r="K42" i="9" s="1"/>
  <c r="F42" i="9"/>
  <c r="F41" i="9"/>
  <c r="I23" i="8"/>
  <c r="J23" i="8"/>
  <c r="I22" i="8"/>
  <c r="J22" i="8"/>
  <c r="J21" i="8"/>
  <c r="I21" i="8"/>
  <c r="J19" i="8"/>
  <c r="I19" i="8"/>
  <c r="I20" i="8"/>
  <c r="J20" i="8"/>
  <c r="J24" i="8"/>
  <c r="I24" i="8"/>
  <c r="F35" i="9"/>
  <c r="D79" i="19"/>
  <c r="F21" i="8"/>
  <c r="F18" i="8"/>
  <c r="F22" i="8"/>
  <c r="F19" i="8"/>
  <c r="F23" i="8"/>
  <c r="F20" i="8"/>
  <c r="F24" i="8"/>
  <c r="F22" i="9"/>
  <c r="F37" i="9"/>
  <c r="I21" i="9"/>
  <c r="J21" i="9" s="1"/>
  <c r="I24" i="9"/>
  <c r="J24" i="9" s="1"/>
  <c r="K24" i="9" s="1"/>
  <c r="V31" i="12"/>
  <c r="F36" i="9"/>
  <c r="N24" i="9"/>
  <c r="AK49" i="12"/>
  <c r="AK53" i="12"/>
  <c r="AK57" i="12"/>
  <c r="AK61" i="12"/>
  <c r="AK50" i="12"/>
  <c r="AK54" i="12"/>
  <c r="AK58" i="12"/>
  <c r="AK48" i="12"/>
  <c r="AK56" i="12"/>
  <c r="AK52" i="12"/>
  <c r="AK47" i="12"/>
  <c r="AK55" i="12"/>
  <c r="AK60" i="12"/>
  <c r="AK51" i="12"/>
  <c r="AK59" i="12"/>
  <c r="I23" i="9"/>
  <c r="J23" i="9" s="1"/>
  <c r="K23" i="9" s="1"/>
  <c r="I25" i="9"/>
  <c r="J25" i="9" s="1"/>
  <c r="K25" i="9" s="1"/>
  <c r="F34" i="9"/>
  <c r="I22" i="9"/>
  <c r="J22" i="9" s="1"/>
  <c r="K22" i="9" s="1"/>
  <c r="F39" i="9"/>
  <c r="F40" i="9"/>
  <c r="Q9" i="7"/>
  <c r="R14" i="7" s="1"/>
  <c r="Q8" i="7"/>
  <c r="Q7" i="7"/>
  <c r="D12" i="7"/>
  <c r="B9" i="7"/>
  <c r="D9" i="7" s="1"/>
  <c r="B10" i="7"/>
  <c r="D10" i="7" s="1"/>
  <c r="B11" i="7"/>
  <c r="D11" i="7" s="1"/>
  <c r="B12" i="7"/>
  <c r="B13" i="7"/>
  <c r="D13" i="7" s="1"/>
  <c r="B14" i="7"/>
  <c r="D14" i="7" s="1"/>
  <c r="B15" i="7"/>
  <c r="D15" i="7" s="1"/>
  <c r="B16" i="7"/>
  <c r="D16" i="7" s="1"/>
  <c r="B8" i="7"/>
  <c r="D8" i="7" s="1"/>
  <c r="G68" i="19" l="1"/>
  <c r="G71" i="19" s="1"/>
  <c r="K67" i="19" s="1"/>
  <c r="B10" i="6"/>
  <c r="C9" i="6" s="1"/>
  <c r="D9" i="6" s="1"/>
  <c r="M14" i="9"/>
  <c r="B40" i="6"/>
  <c r="C39" i="6" s="1"/>
  <c r="D39" i="6" s="1"/>
  <c r="B25" i="6"/>
  <c r="L55" i="6"/>
  <c r="B15" i="6"/>
  <c r="C15" i="6" s="1"/>
  <c r="D15" i="6" s="1"/>
  <c r="B45" i="6"/>
  <c r="C45" i="6" s="1"/>
  <c r="D45" i="6" s="1"/>
  <c r="N55" i="6"/>
  <c r="B30" i="6"/>
  <c r="C30" i="6" s="1"/>
  <c r="K21" i="9"/>
  <c r="B36" i="11" s="1"/>
  <c r="C36" i="11" s="1"/>
  <c r="D36" i="11" s="1"/>
  <c r="D81" i="19"/>
  <c r="L20" i="8"/>
  <c r="K20" i="8"/>
  <c r="L23" i="8"/>
  <c r="K23" i="8"/>
  <c r="K21" i="8"/>
  <c r="L21" i="8"/>
  <c r="N21" i="9"/>
  <c r="D78" i="19"/>
  <c r="D87" i="19"/>
  <c r="K19" i="8"/>
  <c r="L19" i="8"/>
  <c r="D37" i="19"/>
  <c r="D38" i="19"/>
  <c r="B69" i="19"/>
  <c r="B70" i="19" s="1"/>
  <c r="J67" i="19" s="1"/>
  <c r="K67" i="12"/>
  <c r="D88" i="19"/>
  <c r="K24" i="8"/>
  <c r="L24" i="8"/>
  <c r="K22" i="8"/>
  <c r="L22" i="8"/>
  <c r="N37" i="9"/>
  <c r="I34" i="9"/>
  <c r="J34" i="9" s="1"/>
  <c r="K66" i="12"/>
  <c r="K76" i="12"/>
  <c r="V36" i="12"/>
  <c r="K73" i="12"/>
  <c r="I35" i="9"/>
  <c r="J35" i="9" s="1"/>
  <c r="K35" i="9" s="1"/>
  <c r="I38" i="9"/>
  <c r="J38" i="9" s="1"/>
  <c r="K38" i="9" s="1"/>
  <c r="K74" i="12"/>
  <c r="K79" i="12"/>
  <c r="K71" i="12"/>
  <c r="I37" i="9"/>
  <c r="J37" i="9" s="1"/>
  <c r="K37" i="9" s="1"/>
  <c r="F38" i="9"/>
  <c r="N34" i="9" s="1"/>
  <c r="K80" i="12"/>
  <c r="K78" i="12"/>
  <c r="K77" i="12"/>
  <c r="K69" i="12"/>
  <c r="K68" i="12"/>
  <c r="I36" i="9"/>
  <c r="J36" i="9" s="1"/>
  <c r="K36" i="9" s="1"/>
  <c r="K72" i="12"/>
  <c r="K70" i="12"/>
  <c r="K75" i="12"/>
  <c r="V68" i="12"/>
  <c r="W68" i="12" s="1"/>
  <c r="V72" i="12"/>
  <c r="W72" i="12" s="1"/>
  <c r="V76" i="12"/>
  <c r="W76" i="12" s="1"/>
  <c r="V80" i="12"/>
  <c r="W80" i="12" s="1"/>
  <c r="Q69" i="12"/>
  <c r="S69" i="12" s="1"/>
  <c r="T69" i="12" s="1"/>
  <c r="V69" i="12"/>
  <c r="W69" i="12" s="1"/>
  <c r="V73" i="12"/>
  <c r="W73" i="12" s="1"/>
  <c r="V77" i="12"/>
  <c r="W77" i="12" s="1"/>
  <c r="V66" i="12"/>
  <c r="W66" i="12" s="1"/>
  <c r="Q70" i="12"/>
  <c r="S70" i="12" s="1"/>
  <c r="T70" i="12" s="1"/>
  <c r="Q74" i="12"/>
  <c r="S74" i="12" s="1"/>
  <c r="T74" i="12" s="1"/>
  <c r="Q78" i="12"/>
  <c r="S78" i="12" s="1"/>
  <c r="T78" i="12" s="1"/>
  <c r="S41" i="12"/>
  <c r="T41" i="12" s="1"/>
  <c r="V71" i="12"/>
  <c r="W71" i="12" s="1"/>
  <c r="V79" i="12"/>
  <c r="W79" i="12" s="1"/>
  <c r="Q72" i="12"/>
  <c r="S72" i="12" s="1"/>
  <c r="T72" i="12" s="1"/>
  <c r="Q76" i="12"/>
  <c r="S76" i="12" s="1"/>
  <c r="T76" i="12" s="1"/>
  <c r="Q73" i="12"/>
  <c r="S73" i="12" s="1"/>
  <c r="T73" i="12" s="1"/>
  <c r="V70" i="12"/>
  <c r="W70" i="12" s="1"/>
  <c r="V74" i="12"/>
  <c r="W74" i="12" s="1"/>
  <c r="V78" i="12"/>
  <c r="W78" i="12" s="1"/>
  <c r="Q67" i="12"/>
  <c r="S67" i="12" s="1"/>
  <c r="T67" i="12" s="1"/>
  <c r="Q71" i="12"/>
  <c r="S71" i="12" s="1"/>
  <c r="T71" i="12" s="1"/>
  <c r="Q75" i="12"/>
  <c r="S75" i="12" s="1"/>
  <c r="T75" i="12" s="1"/>
  <c r="Q79" i="12"/>
  <c r="S79" i="12" s="1"/>
  <c r="T79" i="12" s="1"/>
  <c r="N41" i="12"/>
  <c r="V67" i="12"/>
  <c r="W67" i="12" s="1"/>
  <c r="V75" i="12"/>
  <c r="W75" i="12" s="1"/>
  <c r="Q68" i="12"/>
  <c r="S68" i="12" s="1"/>
  <c r="T68" i="12" s="1"/>
  <c r="Q80" i="12"/>
  <c r="S80" i="12" s="1"/>
  <c r="T80" i="12" s="1"/>
  <c r="Q77" i="12"/>
  <c r="S77" i="12" s="1"/>
  <c r="T77" i="12" s="1"/>
  <c r="Q66" i="12"/>
  <c r="S66" i="12" s="1"/>
  <c r="T66" i="12" s="1"/>
  <c r="AH48" i="12" l="1"/>
  <c r="B54" i="9"/>
  <c r="E54" i="9"/>
  <c r="C24" i="6"/>
  <c r="D24" i="6" s="1"/>
  <c r="E24" i="6" s="1"/>
  <c r="A54" i="9"/>
  <c r="B48" i="6"/>
  <c r="C48" i="6" s="1"/>
  <c r="D48" i="6" s="1"/>
  <c r="AC56" i="12"/>
  <c r="AE56" i="12" s="1"/>
  <c r="AF56" i="12" s="1"/>
  <c r="AL56" i="12" s="1"/>
  <c r="AM56" i="12" s="1"/>
  <c r="AC51" i="12"/>
  <c r="AE51" i="12" s="1"/>
  <c r="AF51" i="12" s="1"/>
  <c r="AL51" i="12" s="1"/>
  <c r="AM51" i="12" s="1"/>
  <c r="B34" i="11"/>
  <c r="C34" i="11" s="1"/>
  <c r="D34" i="11" s="1"/>
  <c r="AH49" i="12"/>
  <c r="AH56" i="12"/>
  <c r="AC49" i="12"/>
  <c r="AE49" i="12" s="1"/>
  <c r="AF49" i="12" s="1"/>
  <c r="AL49" i="12" s="1"/>
  <c r="AM49" i="12" s="1"/>
  <c r="E45" i="6"/>
  <c r="D51" i="6"/>
  <c r="C51" i="6" s="1"/>
  <c r="E39" i="6"/>
  <c r="B18" i="6"/>
  <c r="D30" i="6"/>
  <c r="B33" i="6"/>
  <c r="D33" i="6" s="1"/>
  <c r="P55" i="6"/>
  <c r="R55" i="6" s="1"/>
  <c r="B33" i="11"/>
  <c r="C33" i="11" s="1"/>
  <c r="D33" i="11" s="1"/>
  <c r="T31" i="12"/>
  <c r="S31" i="12"/>
  <c r="AC58" i="12"/>
  <c r="AE58" i="12" s="1"/>
  <c r="AF58" i="12" s="1"/>
  <c r="AL58" i="12" s="1"/>
  <c r="AM58" i="12" s="1"/>
  <c r="N31" i="12"/>
  <c r="AH54" i="12"/>
  <c r="B35" i="11"/>
  <c r="C35" i="11" s="1"/>
  <c r="D83" i="19" s="1"/>
  <c r="AC57" i="12"/>
  <c r="AE57" i="12" s="1"/>
  <c r="AF57" i="12" s="1"/>
  <c r="AL57" i="12" s="1"/>
  <c r="AM57" i="12" s="1"/>
  <c r="AC60" i="12"/>
  <c r="AE60" i="12" s="1"/>
  <c r="AF60" i="12" s="1"/>
  <c r="AL60" i="12" s="1"/>
  <c r="AM60" i="12" s="1"/>
  <c r="AC47" i="12"/>
  <c r="AE47" i="12" s="1"/>
  <c r="AF47" i="12" s="1"/>
  <c r="AL47" i="12" s="1"/>
  <c r="AM47" i="12" s="1"/>
  <c r="B31" i="11"/>
  <c r="C31" i="11" s="1"/>
  <c r="D31" i="11" s="1"/>
  <c r="AC55" i="12"/>
  <c r="AE55" i="12" s="1"/>
  <c r="AF55" i="12" s="1"/>
  <c r="AL55" i="12" s="1"/>
  <c r="AM55" i="12" s="1"/>
  <c r="AC54" i="12"/>
  <c r="AE54" i="12" s="1"/>
  <c r="AF54" i="12" s="1"/>
  <c r="AL54" i="12" s="1"/>
  <c r="AM54" i="12" s="1"/>
  <c r="AC53" i="12"/>
  <c r="AE53" i="12" s="1"/>
  <c r="AF53" i="12" s="1"/>
  <c r="AL53" i="12" s="1"/>
  <c r="AM53" i="12" s="1"/>
  <c r="N23" i="9"/>
  <c r="AH53" i="12"/>
  <c r="AC59" i="12"/>
  <c r="AE59" i="12" s="1"/>
  <c r="AF59" i="12" s="1"/>
  <c r="AL59" i="12" s="1"/>
  <c r="AM59" i="12" s="1"/>
  <c r="AH51" i="12"/>
  <c r="AH60" i="12"/>
  <c r="AH59" i="12"/>
  <c r="AC50" i="12"/>
  <c r="AE50" i="12" s="1"/>
  <c r="AF50" i="12" s="1"/>
  <c r="AL50" i="12" s="1"/>
  <c r="AM50" i="12" s="1"/>
  <c r="AH57" i="12"/>
  <c r="AH47" i="12"/>
  <c r="AC61" i="12"/>
  <c r="AE61" i="12" s="1"/>
  <c r="AF61" i="12" s="1"/>
  <c r="AL61" i="12" s="1"/>
  <c r="AM61" i="12" s="1"/>
  <c r="AH55" i="12"/>
  <c r="AH58" i="12"/>
  <c r="AC48" i="12"/>
  <c r="AE48" i="12" s="1"/>
  <c r="AF48" i="12" s="1"/>
  <c r="AL48" i="12" s="1"/>
  <c r="AM48" i="12" s="1"/>
  <c r="AH50" i="12"/>
  <c r="AH61" i="12"/>
  <c r="AH52" i="12"/>
  <c r="Z74" i="12"/>
  <c r="AA74" i="12" s="1"/>
  <c r="Z77" i="12"/>
  <c r="AA77" i="12" s="1"/>
  <c r="K34" i="9"/>
  <c r="D90" i="19"/>
  <c r="Z75" i="12"/>
  <c r="AA75" i="12" s="1"/>
  <c r="AC52" i="12"/>
  <c r="AE52" i="12" s="1"/>
  <c r="AF52" i="12" s="1"/>
  <c r="AL52" i="12" s="1"/>
  <c r="AM52" i="12" s="1"/>
  <c r="D82" i="19"/>
  <c r="D80" i="19"/>
  <c r="B32" i="11"/>
  <c r="C32" i="11" s="1"/>
  <c r="D32" i="11" s="1"/>
  <c r="Z71" i="12"/>
  <c r="AA71" i="12" s="1"/>
  <c r="Z69" i="12"/>
  <c r="AA69" i="12" s="1"/>
  <c r="Z80" i="12"/>
  <c r="AA80" i="12" s="1"/>
  <c r="Z66" i="12"/>
  <c r="AA66" i="12" s="1"/>
  <c r="Z67" i="12"/>
  <c r="AA67" i="12" s="1"/>
  <c r="Z70" i="12"/>
  <c r="AA70" i="12" s="1"/>
  <c r="Z79" i="12"/>
  <c r="AA79" i="12" s="1"/>
  <c r="Z73" i="12"/>
  <c r="AA73" i="12" s="1"/>
  <c r="Z76" i="12"/>
  <c r="AA76" i="12" s="1"/>
  <c r="Z72" i="12"/>
  <c r="AA72" i="12" s="1"/>
  <c r="Z78" i="12"/>
  <c r="AA78" i="12" s="1"/>
  <c r="Z68" i="12"/>
  <c r="AA68" i="12" s="1"/>
  <c r="D35" i="11" l="1"/>
  <c r="Q37" i="9"/>
  <c r="R37" i="9" s="1"/>
  <c r="S37" i="9" s="1"/>
  <c r="T37" i="9" s="1"/>
  <c r="Q40" i="9"/>
  <c r="R40" i="9" s="1"/>
  <c r="S40" i="9" s="1"/>
  <c r="T40" i="9" s="1"/>
  <c r="Q36" i="9"/>
  <c r="R36" i="9" s="1"/>
  <c r="S36" i="9" s="1"/>
  <c r="T36" i="9" s="1"/>
  <c r="Q39" i="9"/>
  <c r="R39" i="9" s="1"/>
  <c r="S39" i="9" s="1"/>
  <c r="T39" i="9" s="1"/>
  <c r="E48" i="6"/>
  <c r="F39" i="6"/>
  <c r="E30" i="6"/>
  <c r="C18" i="6"/>
  <c r="D18" i="6" s="1"/>
  <c r="F24" i="6"/>
  <c r="N36" i="9"/>
  <c r="T36" i="12"/>
  <c r="E33" i="6"/>
  <c r="H79" i="12"/>
  <c r="H76" i="12"/>
  <c r="G34" i="11"/>
  <c r="H34" i="11" s="1"/>
  <c r="I34" i="11" s="1"/>
  <c r="N36" i="12"/>
  <c r="C70" i="12"/>
  <c r="E70" i="12" s="1"/>
  <c r="F70" i="12" s="1"/>
  <c r="L70" i="12" s="1"/>
  <c r="M70" i="12" s="1"/>
  <c r="C71" i="12"/>
  <c r="E71" i="12" s="1"/>
  <c r="F71" i="12" s="1"/>
  <c r="L71" i="12" s="1"/>
  <c r="M71" i="12" s="1"/>
  <c r="C66" i="12"/>
  <c r="E66" i="12" s="1"/>
  <c r="F66" i="12" s="1"/>
  <c r="L66" i="12" s="1"/>
  <c r="M66" i="12" s="1"/>
  <c r="C78" i="12"/>
  <c r="E78" i="12" s="1"/>
  <c r="F78" i="12" s="1"/>
  <c r="L78" i="12" s="1"/>
  <c r="M78" i="12" s="1"/>
  <c r="S36" i="12"/>
  <c r="C79" i="12"/>
  <c r="E79" i="12" s="1"/>
  <c r="F79" i="12" s="1"/>
  <c r="L79" i="12" s="1"/>
  <c r="M79" i="12" s="1"/>
  <c r="C72" i="12"/>
  <c r="E72" i="12" s="1"/>
  <c r="F72" i="12" s="1"/>
  <c r="L72" i="12" s="1"/>
  <c r="M72" i="12" s="1"/>
  <c r="C76" i="12"/>
  <c r="E76" i="12" s="1"/>
  <c r="F76" i="12" s="1"/>
  <c r="L76" i="12" s="1"/>
  <c r="M76" i="12" s="1"/>
  <c r="H66" i="12"/>
  <c r="H75" i="12"/>
  <c r="C77" i="12"/>
  <c r="E77" i="12" s="1"/>
  <c r="F77" i="12" s="1"/>
  <c r="L77" i="12" s="1"/>
  <c r="M77" i="12" s="1"/>
  <c r="G35" i="11"/>
  <c r="H35" i="11" s="1"/>
  <c r="I35" i="11" s="1"/>
  <c r="G33" i="11"/>
  <c r="H33" i="11" s="1"/>
  <c r="D92" i="19" s="1"/>
  <c r="H67" i="12"/>
  <c r="H74" i="12"/>
  <c r="H73" i="12"/>
  <c r="G36" i="11"/>
  <c r="H36" i="11" s="1"/>
  <c r="I36" i="11" s="1"/>
  <c r="C75" i="12"/>
  <c r="E75" i="12" s="1"/>
  <c r="F75" i="12" s="1"/>
  <c r="L75" i="12" s="1"/>
  <c r="M75" i="12" s="1"/>
  <c r="H71" i="12"/>
  <c r="H78" i="12"/>
  <c r="G32" i="11"/>
  <c r="H32" i="11" s="1"/>
  <c r="I32" i="11" s="1"/>
  <c r="H68" i="12"/>
  <c r="C67" i="12"/>
  <c r="E67" i="12" s="1"/>
  <c r="F67" i="12" s="1"/>
  <c r="L67" i="12" s="1"/>
  <c r="M67" i="12" s="1"/>
  <c r="C73" i="12"/>
  <c r="E73" i="12" s="1"/>
  <c r="F73" i="12" s="1"/>
  <c r="L73" i="12" s="1"/>
  <c r="M73" i="12" s="1"/>
  <c r="H77" i="12"/>
  <c r="H72" i="12"/>
  <c r="G31" i="11"/>
  <c r="H31" i="11" s="1"/>
  <c r="I31" i="11" s="1"/>
  <c r="C69" i="12"/>
  <c r="E69" i="12" s="1"/>
  <c r="F69" i="12" s="1"/>
  <c r="L69" i="12" s="1"/>
  <c r="M69" i="12" s="1"/>
  <c r="D89" i="19"/>
  <c r="D91" i="19"/>
  <c r="C80" i="12"/>
  <c r="E80" i="12" s="1"/>
  <c r="F80" i="12" s="1"/>
  <c r="L80" i="12" s="1"/>
  <c r="M80" i="12" s="1"/>
  <c r="H69" i="12"/>
  <c r="H80" i="12"/>
  <c r="C74" i="12"/>
  <c r="E74" i="12" s="1"/>
  <c r="F74" i="12" s="1"/>
  <c r="L74" i="12" s="1"/>
  <c r="M74" i="12" s="1"/>
  <c r="C68" i="12"/>
  <c r="E68" i="12" s="1"/>
  <c r="F68" i="12" s="1"/>
  <c r="L68" i="12" s="1"/>
  <c r="M68" i="12" s="1"/>
  <c r="H70" i="12"/>
  <c r="L19" i="2"/>
  <c r="F9" i="6" l="1"/>
  <c r="I33" i="11"/>
  <c r="C15" i="1"/>
  <c r="L20" i="2" l="1"/>
  <c r="L18" i="2"/>
  <c r="L17" i="2"/>
  <c r="P41" i="12" l="1"/>
  <c r="Q41" i="12" s="1"/>
  <c r="W41" i="12" s="1"/>
  <c r="P31" i="12"/>
  <c r="P36" i="12"/>
  <c r="Q36" i="12" s="1"/>
  <c r="W36" i="12" s="1"/>
  <c r="E26" i="12"/>
  <c r="J26" i="12" s="1"/>
  <c r="P26" i="12"/>
  <c r="Q26" i="12" s="1"/>
  <c r="W26" i="12" s="1"/>
  <c r="Q31" i="12" l="1"/>
  <c r="W31" i="12" s="1"/>
  <c r="D31" i="12"/>
  <c r="AB29" i="12"/>
  <c r="AC29" i="12" s="1"/>
  <c r="A31" i="12"/>
  <c r="AB26" i="12"/>
  <c r="AC26" i="12" s="1"/>
  <c r="B31" i="12"/>
  <c r="AB27" i="12"/>
  <c r="AC27" i="12" s="1"/>
  <c r="E31" i="12"/>
  <c r="AB30" i="12"/>
  <c r="AC30" i="12" s="1"/>
  <c r="N16" i="4"/>
  <c r="D28" i="19" s="1"/>
  <c r="N15" i="4"/>
  <c r="M5" i="4"/>
  <c r="M4" i="4"/>
  <c r="AB28" i="12" l="1"/>
  <c r="AC28" i="12" s="1"/>
  <c r="C31" i="12"/>
  <c r="F31" i="12" s="1"/>
  <c r="AB31" i="12"/>
  <c r="AC31" i="12" s="1"/>
  <c r="L18" i="8"/>
  <c r="K18" i="8"/>
  <c r="J18" i="8"/>
  <c r="I18" i="8"/>
  <c r="E33" i="13" l="1"/>
  <c r="F33" i="13" s="1"/>
  <c r="E29" i="13"/>
  <c r="F29" i="13" s="1"/>
  <c r="E13" i="13"/>
  <c r="F13" i="13" s="1"/>
  <c r="E17" i="13"/>
  <c r="F17" i="13" s="1"/>
  <c r="E21" i="13"/>
  <c r="F21" i="13" s="1"/>
  <c r="E25" i="13"/>
  <c r="F25" i="13" s="1"/>
  <c r="B11" i="13"/>
  <c r="B15" i="13"/>
  <c r="B19" i="13"/>
  <c r="B23" i="13"/>
  <c r="B27" i="13"/>
  <c r="B31" i="13"/>
  <c r="B35" i="13"/>
  <c r="E30" i="13"/>
  <c r="F30" i="13" s="1"/>
  <c r="E34" i="13"/>
  <c r="F34" i="13" s="1"/>
  <c r="E28" i="13"/>
  <c r="F28" i="13" s="1"/>
  <c r="E14" i="13"/>
  <c r="F14" i="13" s="1"/>
  <c r="E18" i="13"/>
  <c r="F18" i="13" s="1"/>
  <c r="E22" i="13"/>
  <c r="F22" i="13" s="1"/>
  <c r="E26" i="13"/>
  <c r="F26" i="13" s="1"/>
  <c r="B12" i="13"/>
  <c r="B16" i="13"/>
  <c r="B20" i="13"/>
  <c r="B24" i="13"/>
  <c r="B28" i="13"/>
  <c r="B32" i="13"/>
  <c r="B36" i="13"/>
  <c r="E31" i="13"/>
  <c r="F31" i="13" s="1"/>
  <c r="E35" i="13"/>
  <c r="F35" i="13" s="1"/>
  <c r="E11" i="13"/>
  <c r="F11" i="13" s="1"/>
  <c r="E15" i="13"/>
  <c r="F15" i="13" s="1"/>
  <c r="E19" i="13"/>
  <c r="F19" i="13" s="1"/>
  <c r="E23" i="13"/>
  <c r="F23" i="13" s="1"/>
  <c r="E27" i="13"/>
  <c r="F27" i="13" s="1"/>
  <c r="B13" i="13"/>
  <c r="B17" i="13"/>
  <c r="B21" i="13"/>
  <c r="B25" i="13"/>
  <c r="B29" i="13"/>
  <c r="B33" i="13"/>
  <c r="B10" i="13"/>
  <c r="E32" i="13"/>
  <c r="F32" i="13" s="1"/>
  <c r="E36" i="13"/>
  <c r="F36" i="13" s="1"/>
  <c r="E12" i="13"/>
  <c r="F12" i="13" s="1"/>
  <c r="E16" i="13"/>
  <c r="F16" i="13" s="1"/>
  <c r="E20" i="13"/>
  <c r="F20" i="13" s="1"/>
  <c r="E24" i="13"/>
  <c r="F24" i="13" s="1"/>
  <c r="E10" i="13"/>
  <c r="F10" i="13" s="1"/>
  <c r="B14" i="13"/>
  <c r="B18" i="13"/>
  <c r="B22" i="13"/>
  <c r="B26" i="13"/>
  <c r="B30" i="13"/>
  <c r="B34" i="13"/>
  <c r="I33" i="12"/>
  <c r="I34" i="12" s="1"/>
  <c r="I29" i="12"/>
  <c r="I30" i="12" s="1"/>
  <c r="AD26" i="12"/>
  <c r="AD29" i="12"/>
  <c r="AD28" i="12"/>
  <c r="AD31" i="12"/>
  <c r="AD27" i="12"/>
  <c r="AD30" i="12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C1C8B206-07DC-4EC1-9650-FEAF40E611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A11" authorId="0" shapeId="0" xr:uid="{7861FCA9-D73E-43F7-92E4-B5BCD954CD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A24" authorId="0" shapeId="0" xr:uid="{277B49CA-EADF-4A02-9AA5-CBAEA2F47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A26" authorId="0" shapeId="0" xr:uid="{7E4C38C4-C355-4F63-B1EE-941E0A5FBD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A39" authorId="0" shapeId="0" xr:uid="{6EC2E912-FCA7-4BAB-8337-51B95077EA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A41" authorId="0" shapeId="0" xr:uid="{36245B94-AC86-48F4-8C92-886DAC9112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" authorId="0" shapeId="0" xr:uid="{C5941AEF-9AA3-4869-88D4-AB38BDD2B52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Similarly For VT</t>
        </r>
      </text>
    </comment>
    <comment ref="O3" authorId="0" shapeId="0" xr:uid="{4CDD5C22-B833-48FC-A36D-B0C3315C27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for VT</t>
        </r>
      </text>
    </comment>
    <comment ref="O4" authorId="0" shapeId="0" xr:uid="{06E0F0EF-8EAB-4D9E-AE5D-8824B8589B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for VT</t>
        </r>
      </text>
    </comment>
    <comment ref="A29" authorId="0" shapeId="0" xr:uid="{A9689CB2-4A86-4C83-BC16-1D6537DEBC0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Reference</t>
        </r>
      </text>
    </comment>
    <comment ref="E53" authorId="0" shapeId="0" xr:uid="{B99EC45B-5D89-43CA-BBE7-8425AC838A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FRL = Fusleage Reference 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0" authorId="0" shapeId="0" xr:uid="{7B79965C-0C1C-4F22-B6B9-73A3752F36D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for modeling ref.</t>
        </r>
      </text>
    </comment>
    <comment ref="I30" authorId="0" shapeId="0" xr:uid="{DC700C63-C30A-4F16-BAB8-C67C2BE0DD5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for modeling ref.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2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Kenamatic Viscosity</t>
        </r>
      </text>
    </comment>
    <comment ref="R2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Thickness Ratio</t>
        </r>
      </text>
    </comment>
    <comment ref="R3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Thickness Ratio</t>
        </r>
      </text>
    </comment>
    <comment ref="R3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Thickness Ratio</t>
        </r>
      </text>
    </comment>
    <comment ref="P46" authorId="0" shapeId="0" xr:uid="{D28274BB-7BA7-43CA-9407-9925261B64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Kenamatic Viscosity</t>
        </r>
      </text>
    </comment>
    <comment ref="S46" authorId="0" shapeId="0" xr:uid="{FCB9A891-B6FD-410B-9A9E-8B1B5B9688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Thickness Ratio</t>
        </r>
      </text>
    </comment>
    <comment ref="AG46" authorId="0" shapeId="0" xr:uid="{8A6B84F2-84A5-479C-BB1C-4AD1004EF4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Thickness Ratio</t>
        </r>
      </text>
    </comment>
    <comment ref="G65" authorId="0" shapeId="0" xr:uid="{A9C15AEA-1EC3-4A01-BE20-A0117BCCC1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Thickness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5" authorId="0" shapeId="0" xr:uid="{47569D65-FA2D-4701-961C-5506583B867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Static Thrust</t>
        </r>
      </text>
    </comment>
    <comment ref="G26" authorId="0" shapeId="0" xr:uid="{CEAC4B06-6AC1-484B-9A51-75FF6E6F592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At Cruise Velocity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8" authorId="0" shapeId="0" xr:uid="{37A2EE6C-7F57-48C2-A65B-35923A7102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Moment Arm Length</t>
        </r>
      </text>
    </comment>
    <comment ref="A87" authorId="0" shapeId="0" xr:uid="{29088E2B-D368-4532-8AF4-D43ED9C885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Moment Arm Length</t>
        </r>
      </text>
    </comment>
    <comment ref="G87" authorId="0" shapeId="0" xr:uid="{725B689F-31CD-416E-9863-FC629C19D2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Moment Arm Length</t>
        </r>
      </text>
    </comment>
  </commentList>
</comments>
</file>

<file path=xl/sharedStrings.xml><?xml version="1.0" encoding="utf-8"?>
<sst xmlns="http://schemas.openxmlformats.org/spreadsheetml/2006/main" count="892" uniqueCount="419">
  <si>
    <t xml:space="preserve">Components Weight </t>
  </si>
  <si>
    <t>S.no.</t>
  </si>
  <si>
    <t>Components</t>
  </si>
  <si>
    <t>Weight (gm)</t>
  </si>
  <si>
    <t>Quantity</t>
  </si>
  <si>
    <t>Brushless DC Motor</t>
  </si>
  <si>
    <t>ESC</t>
  </si>
  <si>
    <t>Structural Weight</t>
  </si>
  <si>
    <t>Reciever</t>
  </si>
  <si>
    <t>TOTAL WEIGHT</t>
  </si>
  <si>
    <t>Payload</t>
  </si>
  <si>
    <t>Hinges, Wires ect.,</t>
  </si>
  <si>
    <t>-</t>
  </si>
  <si>
    <t>rho</t>
  </si>
  <si>
    <t>Kgs</t>
  </si>
  <si>
    <t>N</t>
  </si>
  <si>
    <t>Weight, W</t>
  </si>
  <si>
    <t>Kg/m^3</t>
  </si>
  <si>
    <t>S1223</t>
  </si>
  <si>
    <t>Max thickness 12.1% at 19.8% chord.</t>
  </si>
  <si>
    <t>Max camber 8.1% at 49% chord</t>
  </si>
  <si>
    <t>Alpha(AOA)</t>
  </si>
  <si>
    <t>Cl</t>
  </si>
  <si>
    <t>Cd</t>
  </si>
  <si>
    <t>Cm</t>
  </si>
  <si>
    <t>Cl/Cd</t>
  </si>
  <si>
    <t>Stall</t>
  </si>
  <si>
    <t>Re. No. = 100,000</t>
  </si>
  <si>
    <t>Ncirt=9</t>
  </si>
  <si>
    <t>Servos + Servo Extensions</t>
  </si>
  <si>
    <t>4 -cell LiPo Battery</t>
  </si>
  <si>
    <t>Adhesive</t>
  </si>
  <si>
    <t>Propeller</t>
  </si>
  <si>
    <t>Empty Wt.</t>
  </si>
  <si>
    <t>S1223 - Selig S1223 high lift low Reynolds number airfoil</t>
  </si>
  <si>
    <t>L = 0.5*rho*V^2*S*Clmax</t>
  </si>
  <si>
    <t>AR = b^2/S</t>
  </si>
  <si>
    <t>S = b*C</t>
  </si>
  <si>
    <t>b = sqrt(AR*S)</t>
  </si>
  <si>
    <t>C = b/AR</t>
  </si>
  <si>
    <t>S</t>
  </si>
  <si>
    <t>S=2*L/rho*V^2*Clmax</t>
  </si>
  <si>
    <t>Max Cl</t>
  </si>
  <si>
    <t>Transport Container</t>
  </si>
  <si>
    <t>Dimensions(l*b*h)=3ft^3</t>
  </si>
  <si>
    <t>l</t>
  </si>
  <si>
    <t>h</t>
  </si>
  <si>
    <t>L=W</t>
  </si>
  <si>
    <t>m^2</t>
  </si>
  <si>
    <t>AR</t>
  </si>
  <si>
    <t>1ft=</t>
  </si>
  <si>
    <t>m</t>
  </si>
  <si>
    <t>Chord_C(m)</t>
  </si>
  <si>
    <t>Fuselage Sizing</t>
  </si>
  <si>
    <t>Length of fuselage is about 60-75% of span</t>
  </si>
  <si>
    <t>%</t>
  </si>
  <si>
    <t>Actual</t>
  </si>
  <si>
    <t>Wing Span(m)</t>
  </si>
  <si>
    <t>Length of Fuselage(m)</t>
  </si>
  <si>
    <t>Double Bubble Fuselage</t>
  </si>
  <si>
    <t>Payload Bay Dimensions</t>
  </si>
  <si>
    <t>1in=</t>
  </si>
  <si>
    <t>cm</t>
  </si>
  <si>
    <t>w</t>
  </si>
  <si>
    <t>Width of fuselage</t>
  </si>
  <si>
    <t>Height of fuselage</t>
  </si>
  <si>
    <t>Fuselage Dimensions</t>
  </si>
  <si>
    <t>in</t>
  </si>
  <si>
    <t>With Clearence</t>
  </si>
  <si>
    <t>Wing Loading</t>
  </si>
  <si>
    <t xml:space="preserve"> V cruise= 1.2* Vstall</t>
  </si>
  <si>
    <t>V td= 1.1*Vstall</t>
  </si>
  <si>
    <t>Vstall=sqrt((2*W*g)/(rho*S*Clmax))</t>
  </si>
  <si>
    <t>Cl/Cd_max 54.5 at α=3.25°</t>
  </si>
  <si>
    <t>Cl at α=3.25° is 1.5379</t>
  </si>
  <si>
    <t>m/s</t>
  </si>
  <si>
    <t>=</t>
  </si>
  <si>
    <t>Wing Calculations (Rectangular Wing)</t>
  </si>
  <si>
    <t>Kg</t>
  </si>
  <si>
    <t>Cd0</t>
  </si>
  <si>
    <t>e</t>
  </si>
  <si>
    <t>Pie</t>
  </si>
  <si>
    <t>q</t>
  </si>
  <si>
    <t>n</t>
  </si>
  <si>
    <t>n = load factor(lift/wt. of a.c)</t>
  </si>
  <si>
    <t>S or A</t>
  </si>
  <si>
    <t>e = oswald efficiency</t>
  </si>
  <si>
    <t>Cd0 = Zero lift drag coefficient</t>
  </si>
  <si>
    <t>Tail Sizing</t>
  </si>
  <si>
    <t>SAE ADC 2019</t>
  </si>
  <si>
    <t>Night Fury</t>
  </si>
  <si>
    <t>Cht</t>
  </si>
  <si>
    <t>Cvt</t>
  </si>
  <si>
    <t>Horizontal Tail</t>
  </si>
  <si>
    <t>H.S is 15-25% of wing area</t>
  </si>
  <si>
    <t>Control Surface Sizing</t>
  </si>
  <si>
    <t>Aileron Chord is about 15-25% of wing chord</t>
  </si>
  <si>
    <t>Aileron span is about 50-90% of wing span</t>
  </si>
  <si>
    <t>Ailerons</t>
  </si>
  <si>
    <t>Rudder</t>
  </si>
  <si>
    <t>Elevator</t>
  </si>
  <si>
    <t>Elevator and Rudder</t>
  </si>
  <si>
    <t>Elevator and Rudder is about 25-50% of tail chord</t>
  </si>
  <si>
    <t>Drag calculations</t>
  </si>
  <si>
    <t>W</t>
  </si>
  <si>
    <t>`</t>
  </si>
  <si>
    <t>Aerodynamic Center(a.c)</t>
  </si>
  <si>
    <t>After Container Sizing</t>
  </si>
  <si>
    <t>For home built plane</t>
  </si>
  <si>
    <t>Nose Cone Design</t>
  </si>
  <si>
    <t>L</t>
  </si>
  <si>
    <t>T.V</t>
  </si>
  <si>
    <t>Dimensions</t>
  </si>
  <si>
    <t>Exterior</t>
  </si>
  <si>
    <t>Interior</t>
  </si>
  <si>
    <t>W (mm)</t>
  </si>
  <si>
    <t>H (mm)</t>
  </si>
  <si>
    <t>Aspect Ratio</t>
  </si>
  <si>
    <t>S.V_up</t>
  </si>
  <si>
    <t>S.V_down</t>
  </si>
  <si>
    <t>Vertical Tail</t>
  </si>
  <si>
    <t>Dimensions V2</t>
  </si>
  <si>
    <t>Payload Fraction</t>
  </si>
  <si>
    <t>C</t>
  </si>
  <si>
    <t>Wt. (Kg)</t>
  </si>
  <si>
    <t>Induced Drag</t>
  </si>
  <si>
    <t>Parasite Drag</t>
  </si>
  <si>
    <t>Form Factor for tail and wing</t>
  </si>
  <si>
    <t>Form Factor for fuselage</t>
  </si>
  <si>
    <t>Flat plate coefficient</t>
  </si>
  <si>
    <t>Coefficient Lift</t>
  </si>
  <si>
    <t>Drag</t>
  </si>
  <si>
    <t>Induced Drag of Wing</t>
  </si>
  <si>
    <t>V</t>
  </si>
  <si>
    <t>pie</t>
  </si>
  <si>
    <t>Parasite Drag of Wing</t>
  </si>
  <si>
    <t>l (Chord)</t>
  </si>
  <si>
    <t>Mew</t>
  </si>
  <si>
    <t>Re</t>
  </si>
  <si>
    <t>Cf</t>
  </si>
  <si>
    <t>FF</t>
  </si>
  <si>
    <t>S_ref</t>
  </si>
  <si>
    <t>S_wet</t>
  </si>
  <si>
    <t>Cdf</t>
  </si>
  <si>
    <t>Parasite Drag of Horizontal Tail</t>
  </si>
  <si>
    <t>Parasite Drag of Vertical Tail</t>
  </si>
  <si>
    <t>Parasite Drag of Fuselage</t>
  </si>
  <si>
    <t>d</t>
  </si>
  <si>
    <t>l (Length)</t>
  </si>
  <si>
    <t>l (length)</t>
  </si>
  <si>
    <t>Total Drag (Cd_tot)</t>
  </si>
  <si>
    <t>Cdf_Wing</t>
  </si>
  <si>
    <t>Cdf_HT</t>
  </si>
  <si>
    <t>Cdf_vt</t>
  </si>
  <si>
    <t>Cdf_fuselage</t>
  </si>
  <si>
    <t>Cd_tot</t>
  </si>
  <si>
    <t>Drag Polar or Total Drag</t>
  </si>
  <si>
    <t>L (N)</t>
  </si>
  <si>
    <t>Reynolds Number</t>
  </si>
  <si>
    <t>t/c</t>
  </si>
  <si>
    <t>Wing Span(b) (m)</t>
  </si>
  <si>
    <t>meters</t>
  </si>
  <si>
    <t>Payload (Kg)</t>
  </si>
  <si>
    <t>Vstall (m/s)</t>
  </si>
  <si>
    <t>Sw (m\s)</t>
  </si>
  <si>
    <t>Payload fraction</t>
  </si>
  <si>
    <t>b (m)</t>
  </si>
  <si>
    <t>Total Wt.</t>
  </si>
  <si>
    <t>Struct. Wt. (Kg)</t>
  </si>
  <si>
    <t>L (KG)</t>
  </si>
  <si>
    <t>L (m)</t>
  </si>
  <si>
    <t>R (m)</t>
  </si>
  <si>
    <t>r_n (m)</t>
  </si>
  <si>
    <t>rho (m)</t>
  </si>
  <si>
    <t>x0 (m)</t>
  </si>
  <si>
    <t>c_ht (m)</t>
  </si>
  <si>
    <t>C_W (m)</t>
  </si>
  <si>
    <t>L_ht (m)</t>
  </si>
  <si>
    <t>S_ht (m^2)</t>
  </si>
  <si>
    <t>b_ht (m)</t>
  </si>
  <si>
    <t>C_ht (m)</t>
  </si>
  <si>
    <t>c_vt (m)</t>
  </si>
  <si>
    <t>b_W (m)</t>
  </si>
  <si>
    <t>L_vt (m)</t>
  </si>
  <si>
    <t>b_vt (m)</t>
  </si>
  <si>
    <t>C_vt (m)</t>
  </si>
  <si>
    <t>Wing Span (m)</t>
  </si>
  <si>
    <t>Aileron Span (m)</t>
  </si>
  <si>
    <t>Wing Chord (m)</t>
  </si>
  <si>
    <t>Aileron Chord (m)</t>
  </si>
  <si>
    <t>Elevator (m)</t>
  </si>
  <si>
    <t>Rudder (m)</t>
  </si>
  <si>
    <t>Lift with S =</t>
  </si>
  <si>
    <t>S_vt (m^2)</t>
  </si>
  <si>
    <t>S_w (m^2)</t>
  </si>
  <si>
    <t>H.T is 3 to 5</t>
  </si>
  <si>
    <t>Surface Area</t>
  </si>
  <si>
    <t>Sht</t>
  </si>
  <si>
    <t>Units Conversion</t>
  </si>
  <si>
    <t>1 ft</t>
  </si>
  <si>
    <t>1 in</t>
  </si>
  <si>
    <t>1 m</t>
  </si>
  <si>
    <t>mm</t>
  </si>
  <si>
    <t>c_HT =</t>
  </si>
  <si>
    <t>HT tail volume coeffifient</t>
  </si>
  <si>
    <t>Moment Arm Length of HT</t>
  </si>
  <si>
    <t>Surface Area of HT</t>
  </si>
  <si>
    <t>L_HT =</t>
  </si>
  <si>
    <t>S_HT =</t>
  </si>
  <si>
    <t>Svt</t>
  </si>
  <si>
    <t>L_VT &amp; L_HT</t>
  </si>
  <si>
    <t>Required moment arm length</t>
  </si>
  <si>
    <t>Span=</t>
  </si>
  <si>
    <t>Ref</t>
  </si>
  <si>
    <t>HS_C (m)</t>
  </si>
  <si>
    <t>VS_C (m)</t>
  </si>
  <si>
    <t>HTML</t>
  </si>
  <si>
    <t>Sw</t>
  </si>
  <si>
    <t>m2</t>
  </si>
  <si>
    <t>MAC</t>
  </si>
  <si>
    <t>VT Dimensions</t>
  </si>
  <si>
    <t>HT Dimensions</t>
  </si>
  <si>
    <t>Cfd_total</t>
  </si>
  <si>
    <t>Parasite Drag of HT</t>
  </si>
  <si>
    <t>Parasite Drag of VT</t>
  </si>
  <si>
    <t>Total Drag</t>
  </si>
  <si>
    <t>D</t>
  </si>
  <si>
    <t>Power=D*V</t>
  </si>
  <si>
    <t>kg/m3</t>
  </si>
  <si>
    <t>N(kg-m/s2)</t>
  </si>
  <si>
    <t>kgm2s-3</t>
  </si>
  <si>
    <t>ft</t>
  </si>
  <si>
    <t>At Stall Speed</t>
  </si>
  <si>
    <t>In Crusie</t>
  </si>
  <si>
    <t>In Loiter</t>
  </si>
  <si>
    <t>W/S at Instantenous Turn</t>
  </si>
  <si>
    <t>W/S at Sustained Turn</t>
  </si>
  <si>
    <t>Battery Length</t>
  </si>
  <si>
    <t>4in</t>
  </si>
  <si>
    <t>Motor</t>
  </si>
  <si>
    <t>SV</t>
  </si>
  <si>
    <t>Wing</t>
  </si>
  <si>
    <t>Clmax</t>
  </si>
  <si>
    <t>Stall Angle</t>
  </si>
  <si>
    <t>Degree</t>
  </si>
  <si>
    <t>Model</t>
  </si>
  <si>
    <t>1.5 kgs</t>
  </si>
  <si>
    <t>Empty Weight</t>
  </si>
  <si>
    <t>Gross Takeoff Weight</t>
  </si>
  <si>
    <t>3 kgs</t>
  </si>
  <si>
    <t>Model Details</t>
  </si>
  <si>
    <t>Airfoil</t>
  </si>
  <si>
    <t>1 lakh</t>
  </si>
  <si>
    <t>Chord</t>
  </si>
  <si>
    <t>Wing Span</t>
  </si>
  <si>
    <t>Fuselage</t>
  </si>
  <si>
    <t>Fuselage Length with tail boom</t>
  </si>
  <si>
    <t>Fuselage Length without tail boom</t>
  </si>
  <si>
    <t>Crossection Dimensions</t>
  </si>
  <si>
    <t>W (m)</t>
  </si>
  <si>
    <t>H (m)</t>
  </si>
  <si>
    <t>Volume</t>
  </si>
  <si>
    <t>r</t>
  </si>
  <si>
    <t>Tail</t>
  </si>
  <si>
    <t>H - Tail</t>
  </si>
  <si>
    <t>Span</t>
  </si>
  <si>
    <t>Elevator Chord</t>
  </si>
  <si>
    <t>Surface Area of VT</t>
  </si>
  <si>
    <t>Aeliron</t>
  </si>
  <si>
    <t>b</t>
  </si>
  <si>
    <t>ft^3</t>
  </si>
  <si>
    <t>V.S is 7-12% of wing area</t>
  </si>
  <si>
    <t>V.T is 3 to 5</t>
  </si>
  <si>
    <t>L req</t>
  </si>
  <si>
    <t>m^3</t>
  </si>
  <si>
    <t>Half Span</t>
  </si>
  <si>
    <t>Clearence</t>
  </si>
  <si>
    <t>B</t>
  </si>
  <si>
    <t>HT Span</t>
  </si>
  <si>
    <t>H</t>
  </si>
  <si>
    <t>VT Span</t>
  </si>
  <si>
    <t>Fuselage ht</t>
  </si>
  <si>
    <t>Volume (ft^3)</t>
  </si>
  <si>
    <t>W/S_stall (N/m^2)</t>
  </si>
  <si>
    <t>W/S_cruise (N/m^2)</t>
  </si>
  <si>
    <t>W/S_loiter (N/m^2)</t>
  </si>
  <si>
    <t>V_Stall (m/s)</t>
  </si>
  <si>
    <t>W/S_instantaneous turn (N/m^2)</t>
  </si>
  <si>
    <t>W/S_sustained turn (N/m^2)</t>
  </si>
  <si>
    <t>Twin Rudder Configuration</t>
  </si>
  <si>
    <t>An aircraft with front mounted propeller has a tail moment arm of about 60% of the fuselage length</t>
  </si>
  <si>
    <t>Twin Rudder</t>
  </si>
  <si>
    <t>2 Piece wing with conve tail</t>
  </si>
  <si>
    <t>Boom</t>
  </si>
  <si>
    <t>Dynamic Thrust</t>
  </si>
  <si>
    <t>Power Required</t>
  </si>
  <si>
    <t>Volume (Rect)</t>
  </si>
  <si>
    <t>Graph</t>
  </si>
  <si>
    <t>Prop. Diameter</t>
  </si>
  <si>
    <t>Pitch</t>
  </si>
  <si>
    <t>V=0m/s</t>
  </si>
  <si>
    <t>V=11m/s</t>
  </si>
  <si>
    <t>RPM</t>
  </si>
  <si>
    <t>Dia (in)</t>
  </si>
  <si>
    <t>V0 (m/s)</t>
  </si>
  <si>
    <t>Static Thrust (N)</t>
  </si>
  <si>
    <t>Static Thrust</t>
  </si>
  <si>
    <t>Source</t>
  </si>
  <si>
    <t>https://www.flitetest.com/articles/propeller-static-dynamic-thrust-calculation</t>
  </si>
  <si>
    <t>Static Velocity</t>
  </si>
  <si>
    <t>Stall Velocity</t>
  </si>
  <si>
    <t>Req. Thrust to Weight ratio</t>
  </si>
  <si>
    <t>Req. Thrust</t>
  </si>
  <si>
    <t>kgs</t>
  </si>
  <si>
    <t>Motor KV</t>
  </si>
  <si>
    <t>Max. RPM</t>
  </si>
  <si>
    <t>3s Battery (V)</t>
  </si>
  <si>
    <t>Wing Performance</t>
  </si>
  <si>
    <t>Xfoil polar. Reynolds number fixed. Mach  number fixed</t>
  </si>
  <si>
    <t>Polar key</t>
  </si>
  <si>
    <t>xf-s1223-il-100000</t>
  </si>
  <si>
    <t>s1223-il</t>
  </si>
  <si>
    <t>Reynolds number</t>
  </si>
  <si>
    <t>Ncrit</t>
  </si>
  <si>
    <t>Mach</t>
  </si>
  <si>
    <t>Max Cl/Cd</t>
  </si>
  <si>
    <t>Max Cl/Cd alpha</t>
  </si>
  <si>
    <t>Url</t>
  </si>
  <si>
    <t>http://airfoiltools.com/polar/csv?polar=xf-s1223-il-100000</t>
  </si>
  <si>
    <t>Alpha</t>
  </si>
  <si>
    <t>Cdp</t>
  </si>
  <si>
    <t>Top_Xtr</t>
  </si>
  <si>
    <t>Bot_Xtr</t>
  </si>
  <si>
    <t>V_Req (m/s)</t>
  </si>
  <si>
    <t>Servo Sizing</t>
  </si>
  <si>
    <t xml:space="preserve"> m^2</t>
  </si>
  <si>
    <t>To lift 2.5kg of weight, S</t>
  </si>
  <si>
    <t>Req. H</t>
  </si>
  <si>
    <t>TB</t>
  </si>
  <si>
    <t>Taper Surface</t>
  </si>
  <si>
    <t>Mean Chord</t>
  </si>
  <si>
    <t>Ratio(x)</t>
  </si>
  <si>
    <t>Cr</t>
  </si>
  <si>
    <t>Ct</t>
  </si>
  <si>
    <t>Tr</t>
  </si>
  <si>
    <t>req_bvt</t>
  </si>
  <si>
    <t>req_MAC</t>
  </si>
  <si>
    <t>Wing Drag</t>
  </si>
  <si>
    <t>Tot. Drag</t>
  </si>
  <si>
    <t>alpha in degrees</t>
  </si>
  <si>
    <t>in radians</t>
  </si>
  <si>
    <t>PI</t>
  </si>
  <si>
    <t>s at c/4</t>
  </si>
  <si>
    <t>s at c/8</t>
  </si>
  <si>
    <t>force(c/4)</t>
  </si>
  <si>
    <t>force(c/8)</t>
  </si>
  <si>
    <t>chord(c/4)</t>
  </si>
  <si>
    <t>chord(c/8)</t>
  </si>
  <si>
    <t>torque req(N-m)</t>
  </si>
  <si>
    <t>With Fold mechanism of VT &amp;  piece wing</t>
  </si>
  <si>
    <t>Vstall</t>
  </si>
  <si>
    <t>Design V1 (For optimised)</t>
  </si>
  <si>
    <t>Design V2 (Double-Bubble)</t>
  </si>
  <si>
    <t>Top View</t>
  </si>
  <si>
    <t>Side View</t>
  </si>
  <si>
    <t>Inverse Pie Tail configuration</t>
  </si>
  <si>
    <t>b_vt/2 (m)</t>
  </si>
  <si>
    <t>Offset w.r.t FRL</t>
  </si>
  <si>
    <t>b_ht/2 (m)</t>
  </si>
  <si>
    <t>https://itsallrc.wordpress.com/2014/02/19/how-to-calculate-drag/</t>
  </si>
  <si>
    <t>https://www.banggood.in/QX-Motor-QAA2814-600KV-900KV-1250KV-3-6S-Brushless-Motor-CCW-For-RC-Airplane-Multicopter-p-1132193.html?rmmds=search&amp;ID=49282&amp;cur_warehouse=CN</t>
  </si>
  <si>
    <t>By: Gabriel Staples, 18 Sept 2013</t>
  </si>
  <si>
    <t>http://electricrcaircraftguy.blogspot.com/2013/09/propeller-static-dynamic-thrust-equation.html</t>
  </si>
  <si>
    <t>Blog Home:</t>
  </si>
  <si>
    <t>http://electricrcaircraftguy.blogspot.com/</t>
  </si>
  <si>
    <t>Propeller Inputs</t>
  </si>
  <si>
    <t>pitch (in):</t>
  </si>
  <si>
    <t>RPMs:</t>
  </si>
  <si>
    <t>x</t>
  </si>
  <si>
    <t>y</t>
  </si>
  <si>
    <t>Dynamic Thrust, F (N)</t>
  </si>
  <si>
    <t>Dynamic Thrust, F (g)</t>
  </si>
  <si>
    <t>Dynamic Thrust, F (kg)</t>
  </si>
  <si>
    <t>Dynamic Thrust, F (oz)</t>
  </si>
  <si>
    <t>Dynamic Thrust, F (lb)</t>
  </si>
  <si>
    <t>Static Thrust --&gt;</t>
  </si>
  <si>
    <t>all others are dynamic thrust</t>
  </si>
  <si>
    <r>
      <t>Aircraft Airspeed, 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(m/s)</t>
    </r>
  </si>
  <si>
    <t>Considered</t>
  </si>
  <si>
    <t>Designed</t>
  </si>
  <si>
    <t>https://www.masterairscrew.com/collections/3-blade/products/3-blade-9x7-propeller</t>
  </si>
  <si>
    <t>Prop</t>
  </si>
  <si>
    <t>Esc</t>
  </si>
  <si>
    <t>Servos</t>
  </si>
  <si>
    <t>Al Rod</t>
  </si>
  <si>
    <t>Balsa Sheet</t>
  </si>
  <si>
    <t>Laser Cutting</t>
  </si>
  <si>
    <t>CE</t>
  </si>
  <si>
    <t>Configuration : Tail Boom with Inverse Pie Tail</t>
  </si>
  <si>
    <t>Twin Rudder  - Tail</t>
  </si>
  <si>
    <t>Total</t>
  </si>
  <si>
    <t>Single Surface</t>
  </si>
  <si>
    <t>At Cruise Condition (L=W) and zero AOA</t>
  </si>
  <si>
    <t>V (m/s)</t>
  </si>
  <si>
    <t>S (m^2)</t>
  </si>
  <si>
    <t>W (Kg)</t>
  </si>
  <si>
    <t>rho (Kg/m^3)</t>
  </si>
  <si>
    <t>At Cruise Condition</t>
  </si>
  <si>
    <t>Granted</t>
  </si>
  <si>
    <t>Required max. Servo Force =</t>
  </si>
  <si>
    <t>N-m</t>
  </si>
  <si>
    <t>Total Drag (Cd_tot) at Cruise Speed</t>
  </si>
  <si>
    <t>X</t>
  </si>
  <si>
    <t>Selected Prop. 9X7 tri-blade</t>
  </si>
  <si>
    <t>dia, d (in):</t>
  </si>
  <si>
    <t>1 kgs</t>
  </si>
  <si>
    <t>Drag (N)</t>
  </si>
  <si>
    <t>P. Drag (N)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</si>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</sst>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36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8" fillId="0" borderId="0"/>
    <xf numFmtId="0" fontId="24" fillId="0" borderId="0" applyNumberFormat="0" applyFill="0" applyBorder="0" applyAlignment="0" applyProtection="0"/>
    <xf numFmtId="0" fontId="20" fillId="0" borderId="0"/>
  </cellStyleXfs>
  <cellXfs count="304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4" xfId="0" applyBorder="1"/>
    <xf numFmtId="0" fontId="0" fillId="5" borderId="15" xfId="0" applyFill="1" applyBorder="1"/>
    <xf numFmtId="0" fontId="0" fillId="5" borderId="17" xfId="0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6" borderId="15" xfId="0" applyFill="1" applyBorder="1"/>
    <xf numFmtId="0" fontId="0" fillId="6" borderId="16" xfId="0" applyFill="1" applyBorder="1" applyAlignment="1">
      <alignment horizontal="center"/>
    </xf>
    <xf numFmtId="0" fontId="0" fillId="6" borderId="17" xfId="0" applyFill="1" applyBorder="1"/>
    <xf numFmtId="0" fontId="0" fillId="8" borderId="6" xfId="0" applyFill="1" applyBorder="1"/>
    <xf numFmtId="0" fontId="12" fillId="9" borderId="8" xfId="0" applyFont="1" applyFill="1" applyBorder="1"/>
    <xf numFmtId="0" fontId="0" fillId="9" borderId="9" xfId="0" applyFill="1" applyBorder="1"/>
    <xf numFmtId="0" fontId="0" fillId="9" borderId="10" xfId="0" applyFill="1" applyBorder="1"/>
    <xf numFmtId="0" fontId="12" fillId="9" borderId="11" xfId="0" applyFont="1" applyFill="1" applyBorder="1"/>
    <xf numFmtId="0" fontId="0" fillId="9" borderId="0" xfId="0" applyFill="1"/>
    <xf numFmtId="0" fontId="0" fillId="9" borderId="12" xfId="0" applyFill="1" applyBorder="1"/>
    <xf numFmtId="0" fontId="12" fillId="9" borderId="13" xfId="0" applyFont="1" applyFill="1" applyBorder="1"/>
    <xf numFmtId="0" fontId="0" fillId="9" borderId="7" xfId="0" applyFill="1" applyBorder="1"/>
    <xf numFmtId="0" fontId="0" fillId="9" borderId="14" xfId="0" applyFill="1" applyBorder="1"/>
    <xf numFmtId="0" fontId="0" fillId="10" borderId="6" xfId="0" applyFill="1" applyBorder="1"/>
    <xf numFmtId="0" fontId="0" fillId="3" borderId="17" xfId="0" applyFill="1" applyBorder="1"/>
    <xf numFmtId="0" fontId="0" fillId="11" borderId="6" xfId="0" applyFill="1" applyBorder="1"/>
    <xf numFmtId="0" fontId="0" fillId="12" borderId="6" xfId="0" applyFill="1" applyBorder="1"/>
    <xf numFmtId="0" fontId="0" fillId="7" borderId="6" xfId="0" applyFill="1" applyBorder="1"/>
    <xf numFmtId="0" fontId="0" fillId="3" borderId="6" xfId="0" applyFill="1" applyBorder="1"/>
    <xf numFmtId="0" fontId="0" fillId="0" borderId="21" xfId="0" applyBorder="1"/>
    <xf numFmtId="0" fontId="0" fillId="12" borderId="22" xfId="0" applyFill="1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1" fontId="0" fillId="0" borderId="6" xfId="0" applyNumberFormat="1" applyBorder="1"/>
    <xf numFmtId="2" fontId="0" fillId="0" borderId="6" xfId="0" applyNumberFormat="1" applyBorder="1"/>
    <xf numFmtId="0" fontId="4" fillId="0" borderId="2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12" borderId="15" xfId="0" applyFill="1" applyBorder="1"/>
    <xf numFmtId="0" fontId="7" fillId="0" borderId="6" xfId="0" applyFont="1" applyBorder="1"/>
    <xf numFmtId="0" fontId="0" fillId="0" borderId="17" xfId="0" applyBorder="1"/>
    <xf numFmtId="0" fontId="0" fillId="0" borderId="15" xfId="0" applyBorder="1"/>
    <xf numFmtId="165" fontId="0" fillId="0" borderId="6" xfId="0" applyNumberFormat="1" applyBorder="1"/>
    <xf numFmtId="165" fontId="0" fillId="12" borderId="6" xfId="0" applyNumberFormat="1" applyFill="1" applyBorder="1"/>
    <xf numFmtId="165" fontId="0" fillId="5" borderId="16" xfId="0" applyNumberFormat="1" applyFill="1" applyBorder="1"/>
    <xf numFmtId="165" fontId="0" fillId="3" borderId="6" xfId="0" applyNumberFormat="1" applyFill="1" applyBorder="1"/>
    <xf numFmtId="165" fontId="7" fillId="0" borderId="6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4" fillId="0" borderId="0" xfId="0" applyFont="1" applyAlignment="1">
      <alignment vertical="center"/>
    </xf>
    <xf numFmtId="16" fontId="0" fillId="0" borderId="0" xfId="0" applyNumberFormat="1"/>
    <xf numFmtId="21" fontId="0" fillId="0" borderId="0" xfId="0" applyNumberFormat="1"/>
    <xf numFmtId="0" fontId="7" fillId="0" borderId="0" xfId="0" applyFont="1"/>
    <xf numFmtId="0" fontId="0" fillId="3" borderId="15" xfId="0" applyFill="1" applyBorder="1"/>
    <xf numFmtId="0" fontId="0" fillId="7" borderId="26" xfId="0" applyFill="1" applyBorder="1"/>
    <xf numFmtId="0" fontId="20" fillId="12" borderId="6" xfId="0" applyFont="1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0" fontId="18" fillId="12" borderId="6" xfId="1" applyFill="1" applyBorder="1" applyAlignment="1">
      <alignment horizontal="center" vertical="center"/>
    </xf>
    <xf numFmtId="0" fontId="0" fillId="12" borderId="6" xfId="1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 vertical="center"/>
    </xf>
    <xf numFmtId="165" fontId="18" fillId="12" borderId="6" xfId="0" applyNumberFormat="1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2" fontId="0" fillId="12" borderId="6" xfId="0" applyNumberFormat="1" applyFill="1" applyBorder="1"/>
    <xf numFmtId="0" fontId="0" fillId="0" borderId="0" xfId="0" applyAlignment="1">
      <alignment horizontal="left" vertical="center"/>
    </xf>
    <xf numFmtId="166" fontId="0" fillId="0" borderId="6" xfId="0" applyNumberFormat="1" applyBorder="1"/>
    <xf numFmtId="0" fontId="0" fillId="7" borderId="21" xfId="0" applyFill="1" applyBorder="1"/>
    <xf numFmtId="0" fontId="20" fillId="7" borderId="6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left"/>
    </xf>
    <xf numFmtId="0" fontId="20" fillId="0" borderId="6" xfId="0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165" fontId="0" fillId="3" borderId="0" xfId="0" applyNumberFormat="1" applyFill="1"/>
    <xf numFmtId="165" fontId="0" fillId="0" borderId="0" xfId="0" applyNumberFormat="1" applyAlignment="1">
      <alignment horizontal="center" vertical="center"/>
    </xf>
    <xf numFmtId="165" fontId="7" fillId="0" borderId="0" xfId="0" applyNumberFormat="1" applyFont="1"/>
    <xf numFmtId="0" fontId="0" fillId="0" borderId="17" xfId="0" applyBorder="1" applyAlignment="1">
      <alignment horizontal="left" vertical="center"/>
    </xf>
    <xf numFmtId="0" fontId="0" fillId="12" borderId="21" xfId="0" applyFill="1" applyBorder="1" applyAlignment="1">
      <alignment horizontal="left" vertical="center"/>
    </xf>
    <xf numFmtId="0" fontId="7" fillId="12" borderId="21" xfId="0" applyFont="1" applyFill="1" applyBorder="1" applyAlignment="1">
      <alignment horizontal="left" vertical="center"/>
    </xf>
    <xf numFmtId="0" fontId="0" fillId="10" borderId="6" xfId="0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20" fillId="0" borderId="0" xfId="0" applyFont="1"/>
    <xf numFmtId="0" fontId="0" fillId="0" borderId="6" xfId="0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7" borderId="0" xfId="0" applyFill="1"/>
    <xf numFmtId="0" fontId="10" fillId="0" borderId="0" xfId="0" applyFont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11" xfId="0" applyFill="1" applyBorder="1"/>
    <xf numFmtId="0" fontId="0" fillId="7" borderId="12" xfId="0" applyFill="1" applyBorder="1"/>
    <xf numFmtId="0" fontId="0" fillId="7" borderId="1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0" fillId="11" borderId="6" xfId="0" applyNumberFormat="1" applyFill="1" applyBorder="1"/>
    <xf numFmtId="0" fontId="0" fillId="11" borderId="17" xfId="0" applyFill="1" applyBorder="1"/>
    <xf numFmtId="0" fontId="0" fillId="12" borderId="6" xfId="0" applyFill="1" applyBorder="1" applyAlignment="1">
      <alignment horizontal="center"/>
    </xf>
    <xf numFmtId="0" fontId="0" fillId="5" borderId="6" xfId="0" applyFill="1" applyBorder="1"/>
    <xf numFmtId="0" fontId="24" fillId="0" borderId="0" xfId="2"/>
    <xf numFmtId="0" fontId="0" fillId="0" borderId="0" xfId="0" applyAlignment="1">
      <alignment horizontal="right"/>
    </xf>
    <xf numFmtId="0" fontId="0" fillId="7" borderId="6" xfId="0" applyFill="1" applyBorder="1" applyAlignment="1">
      <alignment wrapText="1"/>
    </xf>
    <xf numFmtId="0" fontId="0" fillId="5" borderId="16" xfId="0" applyFill="1" applyBorder="1"/>
    <xf numFmtId="0" fontId="0" fillId="17" borderId="6" xfId="0" applyFill="1" applyBorder="1"/>
    <xf numFmtId="0" fontId="0" fillId="7" borderId="17" xfId="0" applyFill="1" applyBorder="1"/>
    <xf numFmtId="2" fontId="0" fillId="12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8" fillId="0" borderId="8" xfId="0" applyFont="1" applyBorder="1"/>
    <xf numFmtId="0" fontId="24" fillId="0" borderId="11" xfId="2" applyBorder="1"/>
    <xf numFmtId="0" fontId="8" fillId="0" borderId="9" xfId="0" applyFont="1" applyBorder="1"/>
    <xf numFmtId="0" fontId="0" fillId="0" borderId="6" xfId="0" applyBorder="1" applyAlignment="1">
      <alignment horizontal="right"/>
    </xf>
    <xf numFmtId="0" fontId="21" fillId="0" borderId="0" xfId="0" applyFont="1" applyAlignment="1">
      <alignment vertical="center"/>
    </xf>
    <xf numFmtId="0" fontId="0" fillId="7" borderId="22" xfId="0" applyFill="1" applyBorder="1"/>
    <xf numFmtId="0" fontId="0" fillId="0" borderId="6" xfId="0" applyBorder="1" applyAlignment="1">
      <alignment vertical="center"/>
    </xf>
    <xf numFmtId="0" fontId="0" fillId="7" borderId="6" xfId="0" applyFill="1" applyBorder="1" applyAlignment="1">
      <alignment vertical="center"/>
    </xf>
    <xf numFmtId="11" fontId="0" fillId="12" borderId="6" xfId="0" applyNumberFormat="1" applyFill="1" applyBorder="1"/>
    <xf numFmtId="166" fontId="0" fillId="12" borderId="6" xfId="0" applyNumberFormat="1" applyFill="1" applyBorder="1"/>
    <xf numFmtId="0" fontId="22" fillId="16" borderId="18" xfId="0" applyFont="1" applyFill="1" applyBorder="1" applyAlignment="1">
      <alignment horizontal="center" vertical="center"/>
    </xf>
    <xf numFmtId="0" fontId="23" fillId="16" borderId="19" xfId="0" applyFont="1" applyFill="1" applyBorder="1" applyAlignment="1">
      <alignment horizontal="center" vertical="center"/>
    </xf>
    <xf numFmtId="0" fontId="23" fillId="16" borderId="20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4" fillId="9" borderId="29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65" fontId="0" fillId="11" borderId="6" xfId="0" applyNumberForma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/>
    </xf>
    <xf numFmtId="0" fontId="11" fillId="2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9" fillId="5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4" fillId="0" borderId="6" xfId="2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" fillId="14" borderId="18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4" fillId="0" borderId="0" xfId="2" applyAlignment="1">
      <alignment horizontal="center"/>
    </xf>
    <xf numFmtId="0" fontId="0" fillId="5" borderId="15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15" xfId="0" applyFill="1" applyBorder="1" applyAlignment="1">
      <alignment horizontal="right"/>
    </xf>
    <xf numFmtId="0" fontId="0" fillId="5" borderId="17" xfId="0" applyFill="1" applyBorder="1" applyAlignment="1">
      <alignment horizontal="right"/>
    </xf>
    <xf numFmtId="0" fontId="8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6" fillId="9" borderId="15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21" fillId="9" borderId="6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0" fillId="0" borderId="6" xfId="0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D643FAD6-8278-43FD-BE81-1C23604F0309}"/>
    <cellStyle name="Normal 7" xfId="3" xr:uid="{0ECA8D7B-5C77-4593-8056-EE97820F8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At Stall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'Wing Loading'!$G$18:$G$24</c:f>
              <c:numCache>
                <c:formatCode>General</c:formatCode>
                <c:ptCount val="7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</c:numCache>
            </c:numRef>
          </c:cat>
          <c:val>
            <c:numRef>
              <c:f>'Wing Loading'!$H$18:$H$24</c:f>
              <c:numCache>
                <c:formatCode>0.000</c:formatCode>
                <c:ptCount val="7"/>
                <c:pt idx="0">
                  <c:v>127.27761000000001</c:v>
                </c:pt>
                <c:pt idx="1">
                  <c:v>140.32356502500002</c:v>
                </c:pt>
                <c:pt idx="2">
                  <c:v>154.0059081</c:v>
                </c:pt>
                <c:pt idx="3">
                  <c:v>168.32463922500003</c:v>
                </c:pt>
                <c:pt idx="4">
                  <c:v>183.27975840000002</c:v>
                </c:pt>
                <c:pt idx="5">
                  <c:v>198.87126562499998</c:v>
                </c:pt>
                <c:pt idx="6">
                  <c:v>215.09916090000002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C-49D4-BA2D-9DC9A154F3F5}"/>
            </c:ext>
          </c:extLst>
        </c:ser>
        <c:ser>
          <c:idx val="1"/>
          <c:order val="1"/>
          <c:tx>
            <c:v>At Cruise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'Wing Loading'!$G$18:$G$24</c:f>
              <c:numCache>
                <c:formatCode>General</c:formatCode>
                <c:ptCount val="7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</c:numCache>
            </c:numRef>
          </c:cat>
          <c:val>
            <c:numRef>
              <c:f>'Wing Loading'!$I$18:$I$24</c:f>
              <c:numCache>
                <c:formatCode>0.000</c:formatCode>
                <c:ptCount val="7"/>
                <c:pt idx="0">
                  <c:v>7.2818192778547592</c:v>
                </c:pt>
                <c:pt idx="1">
                  <c:v>8.0282057538348717</c:v>
                </c:pt>
                <c:pt idx="2">
                  <c:v>8.8110013262042575</c:v>
                </c:pt>
                <c:pt idx="3">
                  <c:v>9.6302059949629193</c:v>
                </c:pt>
                <c:pt idx="4">
                  <c:v>10.485819760110854</c:v>
                </c:pt>
                <c:pt idx="5">
                  <c:v>11.37784262164806</c:v>
                </c:pt>
                <c:pt idx="6">
                  <c:v>12.306274579574543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6C-49D4-BA2D-9DC9A154F3F5}"/>
            </c:ext>
          </c:extLst>
        </c:ser>
        <c:ser>
          <c:idx val="2"/>
          <c:order val="2"/>
          <c:tx>
            <c:v>At Loiter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'Wing Loading'!$G$18:$G$24</c:f>
              <c:numCache>
                <c:formatCode>General</c:formatCode>
                <c:ptCount val="7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</c:numCache>
            </c:numRef>
          </c:cat>
          <c:val>
            <c:numRef>
              <c:f>'Wing Loading'!$J$18:$J$24</c:f>
              <c:numCache>
                <c:formatCode>0.000</c:formatCode>
                <c:ptCount val="7"/>
                <c:pt idx="0">
                  <c:v>12.612480960778955</c:v>
                </c:pt>
                <c:pt idx="1">
                  <c:v>13.905260259258798</c:v>
                </c:pt>
                <c:pt idx="2">
                  <c:v>15.261101962542535</c:v>
                </c:pt>
                <c:pt idx="3">
                  <c:v>16.680006070630167</c:v>
                </c:pt>
                <c:pt idx="4">
                  <c:v>18.161972583521695</c:v>
                </c:pt>
                <c:pt idx="5">
                  <c:v>19.707001501217114</c:v>
                </c:pt>
                <c:pt idx="6">
                  <c:v>21.315092823716434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6C-49D4-BA2D-9DC9A154F3F5}"/>
            </c:ext>
          </c:extLst>
        </c:ser>
        <c:ser>
          <c:idx val="3"/>
          <c:order val="3"/>
          <c:tx>
            <c:v>At Instantenous Turn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'Wing Loading'!$G$18:$G$24</c:f>
              <c:numCache>
                <c:formatCode>General</c:formatCode>
                <c:ptCount val="7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</c:numCache>
            </c:numRef>
          </c:cat>
          <c:val>
            <c:numRef>
              <c:f>'Wing Loading'!$K$18:$K$24</c:f>
              <c:numCache>
                <c:formatCode>0.000</c:formatCode>
                <c:ptCount val="7"/>
                <c:pt idx="0">
                  <c:v>159.4717175614239</c:v>
                </c:pt>
                <c:pt idx="1">
                  <c:v>175.81756861146988</c:v>
                </c:pt>
                <c:pt idx="2">
                  <c:v>192.96077824932291</c:v>
                </c:pt>
                <c:pt idx="3">
                  <c:v>210.90134647498314</c:v>
                </c:pt>
                <c:pt idx="4">
                  <c:v>229.63927328845045</c:v>
                </c:pt>
                <c:pt idx="5">
                  <c:v>249.17455868972482</c:v>
                </c:pt>
                <c:pt idx="6">
                  <c:v>269.50720267880644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6C-49D4-BA2D-9DC9A154F3F5}"/>
            </c:ext>
          </c:extLst>
        </c:ser>
        <c:ser>
          <c:idx val="4"/>
          <c:order val="4"/>
          <c:tx>
            <c:v>At Sustained Turn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'Wing Loading'!$G$18:$G$24</c:f>
              <c:numCache>
                <c:formatCode>General</c:formatCode>
                <c:ptCount val="7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</c:numCache>
            </c:numRef>
          </c:cat>
          <c:val>
            <c:numRef>
              <c:f>'Wing Loading'!$L$18:$L$24</c:f>
              <c:numCache>
                <c:formatCode>0.000</c:formatCode>
                <c:ptCount val="7"/>
                <c:pt idx="0">
                  <c:v>9.1237117605475611</c:v>
                </c:pt>
                <c:pt idx="1">
                  <c:v>10.058892216003686</c:v>
                </c:pt>
                <c:pt idx="2">
                  <c:v>11.039691230262548</c:v>
                </c:pt>
                <c:pt idx="3">
                  <c:v>12.066108803324152</c:v>
                </c:pt>
                <c:pt idx="4">
                  <c:v>13.138144935188489</c:v>
                </c:pt>
                <c:pt idx="5">
                  <c:v>14.255799625855564</c:v>
                </c:pt>
                <c:pt idx="6">
                  <c:v>15.419072875325378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6C-49D4-BA2D-9DC9A154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51828184"/>
        <c:axId val="751828512"/>
      </c:lineChart>
      <c:catAx>
        <c:axId val="751828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Stall</a:t>
                </a:r>
                <a:r>
                  <a:rPr lang="en-IN" baseline="0"/>
                  <a:t> Velocity (m/s)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28512"/>
        <c:crosses val="autoZero"/>
        <c:auto val="1"/>
        <c:lblAlgn val="ctr"/>
        <c:lblOffset val="100"/>
        <c:noMultiLvlLbl val="0"/>
      </c:catAx>
      <c:valAx>
        <c:axId val="7518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Wing</a:t>
                </a:r>
                <a:r>
                  <a:rPr lang="en-IN" baseline="0"/>
                  <a:t> Loading (W/S) (N/m^2)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2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Dynamic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Thrust (Simplyfied)'!$A$82:$E$82</c:f>
              <c:strCache>
                <c:ptCount val="1"/>
                <c:pt idx="0">
                  <c:v>10 X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'Dynamic Thrust (Simplyfied)'!$A$27:$A$40</c:f>
              <c:numCache>
                <c:formatCode>General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'Dynamic Thrust (Simplyfied)'!$E$84:$E$97</c:f>
              <c:numCache>
                <c:formatCode>0.000</c:formatCode>
                <c:ptCount val="14"/>
                <c:pt idx="0">
                  <c:v>0</c:v>
                </c:pt>
                <c:pt idx="1">
                  <c:v>-0.55181413626368636</c:v>
                </c:pt>
                <c:pt idx="2">
                  <c:v>-0.84066269288086026</c:v>
                </c:pt>
                <c:pt idx="3">
                  <c:v>-0.86654566985152182</c:v>
                </c:pt>
                <c:pt idx="4">
                  <c:v>-0.62946306717567102</c:v>
                </c:pt>
                <c:pt idx="5">
                  <c:v>-0.12941488485330807</c:v>
                </c:pt>
                <c:pt idx="6">
                  <c:v>0.63359887711556795</c:v>
                </c:pt>
                <c:pt idx="7">
                  <c:v>1.6595782187309556</c:v>
                </c:pt>
                <c:pt idx="8">
                  <c:v>2.9485231399928558</c:v>
                </c:pt>
                <c:pt idx="9">
                  <c:v>4.5004336409012691</c:v>
                </c:pt>
                <c:pt idx="10">
                  <c:v>6.3153097214561926</c:v>
                </c:pt>
                <c:pt idx="11">
                  <c:v>8.3931513816576331</c:v>
                </c:pt>
                <c:pt idx="12">
                  <c:v>10.733958621505582</c:v>
                </c:pt>
                <c:pt idx="13">
                  <c:v>13.337731441000043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2AC-9377-D6FB06B87FEF}"/>
            </c:ext>
          </c:extLst>
        </c:ser>
        <c:ser>
          <c:idx val="1"/>
          <c:order val="1"/>
          <c:tx>
            <c:strRef>
              <c:f>'Dynamic Thrust (Simplyfied)'!$G$82:$K$82</c:f>
              <c:strCache>
                <c:ptCount val="1"/>
                <c:pt idx="0">
                  <c:v>10 X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'Dynamic Thrust (Simplyfied)'!$K$84:$K$97</c:f>
              <c:numCache>
                <c:formatCode>0.000</c:formatCode>
                <c:ptCount val="14"/>
                <c:pt idx="0">
                  <c:v>0</c:v>
                </c:pt>
                <c:pt idx="1">
                  <c:v>-0.47972971999978142</c:v>
                </c:pt>
                <c:pt idx="2">
                  <c:v>-0.67139508035993056</c:v>
                </c:pt>
                <c:pt idx="3">
                  <c:v>-0.5749960810804472</c:v>
                </c:pt>
                <c:pt idx="4">
                  <c:v>-0.19053272216133135</c:v>
                </c:pt>
                <c:pt idx="5">
                  <c:v>0.48199499639741711</c:v>
                </c:pt>
                <c:pt idx="6">
                  <c:v>1.4425870745957976</c:v>
                </c:pt>
                <c:pt idx="7">
                  <c:v>2.6912435124338101</c:v>
                </c:pt>
                <c:pt idx="8">
                  <c:v>4.2279643099114566</c:v>
                </c:pt>
                <c:pt idx="9">
                  <c:v>6.0527494670287352</c:v>
                </c:pt>
                <c:pt idx="10">
                  <c:v>8.165598983785646</c:v>
                </c:pt>
                <c:pt idx="11">
                  <c:v>10.56651286018219</c:v>
                </c:pt>
                <c:pt idx="12">
                  <c:v>13.255491096218364</c:v>
                </c:pt>
                <c:pt idx="13">
                  <c:v>16.232533691894169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2AC-9377-D6FB06B87FEF}"/>
            </c:ext>
          </c:extLst>
        </c:ser>
        <c:ser>
          <c:idx val="2"/>
          <c:order val="2"/>
          <c:tx>
            <c:strRef>
              <c:f>'Dynamic Thrust (Simplyfied)'!$M$82:$Q$82</c:f>
              <c:strCache>
                <c:ptCount val="1"/>
                <c:pt idx="0">
                  <c:v>10 X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'Dynamic Thrust (Simplyfied)'!$Q$84:$Q$97</c:f>
              <c:numCache>
                <c:formatCode>0.000</c:formatCode>
                <c:ptCount val="14"/>
                <c:pt idx="0">
                  <c:v>0</c:v>
                </c:pt>
                <c:pt idx="1">
                  <c:v>-0.4219187693855157</c:v>
                </c:pt>
                <c:pt idx="2">
                  <c:v>-0.53269246889147082</c:v>
                </c:pt>
                <c:pt idx="3">
                  <c:v>-0.33232109851786523</c:v>
                </c:pt>
                <c:pt idx="4">
                  <c:v>0.17919534173530122</c:v>
                </c:pt>
                <c:pt idx="5">
                  <c:v>1.0018568518680284</c:v>
                </c:pt>
                <c:pt idx="6">
                  <c:v>2.135663431880316</c:v>
                </c:pt>
                <c:pt idx="7">
                  <c:v>3.580615081772164</c:v>
                </c:pt>
                <c:pt idx="8">
                  <c:v>5.3367118015435739</c:v>
                </c:pt>
                <c:pt idx="9">
                  <c:v>7.4039535911945444</c:v>
                </c:pt>
                <c:pt idx="10">
                  <c:v>9.7823404507250746</c:v>
                </c:pt>
                <c:pt idx="11">
                  <c:v>12.471872380135165</c:v>
                </c:pt>
                <c:pt idx="12">
                  <c:v>15.472549379424818</c:v>
                </c:pt>
                <c:pt idx="13">
                  <c:v>18.78437144859403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2AC-9377-D6FB06B87FEF}"/>
            </c:ext>
          </c:extLst>
        </c:ser>
        <c:ser>
          <c:idx val="3"/>
          <c:order val="3"/>
          <c:tx>
            <c:strRef>
              <c:f>'Dynamic Thrust (Simplyfied)'!$S$82:$W$82</c:f>
              <c:strCache>
                <c:ptCount val="1"/>
                <c:pt idx="0">
                  <c:v>10 X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'Dynamic Thrust (Simplyfied)'!$W$84:$W$97</c:f>
              <c:numCache>
                <c:formatCode>0.000</c:formatCode>
                <c:ptCount val="14"/>
                <c:pt idx="0">
                  <c:v>0</c:v>
                </c:pt>
                <c:pt idx="1">
                  <c:v>-0.37387961557473665</c:v>
                </c:pt>
                <c:pt idx="2">
                  <c:v>-0.41513115998571543</c:v>
                </c:pt>
                <c:pt idx="3">
                  <c:v>-0.12375463323293644</c:v>
                </c:pt>
                <c:pt idx="4">
                  <c:v>0.5002499646836005</c:v>
                </c:pt>
                <c:pt idx="5">
                  <c:v>1.4568826337638952</c:v>
                </c:pt>
                <c:pt idx="6">
                  <c:v>2.7461433740079482</c:v>
                </c:pt>
                <c:pt idx="7">
                  <c:v>4.3680321854157578</c:v>
                </c:pt>
                <c:pt idx="8">
                  <c:v>6.3225490679873264</c:v>
                </c:pt>
                <c:pt idx="9">
                  <c:v>8.6096940217226532</c:v>
                </c:pt>
                <c:pt idx="10">
                  <c:v>11.229467046621737</c:v>
                </c:pt>
                <c:pt idx="11">
                  <c:v>14.18186814268458</c:v>
                </c:pt>
                <c:pt idx="12">
                  <c:v>17.466897309911179</c:v>
                </c:pt>
                <c:pt idx="13">
                  <c:v>21.084554548301536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4-42AC-9377-D6FB06B8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43648"/>
        <c:axId val="675749552"/>
      </c:lineChart>
      <c:catAx>
        <c:axId val="6757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9552"/>
        <c:crosses val="autoZero"/>
        <c:auto val="1"/>
        <c:lblAlgn val="ctr"/>
        <c:lblOffset val="100"/>
        <c:noMultiLvlLbl val="0"/>
      </c:catAx>
      <c:valAx>
        <c:axId val="675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Thrust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 Thrust 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'Dynamic Thrust (Expanded)'!$C$15:$C$35</c:f>
              <c:numCache>
                <c:formatCode>General</c:formatCode>
                <c:ptCount val="21"/>
                <c:pt idx="0">
                  <c:v>18.18313556196885</c:v>
                </c:pt>
                <c:pt idx="1">
                  <c:v>17.711132389122032</c:v>
                </c:pt>
                <c:pt idx="2">
                  <c:v>17.239129216275217</c:v>
                </c:pt>
                <c:pt idx="3">
                  <c:v>16.767126043428398</c:v>
                </c:pt>
                <c:pt idx="4">
                  <c:v>16.295122870581586</c:v>
                </c:pt>
                <c:pt idx="5">
                  <c:v>15.823119697734766</c:v>
                </c:pt>
                <c:pt idx="6">
                  <c:v>15.351116524887953</c:v>
                </c:pt>
                <c:pt idx="7">
                  <c:v>14.879113352041134</c:v>
                </c:pt>
                <c:pt idx="8">
                  <c:v>14.407110179194319</c:v>
                </c:pt>
                <c:pt idx="9">
                  <c:v>13.935107006347504</c:v>
                </c:pt>
                <c:pt idx="10">
                  <c:v>13.463103833500687</c:v>
                </c:pt>
                <c:pt idx="11">
                  <c:v>12.991100660653871</c:v>
                </c:pt>
                <c:pt idx="12">
                  <c:v>12.519097487807056</c:v>
                </c:pt>
                <c:pt idx="13">
                  <c:v>12.047094314960239</c:v>
                </c:pt>
                <c:pt idx="14">
                  <c:v>11.575091142113422</c:v>
                </c:pt>
                <c:pt idx="15">
                  <c:v>11.103087969266607</c:v>
                </c:pt>
                <c:pt idx="16">
                  <c:v>10.63108479641979</c:v>
                </c:pt>
                <c:pt idx="17">
                  <c:v>10.159081623572975</c:v>
                </c:pt>
                <c:pt idx="18">
                  <c:v>9.6870784507261583</c:v>
                </c:pt>
                <c:pt idx="19">
                  <c:v>9.2150752778793414</c:v>
                </c:pt>
                <c:pt idx="20">
                  <c:v>8.7430721050325246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2-4193-BB49-A317572E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43648"/>
        <c:axId val="675749552"/>
      </c:lineChart>
      <c:catAx>
        <c:axId val="6757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9552"/>
        <c:crosses val="autoZero"/>
        <c:auto val="1"/>
        <c:lblAlgn val="ctr"/>
        <c:lblOffset val="100"/>
        <c:noMultiLvlLbl val="0"/>
      </c:catAx>
      <c:valAx>
        <c:axId val="675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Fuselage Volume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Rectangular Fuselage Volume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Details'!$K$66:$K$67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7.2799999999999991E-4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9-4D0E-9CD0-038D0C4015EB}"/>
            </c:ext>
          </c:extLst>
        </c:ser>
        <c:ser>
          <c:idx val="1"/>
          <c:order val="1"/>
          <c:tx>
            <c:v>Double Bubble Fuselage Volume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Details'!$J$66:$J$67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1.9234321943199999E-2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9-4D0E-9CD0-038D0C40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472551944"/>
        <c:axId val="472552272"/>
      </c:lineChart>
      <c:catAx>
        <c:axId val="47255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2272"/>
        <c:crosses val="autoZero"/>
        <c:auto val="1"/>
        <c:lblAlgn val="ctr"/>
        <c:lblOffset val="100"/>
        <c:noMultiLvlLbl val="0"/>
      </c:catAx>
      <c:valAx>
        <c:axId val="4725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'Drag Calculation'!$Y$25:$AA$25</c:f>
              <c:strCache>
                <c:ptCount val="1"/>
                <c:pt idx="0">
                  <c:v>At Cruise Condition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E9-4741-8C9B-E91F261DF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E9-4741-8C9B-E91F261DF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E9-4741-8C9B-E91F261DF5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E9-4741-8C9B-E91F261DF5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E9-4741-8C9B-E91F261DF5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'Drag Calculation'!$Y$26:$AA$30</c:f>
              <c:strCache>
                <c:ptCount val="5"/>
                <c:pt idx="0">
                  <c:v>Induced Drag of Wing</c:v>
                </c:pt>
                <c:pt idx="1">
                  <c:v>Parasite Drag of Wing</c:v>
                </c:pt>
                <c:pt idx="2">
                  <c:v>Parasite Drag of HT</c:v>
                </c:pt>
                <c:pt idx="3">
                  <c:v>Parasite Drag of VT</c:v>
                </c:pt>
                <c:pt idx="4">
                  <c:v>Parasite Drag of Fuselage</c:v>
                </c:pt>
              </c:strCache>
            </c:strRef>
          </c:cat>
          <c:val>
            <c:numRef>
              <c:f>'Drag Calculation'!$AD$26:$AD$30</c:f>
              <c:numCache>
                <c:formatCode>0.00</c:formatCode>
                <c:ptCount val="5"/>
                <c:pt idx="0">
                  <c:v>53.12224228942938</c:v>
                </c:pt>
                <c:pt idx="1">
                  <c:v>8.9324200024273157</c:v>
                </c:pt>
                <c:pt idx="2">
                  <c:v>9.1032365310495962</c:v>
                </c:pt>
                <c:pt idx="3">
                  <c:v>10.70827502120123</c:v>
                </c:pt>
                <c:pt idx="4">
                  <c:v>18.133826155892482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B-4E83-A4A5-A3DCD4C957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Drag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Induced Drag 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'Drag Calculation'!$K$49:$K$61</c:f>
              <c:numCache>
                <c:formatCode>0.000</c:formatCode>
                <c:ptCount val="13"/>
                <c:pt idx="0">
                  <c:v>286.24251745319538</c:v>
                </c:pt>
                <c:pt idx="1">
                  <c:v>90.804774818686809</c:v>
                </c:pt>
                <c:pt idx="2">
                  <c:v>37.39733537088955</c:v>
                </c:pt>
                <c:pt idx="3">
                  <c:v>18.213613268726494</c:v>
                </c:pt>
                <c:pt idx="4">
                  <c:v>9.9900414479896344</c:v>
                </c:pt>
                <c:pt idx="5">
                  <c:v>5.9987543540697112</c:v>
                </c:pt>
                <c:pt idx="6">
                  <c:v>3.8746183946602613</c:v>
                </c:pt>
                <c:pt idx="7">
                  <c:v>2.660789388582383</c:v>
                </c:pt>
                <c:pt idx="8">
                  <c:v>1.9267215430167905</c:v>
                </c:pt>
                <c:pt idx="9">
                  <c:v>1.4618067571971918</c:v>
                </c:pt>
                <c:pt idx="10">
                  <c:v>1.1558350102865635</c:v>
                </c:pt>
                <c:pt idx="11">
                  <c:v>0.94783351840113794</c:v>
                </c:pt>
                <c:pt idx="12">
                  <c:v>0.80245565290339838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A-4D47-A5DB-689F693A97F5}"/>
            </c:ext>
          </c:extLst>
        </c:ser>
        <c:ser>
          <c:idx val="1"/>
          <c:order val="1"/>
          <c:tx>
            <c:v>Parasite Drag 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'Drag Calculation'!$AI$66:$AI$80</c:f>
              <c:numCache>
                <c:formatCode>0.0000</c:formatCode>
                <c:ptCount val="15"/>
                <c:pt idx="0">
                  <c:v>2.3744359987212578</c:v>
                </c:pt>
                <c:pt idx="1">
                  <c:v>1.9783227210265657</c:v>
                </c:pt>
                <c:pt idx="2">
                  <c:v>1.7883308282290957</c:v>
                </c:pt>
                <c:pt idx="3">
                  <c:v>1.6686371538741422</c:v>
                </c:pt>
                <c:pt idx="4">
                  <c:v>1.5833536966927924</c:v>
                </c:pt>
                <c:pt idx="5">
                  <c:v>1.5181165698818666</c:v>
                </c:pt>
                <c:pt idx="6">
                  <c:v>1.4658455161818467</c:v>
                </c:pt>
                <c:pt idx="7">
                  <c:v>1.4225714798371811</c:v>
                </c:pt>
                <c:pt idx="8">
                  <c:v>1.385864404473317</c:v>
                </c:pt>
                <c:pt idx="9">
                  <c:v>1.3541373860327459</c:v>
                </c:pt>
                <c:pt idx="10">
                  <c:v>1.3263017284199479</c:v>
                </c:pt>
                <c:pt idx="11">
                  <c:v>1.3015808266491771</c:v>
                </c:pt>
                <c:pt idx="12">
                  <c:v>1.2794028959796515</c:v>
                </c:pt>
                <c:pt idx="13">
                  <c:v>1.2593357820273468</c:v>
                </c:pt>
                <c:pt idx="14">
                  <c:v>1.2410455821521973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A-4D47-A5DB-689F693A97F5}"/>
            </c:ext>
          </c:extLst>
        </c:ser>
        <c:ser>
          <c:idx val="2"/>
          <c:order val="2"/>
          <c:tx>
            <c:v>Total Drag (N)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'Drag Calculation'!$AK$67:$AK$80</c:f>
              <c:numCache>
                <c:formatCode>General</c:formatCode>
                <c:ptCount val="14"/>
                <c:pt idx="0">
                  <c:v>1449.6794249735869</c:v>
                </c:pt>
                <c:pt idx="1">
                  <c:v>288.03084828142448</c:v>
                </c:pt>
                <c:pt idx="2">
                  <c:v>92.473411972560953</c:v>
                </c:pt>
                <c:pt idx="3">
                  <c:v>38.980689067582347</c:v>
                </c:pt>
                <c:pt idx="4">
                  <c:v>19.731729838608363</c:v>
                </c:pt>
                <c:pt idx="5">
                  <c:v>11.455886964171482</c:v>
                </c:pt>
                <c:pt idx="6">
                  <c:v>7.4213258339068933</c:v>
                </c:pt>
                <c:pt idx="7">
                  <c:v>5.2604827991335776</c:v>
                </c:pt>
                <c:pt idx="8">
                  <c:v>4.0149267746151294</c:v>
                </c:pt>
                <c:pt idx="9">
                  <c:v>3.2530232714367386</c:v>
                </c:pt>
                <c:pt idx="10">
                  <c:v>2.7633875838463684</c:v>
                </c:pt>
                <c:pt idx="11">
                  <c:v>2.4352379062662153</c:v>
                </c:pt>
                <c:pt idx="12">
                  <c:v>2.2071693004284842</c:v>
                </c:pt>
                <c:pt idx="13">
                  <c:v>2.0435012350555954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A-4D47-A5DB-689F693A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30864"/>
        <c:axId val="441221680"/>
      </c:lineChart>
      <c:catAx>
        <c:axId val="44123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1680"/>
        <c:crosses val="autoZero"/>
        <c:auto val="1"/>
        <c:lblAlgn val="ctr"/>
        <c:lblOffset val="100"/>
        <c:noMultiLvlLbl val="0"/>
      </c:catAx>
      <c:valAx>
        <c:axId val="441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Drag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'Drag Calculation'!$Y$25:$AA$25</c:f>
              <c:strCache>
                <c:ptCount val="1"/>
                <c:pt idx="0">
                  <c:v>At Cruise Condition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E9-4741-8C9B-E91F261DF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E9-4741-8C9B-E91F261DF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E9-4741-8C9B-E91F261DF5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E9-4741-8C9B-E91F261DF5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E9-4741-8C9B-E91F261DF5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'Drag Calculation'!$Y$26:$AA$30</c:f>
              <c:strCache>
                <c:ptCount val="5"/>
                <c:pt idx="0">
                  <c:v>Induced Drag of Wing</c:v>
                </c:pt>
                <c:pt idx="1">
                  <c:v>Parasite Drag of Wing</c:v>
                </c:pt>
                <c:pt idx="2">
                  <c:v>Parasite Drag of HT</c:v>
                </c:pt>
                <c:pt idx="3">
                  <c:v>Parasite Drag of VT</c:v>
                </c:pt>
                <c:pt idx="4">
                  <c:v>Parasite Drag of Fuselage</c:v>
                </c:pt>
              </c:strCache>
            </c:strRef>
          </c:cat>
          <c:val>
            <c:numRef>
              <c:f>'Drag Calculation'!$AD$35:$AD$39</c:f>
              <c:numCache>
                <c:formatCode>0.00</c:formatCode>
                <c:ptCount val="5"/>
                <c:pt idx="0">
                  <c:v>73.372640359969623</c:v>
                </c:pt>
                <c:pt idx="1">
                  <c:v>5.0749130085719445</c:v>
                </c:pt>
                <c:pt idx="2">
                  <c:v>5.1848293686190772</c:v>
                </c:pt>
                <c:pt idx="3">
                  <c:v>6.1091892437350266</c:v>
                </c:pt>
                <c:pt idx="4">
                  <c:v>10.258428019104342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B-4E83-A4A5-A3DCD4C957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vs 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Required'!$A$10:$A$36</c:f>
              <c:numCache>
                <c:formatCode>General</c:formatCode>
                <c:ptCount val="2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</c:numCache>
            </c:numRef>
          </c:cat>
          <c:val>
            <c:numRef>
              <c:f>'Power Required'!$E$10:$E$36</c:f>
              <c:numCache>
                <c:formatCode>General</c:formatCode>
                <c:ptCount val="27"/>
                <c:pt idx="0">
                  <c:v>0.1129059923537859</c:v>
                </c:pt>
                <c:pt idx="1">
                  <c:v>0.17641561305279047</c:v>
                </c:pt>
                <c:pt idx="2">
                  <c:v>0.25403848279601826</c:v>
                </c:pt>
                <c:pt idx="3">
                  <c:v>0.34577460158346929</c:v>
                </c:pt>
                <c:pt idx="4">
                  <c:v>0.4516239694151436</c:v>
                </c:pt>
                <c:pt idx="5">
                  <c:v>0.57158658629104109</c:v>
                </c:pt>
                <c:pt idx="6">
                  <c:v>0.70566245221116186</c:v>
                </c:pt>
                <c:pt idx="7">
                  <c:v>0.85385156717550581</c:v>
                </c:pt>
                <c:pt idx="8">
                  <c:v>1.016153931184073</c:v>
                </c:pt>
                <c:pt idx="9">
                  <c:v>1.1925695442368636</c:v>
                </c:pt>
                <c:pt idx="10">
                  <c:v>1.3830984063338772</c:v>
                </c:pt>
                <c:pt idx="11">
                  <c:v>1.587740517475114</c:v>
                </c:pt>
                <c:pt idx="12">
                  <c:v>1.8064958776605744</c:v>
                </c:pt>
                <c:pt idx="13">
                  <c:v>2.0393644868902574</c:v>
                </c:pt>
                <c:pt idx="14">
                  <c:v>2.2863463451641644</c:v>
                </c:pt>
                <c:pt idx="15">
                  <c:v>2.5474414524822944</c:v>
                </c:pt>
                <c:pt idx="16">
                  <c:v>2.8226498088446474</c:v>
                </c:pt>
                <c:pt idx="17">
                  <c:v>3.111971414251224</c:v>
                </c:pt>
                <c:pt idx="18">
                  <c:v>3.4154062687020232</c:v>
                </c:pt>
                <c:pt idx="19">
                  <c:v>3.7329543721970464</c:v>
                </c:pt>
                <c:pt idx="20">
                  <c:v>4.0646157247362922</c:v>
                </c:pt>
                <c:pt idx="21">
                  <c:v>4.410390326319761</c:v>
                </c:pt>
                <c:pt idx="22">
                  <c:v>4.7702781769474543</c:v>
                </c:pt>
                <c:pt idx="23">
                  <c:v>5.1442792766193701</c:v>
                </c:pt>
                <c:pt idx="24">
                  <c:v>5.5323936253355086</c:v>
                </c:pt>
                <c:pt idx="25">
                  <c:v>5.9346212230958715</c:v>
                </c:pt>
                <c:pt idx="26">
                  <c:v>6.3509620699004561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F-4ECF-8E6D-9E0878E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05888"/>
        <c:axId val="658006216"/>
      </c:lineChart>
      <c:catAx>
        <c:axId val="65800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06216"/>
        <c:crosses val="autoZero"/>
        <c:auto val="1"/>
        <c:lblAlgn val="ctr"/>
        <c:lblOffset val="100"/>
        <c:noMultiLvlLbl val="0"/>
      </c:catAx>
      <c:valAx>
        <c:axId val="6580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Drag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 vs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Required'!$A$10:$A$36</c:f>
              <c:numCache>
                <c:formatCode>General</c:formatCode>
                <c:ptCount val="2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</c:numCache>
            </c:numRef>
          </c:cat>
          <c:val>
            <c:numRef>
              <c:f>'Power Required'!$F$10:$F$36</c:f>
              <c:numCache>
                <c:formatCode>0.000</c:formatCode>
                <c:ptCount val="27"/>
                <c:pt idx="0">
                  <c:v>0.2258119847075718</c:v>
                </c:pt>
                <c:pt idx="1">
                  <c:v>0.44103903263197619</c:v>
                </c:pt>
                <c:pt idx="2">
                  <c:v>0.76211544838805478</c:v>
                </c:pt>
                <c:pt idx="3">
                  <c:v>1.2102111055421425</c:v>
                </c:pt>
                <c:pt idx="4">
                  <c:v>1.8064958776605744</c:v>
                </c:pt>
                <c:pt idx="5">
                  <c:v>2.5721396383096851</c:v>
                </c:pt>
                <c:pt idx="6">
                  <c:v>3.5283122610558095</c:v>
                </c:pt>
                <c:pt idx="7">
                  <c:v>4.6961836194652822</c:v>
                </c:pt>
                <c:pt idx="8">
                  <c:v>6.0969235871044383</c:v>
                </c:pt>
                <c:pt idx="9">
                  <c:v>7.7517020375396131</c:v>
                </c:pt>
                <c:pt idx="10">
                  <c:v>9.6816888443371401</c:v>
                </c:pt>
                <c:pt idx="11">
                  <c:v>11.908053881063354</c:v>
                </c:pt>
                <c:pt idx="12">
                  <c:v>14.451967021284595</c:v>
                </c:pt>
                <c:pt idx="13">
                  <c:v>17.334598138567188</c:v>
                </c:pt>
                <c:pt idx="14">
                  <c:v>20.57711710647748</c:v>
                </c:pt>
                <c:pt idx="15">
                  <c:v>24.200693798581796</c:v>
                </c:pt>
                <c:pt idx="16">
                  <c:v>28.226498088446476</c:v>
                </c:pt>
                <c:pt idx="17">
                  <c:v>32.675699849637851</c:v>
                </c:pt>
                <c:pt idx="18">
                  <c:v>37.569468955722257</c:v>
                </c:pt>
                <c:pt idx="19">
                  <c:v>42.92897528026603</c:v>
                </c:pt>
                <c:pt idx="20">
                  <c:v>48.775388696835506</c:v>
                </c:pt>
                <c:pt idx="21">
                  <c:v>55.129879078997014</c:v>
                </c:pt>
                <c:pt idx="22">
                  <c:v>62.013616300316905</c:v>
                </c:pt>
                <c:pt idx="23">
                  <c:v>69.447770234361499</c:v>
                </c:pt>
                <c:pt idx="24">
                  <c:v>77.45351075469712</c:v>
                </c:pt>
                <c:pt idx="25">
                  <c:v>86.05200773489014</c:v>
                </c:pt>
                <c:pt idx="26">
                  <c:v>95.264431048506836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9-461A-A6A2-ED91291C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28520"/>
        <c:axId val="658025240"/>
      </c:lineChart>
      <c:catAx>
        <c:axId val="65802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</a:t>
                </a:r>
                <a:r>
                  <a:rPr lang="en-IN" baseline="0"/>
                  <a:t> (m/s)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25240"/>
        <c:crosses val="autoZero"/>
        <c:auto val="1"/>
        <c:lblAlgn val="ctr"/>
        <c:lblOffset val="100"/>
        <c:noMultiLvlLbl val="0"/>
      </c:catAx>
      <c:valAx>
        <c:axId val="65802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(Kg-gm^2/s^3)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Static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Thrust (Simplyfied)'!$A$25:$E$25</c:f>
              <c:strCache>
                <c:ptCount val="1"/>
                <c:pt idx="0">
                  <c:v>9 X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'Dynamic Thrust (Simplyfied)'!$A$27:$A$40</c:f>
              <c:numCache>
                <c:formatCode>General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'Dynamic Thrust (Simplyfied)'!$E$27:$E$40</c:f>
              <c:numCache>
                <c:formatCode>0.000</c:formatCode>
                <c:ptCount val="14"/>
                <c:pt idx="0">
                  <c:v>0</c:v>
                </c:pt>
                <c:pt idx="1">
                  <c:v>9.0932198954392321E-2</c:v>
                </c:pt>
                <c:pt idx="2">
                  <c:v>0.36372879581756928</c:v>
                </c:pt>
                <c:pt idx="3">
                  <c:v>0.81838979058953087</c:v>
                </c:pt>
                <c:pt idx="4">
                  <c:v>1.4549151832702771</c:v>
                </c:pt>
                <c:pt idx="5">
                  <c:v>2.2733049738598079</c:v>
                </c:pt>
                <c:pt idx="6">
                  <c:v>3.2735591623581235</c:v>
                </c:pt>
                <c:pt idx="7">
                  <c:v>4.4556777487652228</c:v>
                </c:pt>
                <c:pt idx="8">
                  <c:v>5.8196607330811085</c:v>
                </c:pt>
                <c:pt idx="9">
                  <c:v>7.3655081153057775</c:v>
                </c:pt>
                <c:pt idx="10">
                  <c:v>9.0932198954392316</c:v>
                </c:pt>
                <c:pt idx="11">
                  <c:v>11.002796073481472</c:v>
                </c:pt>
                <c:pt idx="12">
                  <c:v>13.094236649432494</c:v>
                </c:pt>
                <c:pt idx="13">
                  <c:v>15.367541623292301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2AC-9377-D6FB06B87FEF}"/>
            </c:ext>
          </c:extLst>
        </c:ser>
        <c:ser>
          <c:idx val="1"/>
          <c:order val="1"/>
          <c:tx>
            <c:strRef>
              <c:f>'Dynamic Thrust (Simplyfied)'!$G$25:$K$25</c:f>
              <c:strCache>
                <c:ptCount val="1"/>
                <c:pt idx="0">
                  <c:v>9 X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'Dynamic Thrust (Simplyfied)'!$K$27:$K$40</c:f>
              <c:numCache>
                <c:formatCode>0.000</c:formatCode>
                <c:ptCount val="14"/>
                <c:pt idx="0">
                  <c:v>0</c:v>
                </c:pt>
                <c:pt idx="1">
                  <c:v>9.9611233141736727E-2</c:v>
                </c:pt>
                <c:pt idx="2">
                  <c:v>0.39844493256694691</c:v>
                </c:pt>
                <c:pt idx="3">
                  <c:v>0.89650109827563051</c:v>
                </c:pt>
                <c:pt idx="4">
                  <c:v>1.5937797302677876</c:v>
                </c:pt>
                <c:pt idx="5">
                  <c:v>2.4902808285434177</c:v>
                </c:pt>
                <c:pt idx="6">
                  <c:v>3.5860043931025221</c:v>
                </c:pt>
                <c:pt idx="7">
                  <c:v>4.8809504239450989</c:v>
                </c:pt>
                <c:pt idx="8">
                  <c:v>6.3751189210711505</c:v>
                </c:pt>
                <c:pt idx="9">
                  <c:v>8.0685098844806742</c:v>
                </c:pt>
                <c:pt idx="10">
                  <c:v>9.9611233141736708</c:v>
                </c:pt>
                <c:pt idx="11">
                  <c:v>12.052959210150144</c:v>
                </c:pt>
                <c:pt idx="12">
                  <c:v>14.344017572410088</c:v>
                </c:pt>
                <c:pt idx="13">
                  <c:v>16.834298400953504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2AC-9377-D6FB06B87FEF}"/>
            </c:ext>
          </c:extLst>
        </c:ser>
        <c:ser>
          <c:idx val="2"/>
          <c:order val="2"/>
          <c:tx>
            <c:strRef>
              <c:f>'Dynamic Thrust (Simplyfied)'!$M$25:$Q$25</c:f>
              <c:strCache>
                <c:ptCount val="1"/>
                <c:pt idx="0">
                  <c:v>9 X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'Dynamic Thrust (Simplyfied)'!$Q$27:$Q$40</c:f>
              <c:numCache>
                <c:formatCode>0.000</c:formatCode>
                <c:ptCount val="14"/>
                <c:pt idx="0">
                  <c:v>0</c:v>
                </c:pt>
                <c:pt idx="1">
                  <c:v>0.10759242877337447</c:v>
                </c:pt>
                <c:pt idx="2">
                  <c:v>0.43036971509349786</c:v>
                </c:pt>
                <c:pt idx="3">
                  <c:v>0.96833185896037022</c:v>
                </c:pt>
                <c:pt idx="4">
                  <c:v>1.7214788603739914</c:v>
                </c:pt>
                <c:pt idx="5">
                  <c:v>2.6898107193343614</c:v>
                </c:pt>
                <c:pt idx="6">
                  <c:v>3.8733274358414809</c:v>
                </c:pt>
                <c:pt idx="7">
                  <c:v>5.2720290098953484</c:v>
                </c:pt>
                <c:pt idx="8">
                  <c:v>6.8859154414959658</c:v>
                </c:pt>
                <c:pt idx="9">
                  <c:v>8.7149867306433322</c:v>
                </c:pt>
                <c:pt idx="10">
                  <c:v>10.759242877337446</c:v>
                </c:pt>
                <c:pt idx="11">
                  <c:v>13.018683881578312</c:v>
                </c:pt>
                <c:pt idx="12">
                  <c:v>15.493309743365923</c:v>
                </c:pt>
                <c:pt idx="13">
                  <c:v>18.183120462700284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2AC-9377-D6FB06B87FEF}"/>
            </c:ext>
          </c:extLst>
        </c:ser>
        <c:ser>
          <c:idx val="3"/>
          <c:order val="3"/>
          <c:tx>
            <c:strRef>
              <c:f>'Dynamic Thrust (Simplyfied)'!$S$25:$W$25</c:f>
              <c:strCache>
                <c:ptCount val="1"/>
                <c:pt idx="0">
                  <c:v>9 X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'Dynamic Thrust (Simplyfied)'!$W$27:$W$40</c:f>
              <c:numCache>
                <c:formatCode>0.000</c:formatCode>
                <c:ptCount val="14"/>
                <c:pt idx="0">
                  <c:v>0</c:v>
                </c:pt>
                <c:pt idx="1">
                  <c:v>0.11502114453738452</c:v>
                </c:pt>
                <c:pt idx="2">
                  <c:v>0.46008457814953807</c:v>
                </c:pt>
                <c:pt idx="3">
                  <c:v>1.0351903008364605</c:v>
                </c:pt>
                <c:pt idx="4">
                  <c:v>1.8403383125981523</c:v>
                </c:pt>
                <c:pt idx="5">
                  <c:v>2.8755286134346125</c:v>
                </c:pt>
                <c:pt idx="6">
                  <c:v>4.1407612033458419</c:v>
                </c:pt>
                <c:pt idx="7">
                  <c:v>5.6360360823318407</c:v>
                </c:pt>
                <c:pt idx="8">
                  <c:v>7.3613532503926091</c:v>
                </c:pt>
                <c:pt idx="9">
                  <c:v>9.3167127075281453</c:v>
                </c:pt>
                <c:pt idx="10">
                  <c:v>11.50211445373845</c:v>
                </c:pt>
                <c:pt idx="11">
                  <c:v>13.917558489023527</c:v>
                </c:pt>
                <c:pt idx="12">
                  <c:v>16.563044813383367</c:v>
                </c:pt>
                <c:pt idx="13">
                  <c:v>19.438573426817982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4-42AC-9377-D6FB06B8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43648"/>
        <c:axId val="675749552"/>
      </c:lineChart>
      <c:catAx>
        <c:axId val="6757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9552"/>
        <c:crosses val="autoZero"/>
        <c:auto val="1"/>
        <c:lblAlgn val="ctr"/>
        <c:lblOffset val="100"/>
        <c:noMultiLvlLbl val="0"/>
      </c:catAx>
      <c:valAx>
        <c:axId val="675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Dynamic</a:t>
            </a:r>
            <a:r>
              <a:rPr lang="en-IN" baseline="0"/>
              <a:t> Thrust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Thrust (Simplyfied)'!$A$44:$E$44</c:f>
              <c:strCache>
                <c:ptCount val="1"/>
                <c:pt idx="0">
                  <c:v>9 X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'Dynamic Thrust (Simplyfied)'!$A$27:$A$40</c:f>
              <c:numCache>
                <c:formatCode>General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'Dynamic Thrust (Simplyfied)'!$E$46:$E$59</c:f>
              <c:numCache>
                <c:formatCode>0.000</c:formatCode>
                <c:ptCount val="14"/>
                <c:pt idx="0">
                  <c:v>0</c:v>
                </c:pt>
                <c:pt idx="1">
                  <c:v>-0.3816292070774151</c:v>
                </c:pt>
                <c:pt idx="2">
                  <c:v>-0.58139401624604548</c:v>
                </c:pt>
                <c:pt idx="3">
                  <c:v>-0.59929442750589124</c:v>
                </c:pt>
                <c:pt idx="4">
                  <c:v>-0.43533044085695244</c:v>
                </c:pt>
                <c:pt idx="5">
                  <c:v>-8.9502056299229096E-2</c:v>
                </c:pt>
                <c:pt idx="6">
                  <c:v>0.43819072616727933</c:v>
                </c:pt>
                <c:pt idx="7">
                  <c:v>1.1477479065425717</c:v>
                </c:pt>
                <c:pt idx="8">
                  <c:v>2.0391694848266493</c:v>
                </c:pt>
                <c:pt idx="9">
                  <c:v>3.1124554610195116</c:v>
                </c:pt>
                <c:pt idx="10">
                  <c:v>4.3676058351211573</c:v>
                </c:pt>
                <c:pt idx="11">
                  <c:v>5.8046206071315902</c:v>
                </c:pt>
                <c:pt idx="12">
                  <c:v>7.4234997770508064</c:v>
                </c:pt>
                <c:pt idx="13">
                  <c:v>9.2242433448788059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2AC-9377-D6FB06B87FEF}"/>
            </c:ext>
          </c:extLst>
        </c:ser>
        <c:ser>
          <c:idx val="1"/>
          <c:order val="1"/>
          <c:tx>
            <c:strRef>
              <c:f>'Dynamic Thrust (Simplyfied)'!$G$44:$K$44</c:f>
              <c:strCache>
                <c:ptCount val="1"/>
                <c:pt idx="0">
                  <c:v>9 X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'Dynamic Thrust (Simplyfied)'!$K$46:$K$59</c:f>
              <c:numCache>
                <c:formatCode>0.000</c:formatCode>
                <c:ptCount val="14"/>
                <c:pt idx="0">
                  <c:v>0</c:v>
                </c:pt>
                <c:pt idx="1">
                  <c:v>-0.33177633667489459</c:v>
                </c:pt>
                <c:pt idx="2">
                  <c:v>-0.46433020706631584</c:v>
                </c:pt>
                <c:pt idx="3">
                  <c:v>-0.39766161117426363</c:v>
                </c:pt>
                <c:pt idx="4">
                  <c:v>-0.13177054899873794</c:v>
                </c:pt>
                <c:pt idx="5">
                  <c:v>0.33334297946026131</c:v>
                </c:pt>
                <c:pt idx="6">
                  <c:v>0.99767897420273377</c:v>
                </c:pt>
                <c:pt idx="7">
                  <c:v>1.8612374352286793</c:v>
                </c:pt>
                <c:pt idx="8">
                  <c:v>2.9240183625380993</c:v>
                </c:pt>
                <c:pt idx="9">
                  <c:v>4.1860217561309918</c:v>
                </c:pt>
                <c:pt idx="10">
                  <c:v>5.6472476160073581</c:v>
                </c:pt>
                <c:pt idx="11">
                  <c:v>7.3076959421671992</c:v>
                </c:pt>
                <c:pt idx="12">
                  <c:v>9.1673667346105123</c:v>
                </c:pt>
                <c:pt idx="13">
                  <c:v>11.226259993337296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2AC-9377-D6FB06B87FEF}"/>
            </c:ext>
          </c:extLst>
        </c:ser>
        <c:ser>
          <c:idx val="2"/>
          <c:order val="2"/>
          <c:tx>
            <c:strRef>
              <c:f>'Dynamic Thrust (Simplyfied)'!$M$44:$Q$44</c:f>
              <c:strCache>
                <c:ptCount val="1"/>
                <c:pt idx="0">
                  <c:v>9 X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'Dynamic Thrust (Simplyfied)'!$Q$46:$Q$59</c:f>
              <c:numCache>
                <c:formatCode>0.000</c:formatCode>
                <c:ptCount val="14"/>
                <c:pt idx="0">
                  <c:v>0</c:v>
                </c:pt>
                <c:pt idx="1">
                  <c:v>-0.29179485415489753</c:v>
                </c:pt>
                <c:pt idx="2">
                  <c:v>-0.36840485076304619</c:v>
                </c:pt>
                <c:pt idx="3">
                  <c:v>-0.22982998982444591</c:v>
                </c:pt>
                <c:pt idx="4">
                  <c:v>0.12392972866090339</c:v>
                </c:pt>
                <c:pt idx="5">
                  <c:v>0.6928743046930016</c:v>
                </c:pt>
                <c:pt idx="6">
                  <c:v>1.4770037382718486</c:v>
                </c:pt>
                <c:pt idx="7">
                  <c:v>2.4763180293974445</c:v>
                </c:pt>
                <c:pt idx="8">
                  <c:v>3.6908171780697896</c:v>
                </c:pt>
                <c:pt idx="9">
                  <c:v>5.1205011842888837</c:v>
                </c:pt>
                <c:pt idx="10">
                  <c:v>6.7653700480547263</c:v>
                </c:pt>
                <c:pt idx="11">
                  <c:v>8.6254237693673197</c:v>
                </c:pt>
                <c:pt idx="12">
                  <c:v>10.700662348226659</c:v>
                </c:pt>
                <c:pt idx="13">
                  <c:v>12.99108578463275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2AC-9377-D6FB06B87FEF}"/>
            </c:ext>
          </c:extLst>
        </c:ser>
        <c:ser>
          <c:idx val="3"/>
          <c:order val="3"/>
          <c:tx>
            <c:strRef>
              <c:f>'Dynamic Thrust (Simplyfied)'!$S$44:$W$44</c:f>
              <c:strCache>
                <c:ptCount val="1"/>
                <c:pt idx="0">
                  <c:v>9 X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'Dynamic Thrust (Simplyfied)'!$W$46:$W$59</c:f>
              <c:numCache>
                <c:formatCode>0.000</c:formatCode>
                <c:ptCount val="14"/>
                <c:pt idx="0">
                  <c:v>0</c:v>
                </c:pt>
                <c:pt idx="1">
                  <c:v>-0.25857144980065133</c:v>
                </c:pt>
                <c:pt idx="2">
                  <c:v>-0.28710061052653363</c:v>
                </c:pt>
                <c:pt idx="3">
                  <c:v>-8.5587482177646862E-2</c:v>
                </c:pt>
                <c:pt idx="4">
                  <c:v>0.34596793524600888</c:v>
                </c:pt>
                <c:pt idx="5">
                  <c:v>1.0075656417444336</c:v>
                </c:pt>
                <c:pt idx="6">
                  <c:v>1.8992056373176274</c:v>
                </c:pt>
                <c:pt idx="7">
                  <c:v>3.0208879219655898</c:v>
                </c:pt>
                <c:pt idx="8">
                  <c:v>4.3726124956883226</c:v>
                </c:pt>
                <c:pt idx="9">
                  <c:v>5.9543793584858227</c:v>
                </c:pt>
                <c:pt idx="10">
                  <c:v>7.7661885103580923</c:v>
                </c:pt>
                <c:pt idx="11">
                  <c:v>9.8080399513051333</c:v>
                </c:pt>
                <c:pt idx="12">
                  <c:v>12.079933681326938</c:v>
                </c:pt>
                <c:pt idx="13">
                  <c:v>14.581869700423518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4-42AC-9377-D6FB06B8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43648"/>
        <c:axId val="675749552"/>
      </c:lineChart>
      <c:catAx>
        <c:axId val="6757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9552"/>
        <c:crosses val="autoZero"/>
        <c:auto val="1"/>
        <c:lblAlgn val="ctr"/>
        <c:lblOffset val="100"/>
        <c:noMultiLvlLbl val="0"/>
      </c:catAx>
      <c:valAx>
        <c:axId val="675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Static 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'Dynamic Thrust (Simplyfied)'!$A$63:$E$63</c:f>
              <c:strCache>
                <c:ptCount val="1"/>
                <c:pt idx="0">
                  <c:v>10 X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'Dynamic Thrust (Simplyfied)'!$A$27:$A$40</c:f>
              <c:numCache>
                <c:formatCode>General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'Dynamic Thrust (Simplyfied)'!$E$65:$E$78</c:f>
              <c:numCache>
                <c:formatCode>0.000</c:formatCode>
                <c:ptCount val="14"/>
                <c:pt idx="0">
                  <c:v>0</c:v>
                </c:pt>
                <c:pt idx="1">
                  <c:v>0.13148278982325617</c:v>
                </c:pt>
                <c:pt idx="2">
                  <c:v>0.5259311592930247</c:v>
                </c:pt>
                <c:pt idx="3">
                  <c:v>1.1833451084093056</c:v>
                </c:pt>
                <c:pt idx="4">
                  <c:v>2.1037246371720988</c:v>
                </c:pt>
                <c:pt idx="5">
                  <c:v>3.2870697455814044</c:v>
                </c:pt>
                <c:pt idx="6">
                  <c:v>4.7333804336372225</c:v>
                </c:pt>
                <c:pt idx="7">
                  <c:v>6.4426567013395521</c:v>
                </c:pt>
                <c:pt idx="8">
                  <c:v>8.4148985486883952</c:v>
                </c:pt>
                <c:pt idx="9">
                  <c:v>10.650105975683752</c:v>
                </c:pt>
                <c:pt idx="10">
                  <c:v>13.148278982325618</c:v>
                </c:pt>
                <c:pt idx="11">
                  <c:v>15.909417568614</c:v>
                </c:pt>
                <c:pt idx="12">
                  <c:v>18.93352173454889</c:v>
                </c:pt>
                <c:pt idx="13">
                  <c:v>22.220591480130295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4-42AC-9377-D6FB06B87FEF}"/>
            </c:ext>
          </c:extLst>
        </c:ser>
        <c:ser>
          <c:idx val="1"/>
          <c:order val="1"/>
          <c:tx>
            <c:strRef>
              <c:f>'Dynamic Thrust (Simplyfied)'!$G$63:$K$63</c:f>
              <c:strCache>
                <c:ptCount val="1"/>
                <c:pt idx="0">
                  <c:v>10 X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'Dynamic Thrust (Simplyfied)'!$K$65:$K$78</c:f>
              <c:numCache>
                <c:formatCode>0.000</c:formatCode>
                <c:ptCount val="14"/>
                <c:pt idx="0">
                  <c:v>0</c:v>
                </c:pt>
                <c:pt idx="1">
                  <c:v>0.14403217981981623</c:v>
                </c:pt>
                <c:pt idx="2">
                  <c:v>0.5761287192792649</c:v>
                </c:pt>
                <c:pt idx="3">
                  <c:v>1.2962896183783461</c:v>
                </c:pt>
                <c:pt idx="4">
                  <c:v>2.3045148771170596</c:v>
                </c:pt>
                <c:pt idx="5">
                  <c:v>3.6008044954954057</c:v>
                </c:pt>
                <c:pt idx="6">
                  <c:v>5.1851584735133844</c:v>
                </c:pt>
                <c:pt idx="7">
                  <c:v>7.0575768111709936</c:v>
                </c:pt>
                <c:pt idx="8">
                  <c:v>9.2180595084682384</c:v>
                </c:pt>
                <c:pt idx="9">
                  <c:v>11.666606565405115</c:v>
                </c:pt>
                <c:pt idx="10">
                  <c:v>14.403217981981623</c:v>
                </c:pt>
                <c:pt idx="11">
                  <c:v>17.427893758197765</c:v>
                </c:pt>
                <c:pt idx="12">
                  <c:v>20.740633894053538</c:v>
                </c:pt>
                <c:pt idx="13">
                  <c:v>24.341438389548937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4-42AC-9377-D6FB06B87FEF}"/>
            </c:ext>
          </c:extLst>
        </c:ser>
        <c:ser>
          <c:idx val="2"/>
          <c:order val="2"/>
          <c:tx>
            <c:strRef>
              <c:f>'Dynamic Thrust (Simplyfied)'!$M$63:$Q$63</c:f>
              <c:strCache>
                <c:ptCount val="1"/>
                <c:pt idx="0">
                  <c:v>10 X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'Dynamic Thrust (Simplyfied)'!$Q$65:$Q$78</c:f>
              <c:numCache>
                <c:formatCode>0.000</c:formatCode>
                <c:ptCount val="14"/>
                <c:pt idx="0">
                  <c:v>0</c:v>
                </c:pt>
                <c:pt idx="1">
                  <c:v>0.15557253493978035</c:v>
                </c:pt>
                <c:pt idx="2">
                  <c:v>0.6222901397591214</c:v>
                </c:pt>
                <c:pt idx="3">
                  <c:v>1.4001528144580231</c:v>
                </c:pt>
                <c:pt idx="4">
                  <c:v>2.4891605590364856</c:v>
                </c:pt>
                <c:pt idx="5">
                  <c:v>3.8893133734945087</c:v>
                </c:pt>
                <c:pt idx="6">
                  <c:v>5.6006112578320923</c:v>
                </c:pt>
                <c:pt idx="7">
                  <c:v>7.6230542120492366</c:v>
                </c:pt>
                <c:pt idx="8">
                  <c:v>9.9566422361459423</c:v>
                </c:pt>
                <c:pt idx="9">
                  <c:v>12.60137533012221</c:v>
                </c:pt>
                <c:pt idx="10">
                  <c:v>15.557253493978035</c:v>
                </c:pt>
                <c:pt idx="11">
                  <c:v>18.824276727713421</c:v>
                </c:pt>
                <c:pt idx="12">
                  <c:v>22.402445031328369</c:v>
                </c:pt>
                <c:pt idx="13">
                  <c:v>26.291758404822875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4-42AC-9377-D6FB06B87FEF}"/>
            </c:ext>
          </c:extLst>
        </c:ser>
        <c:ser>
          <c:idx val="3"/>
          <c:order val="3"/>
          <c:tx>
            <c:strRef>
              <c:f>'Dynamic Thrust (Simplyfied)'!$S$63:$W$63</c:f>
              <c:strCache>
                <c:ptCount val="1"/>
                <c:pt idx="0">
                  <c:v>10 X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'Dynamic Thrust (Simplyfied)'!$W$65:$W$78</c:f>
              <c:numCache>
                <c:formatCode>0.000</c:formatCode>
                <c:ptCount val="14"/>
                <c:pt idx="0">
                  <c:v>0</c:v>
                </c:pt>
                <c:pt idx="1">
                  <c:v>0.16631403558187891</c:v>
                </c:pt>
                <c:pt idx="2">
                  <c:v>0.66525614232751562</c:v>
                </c:pt>
                <c:pt idx="3">
                  <c:v>1.4968263202369105</c:v>
                </c:pt>
                <c:pt idx="4">
                  <c:v>2.6610245693100625</c:v>
                </c:pt>
                <c:pt idx="5">
                  <c:v>4.1578508895469728</c:v>
                </c:pt>
                <c:pt idx="6">
                  <c:v>5.9873052809476421</c:v>
                </c:pt>
                <c:pt idx="7">
                  <c:v>8.149387743512067</c:v>
                </c:pt>
                <c:pt idx="8">
                  <c:v>10.64409827724025</c:v>
                </c:pt>
                <c:pt idx="9">
                  <c:v>13.471436882132194</c:v>
                </c:pt>
                <c:pt idx="10">
                  <c:v>16.631403558187891</c:v>
                </c:pt>
                <c:pt idx="11">
                  <c:v>20.123998305407351</c:v>
                </c:pt>
                <c:pt idx="12">
                  <c:v>23.949221123790569</c:v>
                </c:pt>
                <c:pt idx="13">
                  <c:v>28.107072013337536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4-42AC-9377-D6FB06B8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43648"/>
        <c:axId val="675749552"/>
      </c:lineChart>
      <c:catAx>
        <c:axId val="6757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9552"/>
        <c:crosses val="autoZero"/>
        <c:auto val="1"/>
        <c:lblAlgn val="ctr"/>
        <c:lblOffset val="100"/>
        <c:noMultiLvlLbl val="0"/>
      </c:catAx>
      <c:valAx>
        <c:axId val="6757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Thrust</a:t>
                </a:r>
                <a:r>
                  <a:rPr lang="en-IN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jpg"/><Relationship Id="rId13" Type="http://schemas.openxmlformats.org/officeDocument/2006/relationships/chart" Target="../charts/chart2.xml"/><Relationship Id="rId3" Type="http://schemas.openxmlformats.org/officeDocument/2006/relationships/image" Target="../media/image31.jpg"/><Relationship Id="rId7" Type="http://schemas.openxmlformats.org/officeDocument/2006/relationships/image" Target="../media/image35.jpg"/><Relationship Id="rId12" Type="http://schemas.openxmlformats.org/officeDocument/2006/relationships/image" Target="../media/image8.png"/><Relationship Id="rId2" Type="http://schemas.openxmlformats.org/officeDocument/2006/relationships/image" Target="../media/image30.PNG"/><Relationship Id="rId1" Type="http://schemas.openxmlformats.org/officeDocument/2006/relationships/image" Target="../media/image29.jpg"/><Relationship Id="rId6" Type="http://schemas.openxmlformats.org/officeDocument/2006/relationships/image" Target="../media/image34.PNG"/><Relationship Id="rId11" Type="http://schemas.openxmlformats.org/officeDocument/2006/relationships/image" Target="../media/image39.jpeg"/><Relationship Id="rId5" Type="http://schemas.openxmlformats.org/officeDocument/2006/relationships/image" Target="../media/image33.jpg"/><Relationship Id="rId15" Type="http://schemas.openxmlformats.org/officeDocument/2006/relationships/chart" Target="../charts/chart4.xml"/><Relationship Id="rId10" Type="http://schemas.openxmlformats.org/officeDocument/2006/relationships/image" Target="../media/image38.PNG"/><Relationship Id="rId4" Type="http://schemas.openxmlformats.org/officeDocument/2006/relationships/image" Target="../media/image32.jpg"/><Relationship Id="rId9" Type="http://schemas.openxmlformats.org/officeDocument/2006/relationships/image" Target="../media/image37.jpg"/><Relationship Id="rId14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4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chart" Target="../charts/chart1.xml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15</xdr:row>
      <xdr:rowOff>56027</xdr:rowOff>
    </xdr:from>
    <xdr:to>
      <xdr:col>6</xdr:col>
      <xdr:colOff>537883</xdr:colOff>
      <xdr:row>33</xdr:row>
      <xdr:rowOff>181766</xdr:rowOff>
    </xdr:to>
    <xdr:pic>
      <xdr:nvPicPr>
        <xdr:cNvPr id="2" name="Picture 1" descr="Image result for night fury">
          <a:extLst>
            <a:ext uri="{FF2B5EF4-FFF2-40B4-BE49-F238E27FC236}">
              <a16:creationId xmlns:a16="http://schemas.microsoft.com/office/drawing/2014/main" id="{8E4CA52A-91DB-474A-84CC-8D3976BD2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736" y="2947145"/>
          <a:ext cx="3529853" cy="355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89648</xdr:colOff>
      <xdr:row>0</xdr:row>
      <xdr:rowOff>0</xdr:rowOff>
    </xdr:from>
    <xdr:to>
      <xdr:col>13</xdr:col>
      <xdr:colOff>407334</xdr:colOff>
      <xdr:row>11</xdr:row>
      <xdr:rowOff>162485</xdr:rowOff>
    </xdr:to>
    <xdr:pic>
      <xdr:nvPicPr>
        <xdr:cNvPr id="2" name="rec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99648" y="0"/>
          <a:ext cx="4878480" cy="2269191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0</xdr:col>
      <xdr:colOff>94129</xdr:colOff>
      <xdr:row>3</xdr:row>
      <xdr:rowOff>38099</xdr:rowOff>
    </xdr:from>
    <xdr:to>
      <xdr:col>1</xdr:col>
      <xdr:colOff>560719</xdr:colOff>
      <xdr:row>7</xdr:row>
      <xdr:rowOff>133242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29" y="620805"/>
          <a:ext cx="1071708" cy="857143"/>
        </a:xfrm>
        <a:prstGeom prst="rect">
          <a:avLst/>
        </a:prstGeom>
      </xdr:spPr>
    </xdr:pic>
    <xdr:clientData/>
  </xdr:twoCellAnchor>
  <xdr:twoCellAnchor>
    <xdr:from>
      <xdr:col>1</xdr:col>
      <xdr:colOff>521805</xdr:colOff>
      <xdr:row>49</xdr:row>
      <xdr:rowOff>107673</xdr:rowOff>
    </xdr:from>
    <xdr:to>
      <xdr:col>2</xdr:col>
      <xdr:colOff>728870</xdr:colOff>
      <xdr:row>49</xdr:row>
      <xdr:rowOff>157369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D97418B-94DA-4B42-B299-5B2467A85382}"/>
            </a:ext>
          </a:extLst>
        </xdr:cNvPr>
        <xdr:cNvSpPr/>
      </xdr:nvSpPr>
      <xdr:spPr>
        <a:xfrm>
          <a:off x="521805" y="9309651"/>
          <a:ext cx="819978" cy="4969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57978</xdr:colOff>
      <xdr:row>47</xdr:row>
      <xdr:rowOff>165651</xdr:rowOff>
    </xdr:from>
    <xdr:to>
      <xdr:col>2</xdr:col>
      <xdr:colOff>103697</xdr:colOff>
      <xdr:row>49</xdr:row>
      <xdr:rowOff>115955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DF4964-3916-405B-BA2A-D855479625A0}"/>
            </a:ext>
          </a:extLst>
        </xdr:cNvPr>
        <xdr:cNvSpPr/>
      </xdr:nvSpPr>
      <xdr:spPr>
        <a:xfrm>
          <a:off x="670891" y="8986629"/>
          <a:ext cx="45719" cy="33130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414129</xdr:colOff>
      <xdr:row>47</xdr:row>
      <xdr:rowOff>157368</xdr:rowOff>
    </xdr:from>
    <xdr:to>
      <xdr:col>2</xdr:col>
      <xdr:colOff>459848</xdr:colOff>
      <xdr:row>49</xdr:row>
      <xdr:rowOff>107672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390BAF3-B1AD-410F-BC5A-185B689C58B6}"/>
            </a:ext>
          </a:extLst>
        </xdr:cNvPr>
        <xdr:cNvSpPr/>
      </xdr:nvSpPr>
      <xdr:spPr>
        <a:xfrm>
          <a:off x="3644346" y="9930846"/>
          <a:ext cx="45719" cy="331304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56029</xdr:colOff>
      <xdr:row>44</xdr:row>
      <xdr:rowOff>11206</xdr:rowOff>
    </xdr:from>
    <xdr:to>
      <xdr:col>6</xdr:col>
      <xdr:colOff>549088</xdr:colOff>
      <xdr:row>45</xdr:row>
      <xdr:rowOff>156883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71BC943-2F89-4D36-BBF7-6C5A08CCE685}"/>
            </a:ext>
          </a:extLst>
        </xdr:cNvPr>
        <xdr:cNvCxnSpPr/>
      </xdr:nvCxnSpPr>
      <xdr:spPr>
        <a:xfrm flipH="1" flipV="1">
          <a:off x="3148853" y="8460441"/>
          <a:ext cx="1098176" cy="3473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</xdr:row>
      <xdr:rowOff>114301</xdr:rowOff>
    </xdr:from>
    <xdr:to>
      <xdr:col>3</xdr:col>
      <xdr:colOff>732311</xdr:colOff>
      <xdr:row>8</xdr:row>
      <xdr:rowOff>49375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076326"/>
          <a:ext cx="2676525" cy="50657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8</xdr:row>
      <xdr:rowOff>85725</xdr:rowOff>
    </xdr:from>
    <xdr:to>
      <xdr:col>2</xdr:col>
      <xdr:colOff>293915</xdr:colOff>
      <xdr:row>18</xdr:row>
      <xdr:rowOff>62720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1619250"/>
          <a:ext cx="1676400" cy="188199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5</xdr:row>
      <xdr:rowOff>95250</xdr:rowOff>
    </xdr:from>
    <xdr:to>
      <xdr:col>8</xdr:col>
      <xdr:colOff>542926</xdr:colOff>
      <xdr:row>8</xdr:row>
      <xdr:rowOff>25555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1057275"/>
          <a:ext cx="1714500" cy="501805"/>
        </a:xfrm>
        <a:prstGeom prst="rect">
          <a:avLst/>
        </a:prstGeom>
      </xdr:spPr>
    </xdr:pic>
    <xdr:clientData/>
  </xdr:twoCellAnchor>
  <xdr:twoCellAnchor editAs="oneCell">
    <xdr:from>
      <xdr:col>10</xdr:col>
      <xdr:colOff>197304</xdr:colOff>
      <xdr:row>5</xdr:row>
      <xdr:rowOff>172811</xdr:rowOff>
    </xdr:from>
    <xdr:to>
      <xdr:col>13</xdr:col>
      <xdr:colOff>404132</xdr:colOff>
      <xdr:row>8</xdr:row>
      <xdr:rowOff>125186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0697" y="1138918"/>
          <a:ext cx="2072367" cy="52387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5</xdr:row>
      <xdr:rowOff>114300</xdr:rowOff>
    </xdr:from>
    <xdr:to>
      <xdr:col>16</xdr:col>
      <xdr:colOff>490978</xdr:colOff>
      <xdr:row>8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1076325"/>
          <a:ext cx="2114550" cy="523875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8</xdr:row>
      <xdr:rowOff>180975</xdr:rowOff>
    </xdr:from>
    <xdr:to>
      <xdr:col>15</xdr:col>
      <xdr:colOff>133624</xdr:colOff>
      <xdr:row>18</xdr:row>
      <xdr:rowOff>124083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5" y="1714500"/>
          <a:ext cx="1977393" cy="1848108"/>
        </a:xfrm>
        <a:prstGeom prst="rect">
          <a:avLst/>
        </a:prstGeom>
      </xdr:spPr>
    </xdr:pic>
    <xdr:clientData/>
  </xdr:twoCellAnchor>
  <xdr:twoCellAnchor editAs="oneCell">
    <xdr:from>
      <xdr:col>19</xdr:col>
      <xdr:colOff>152400</xdr:colOff>
      <xdr:row>5</xdr:row>
      <xdr:rowOff>85725</xdr:rowOff>
    </xdr:from>
    <xdr:to>
      <xdr:col>21</xdr:col>
      <xdr:colOff>507543</xdr:colOff>
      <xdr:row>8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0" y="1047750"/>
          <a:ext cx="1574347" cy="62865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11</xdr:row>
      <xdr:rowOff>66675</xdr:rowOff>
    </xdr:from>
    <xdr:to>
      <xdr:col>8</xdr:col>
      <xdr:colOff>581026</xdr:colOff>
      <xdr:row>13</xdr:row>
      <xdr:rowOff>188865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0" y="1028700"/>
          <a:ext cx="1724025" cy="503190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295276</xdr:colOff>
      <xdr:row>5</xdr:row>
      <xdr:rowOff>95251</xdr:rowOff>
    </xdr:from>
    <xdr:to>
      <xdr:col>25</xdr:col>
      <xdr:colOff>352424</xdr:colOff>
      <xdr:row>7</xdr:row>
      <xdr:rowOff>179587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4476" y="1057276"/>
          <a:ext cx="1276350" cy="465336"/>
        </a:xfrm>
        <a:prstGeom prst="rect">
          <a:avLst/>
        </a:prstGeom>
      </xdr:spPr>
    </xdr:pic>
    <xdr:clientData/>
  </xdr:twoCellAnchor>
  <xdr:twoCellAnchor editAs="oneCell">
    <xdr:from>
      <xdr:col>23</xdr:col>
      <xdr:colOff>285750</xdr:colOff>
      <xdr:row>7</xdr:row>
      <xdr:rowOff>161926</xdr:rowOff>
    </xdr:from>
    <xdr:to>
      <xdr:col>25</xdr:col>
      <xdr:colOff>249995</xdr:colOff>
      <xdr:row>13</xdr:row>
      <xdr:rowOff>186658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4950" y="1504951"/>
          <a:ext cx="1183447" cy="1167732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390525</xdr:colOff>
      <xdr:row>13</xdr:row>
      <xdr:rowOff>180975</xdr:rowOff>
    </xdr:from>
    <xdr:to>
      <xdr:col>8</xdr:col>
      <xdr:colOff>354773</xdr:colOff>
      <xdr:row>20</xdr:row>
      <xdr:rowOff>15207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5" y="1524000"/>
          <a:ext cx="1183447" cy="1167732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190500</xdr:colOff>
      <xdr:row>5</xdr:row>
      <xdr:rowOff>28575</xdr:rowOff>
    </xdr:from>
    <xdr:to>
      <xdr:col>32</xdr:col>
      <xdr:colOff>283967</xdr:colOff>
      <xdr:row>18</xdr:row>
      <xdr:rowOff>162964</xdr:rowOff>
    </xdr:to>
    <xdr:pic>
      <xdr:nvPicPr>
        <xdr:cNvPr id="14" name="Picture 13" descr="Image result for relation drag formula and zero lift dra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990600"/>
          <a:ext cx="3895725" cy="2610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104775</xdr:colOff>
      <xdr:row>15</xdr:row>
      <xdr:rowOff>76200</xdr:rowOff>
    </xdr:from>
    <xdr:to>
      <xdr:col>23</xdr:col>
      <xdr:colOff>481551</xdr:colOff>
      <xdr:row>20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77725" y="2943225"/>
          <a:ext cx="2986626" cy="1009650"/>
        </a:xfrm>
        <a:prstGeom prst="rect">
          <a:avLst/>
        </a:prstGeom>
      </xdr:spPr>
    </xdr:pic>
    <xdr:clientData/>
  </xdr:twoCellAnchor>
  <xdr:twoCellAnchor>
    <xdr:from>
      <xdr:col>31</xdr:col>
      <xdr:colOff>149757</xdr:colOff>
      <xdr:row>23</xdr:row>
      <xdr:rowOff>180736</xdr:rowOff>
    </xdr:from>
    <xdr:to>
      <xdr:col>37</xdr:col>
      <xdr:colOff>325401</xdr:colOff>
      <xdr:row>35</xdr:row>
      <xdr:rowOff>171106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FB0A19C-11B7-4F3F-AEDD-0A6ED1748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59086</xdr:colOff>
      <xdr:row>82</xdr:row>
      <xdr:rowOff>18437</xdr:rowOff>
    </xdr:from>
    <xdr:to>
      <xdr:col>15</xdr:col>
      <xdr:colOff>997323</xdr:colOff>
      <xdr:row>100</xdr:row>
      <xdr:rowOff>190498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99037B-5115-4DAC-AFAC-778D28AD6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68114</xdr:colOff>
      <xdr:row>23</xdr:row>
      <xdr:rowOff>167129</xdr:rowOff>
    </xdr:from>
    <xdr:to>
      <xdr:col>44</xdr:col>
      <xdr:colOff>583937</xdr:colOff>
      <xdr:row>35</xdr:row>
      <xdr:rowOff>157499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7E3635-5D1D-463B-B4A8-B499FE65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3</xdr:row>
      <xdr:rowOff>153469</xdr:rowOff>
    </xdr:from>
    <xdr:ext cx="2105025" cy="42755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904875" y="734494"/>
          <a:ext cx="2105025" cy="4275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IN" sz="1400" b="1"/>
            <a:t>Power</a:t>
          </a:r>
          <a:r>
            <a:rPr lang="en-IN" sz="1400" b="1" baseline="0"/>
            <a:t> = Velocity * Drag</a:t>
          </a:r>
          <a:endParaRPr lang="en-IN" sz="1400" b="1"/>
        </a:p>
      </xdr:txBody>
    </xdr:sp>
    <xdr:clientData/>
  </xdr:oneCellAnchor>
  <xdr:twoCellAnchor>
    <xdr:from>
      <xdr:col>7</xdr:col>
      <xdr:colOff>123663</xdr:colOff>
      <xdr:row>5</xdr:row>
      <xdr:rowOff>40741</xdr:rowOff>
    </xdr:from>
    <xdr:to>
      <xdr:col>14</xdr:col>
      <xdr:colOff>409412</xdr:colOff>
      <xdr:row>19</xdr:row>
      <xdr:rowOff>116941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2A2F2-3E43-4FD9-83C0-26C70FAD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72438</xdr:colOff>
      <xdr:row>21</xdr:row>
      <xdr:rowOff>33537</xdr:rowOff>
    </xdr:from>
    <xdr:to>
      <xdr:col>14</xdr:col>
      <xdr:colOff>358187</xdr:colOff>
      <xdr:row>35</xdr:row>
      <xdr:rowOff>109737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E3ED23-021C-43F6-A407-53F232775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67236</xdr:colOff>
      <xdr:row>0</xdr:row>
      <xdr:rowOff>168088</xdr:rowOff>
    </xdr:from>
    <xdr:to>
      <xdr:col>25</xdr:col>
      <xdr:colOff>560802</xdr:colOff>
      <xdr:row>28</xdr:row>
      <xdr:rowOff>112058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74466A-A049-4718-8C14-319E80B39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2177" y="168088"/>
          <a:ext cx="5939625" cy="5289176"/>
        </a:xfrm>
        <a:prstGeom prst="rect">
          <a:avLst/>
        </a:prstGeom>
      </xdr:spPr>
    </xdr:pic>
    <xdr:clientData/>
  </xdr:twoCellAnchor>
  <xdr:twoCellAnchor>
    <xdr:from>
      <xdr:col>16</xdr:col>
      <xdr:colOff>123265</xdr:colOff>
      <xdr:row>26</xdr:row>
      <xdr:rowOff>1</xdr:rowOff>
    </xdr:from>
    <xdr:to>
      <xdr:col>25</xdr:col>
      <xdr:colOff>291353</xdr:colOff>
      <xdr:row>27</xdr:row>
      <xdr:rowOff>22413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6A88C13-0712-4962-BFE4-65E569C912EF}"/>
            </a:ext>
          </a:extLst>
        </xdr:cNvPr>
        <xdr:cNvSpPr/>
      </xdr:nvSpPr>
      <xdr:spPr>
        <a:xfrm>
          <a:off x="10298206" y="4964207"/>
          <a:ext cx="5614147" cy="21291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16566</xdr:colOff>
      <xdr:row>4</xdr:row>
      <xdr:rowOff>59754</xdr:rowOff>
    </xdr:from>
    <xdr:to>
      <xdr:col>5</xdr:col>
      <xdr:colOff>575050</xdr:colOff>
      <xdr:row>15</xdr:row>
      <xdr:rowOff>128795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F282E2-EF2F-428F-86B7-604D1D6C0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6" y="830037"/>
          <a:ext cx="4078593" cy="2164541"/>
        </a:xfrm>
        <a:prstGeom prst="rect">
          <a:avLst/>
        </a:prstGeom>
      </xdr:spPr>
    </xdr:pic>
    <xdr:clientData/>
  </xdr:twoCellAnchor>
  <xdr:twoCellAnchor>
    <xdr:from>
      <xdr:col>24</xdr:col>
      <xdr:colOff>167070</xdr:colOff>
      <xdr:row>24</xdr:row>
      <xdr:rowOff>78543</xdr:rowOff>
    </xdr:from>
    <xdr:to>
      <xdr:col>31</xdr:col>
      <xdr:colOff>495096</xdr:colOff>
      <xdr:row>38</xdr:row>
      <xdr:rowOff>154743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2C131-2C00-4DF9-92C3-E9D401D4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79459</xdr:colOff>
      <xdr:row>42</xdr:row>
      <xdr:rowOff>62243</xdr:rowOff>
    </xdr:from>
    <xdr:to>
      <xdr:col>31</xdr:col>
      <xdr:colOff>408504</xdr:colOff>
      <xdr:row>56</xdr:row>
      <xdr:rowOff>138443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BC524D-2278-48CC-B7C8-432C7B94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86590</xdr:colOff>
      <xdr:row>61</xdr:row>
      <xdr:rowOff>39831</xdr:rowOff>
    </xdr:from>
    <xdr:to>
      <xdr:col>31</xdr:col>
      <xdr:colOff>415635</xdr:colOff>
      <xdr:row>75</xdr:row>
      <xdr:rowOff>116031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72BF7F-518A-4D71-B52A-D588D23CB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140582</xdr:colOff>
      <xdr:row>80</xdr:row>
      <xdr:rowOff>82617</xdr:rowOff>
    </xdr:from>
    <xdr:to>
      <xdr:col>31</xdr:col>
      <xdr:colOff>468608</xdr:colOff>
      <xdr:row>94</xdr:row>
      <xdr:rowOff>158817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09DCFE-93A8-4C03-BF76-982A6CDA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200479</xdr:colOff>
      <xdr:row>7</xdr:row>
      <xdr:rowOff>28121</xdr:rowOff>
    </xdr:from>
    <xdr:to>
      <xdr:col>24</xdr:col>
      <xdr:colOff>246291</xdr:colOff>
      <xdr:row>13</xdr:row>
      <xdr:rowOff>552449</xdr:rowOff>
    </xdr:to>
    <xdr:pic>
      <xdr:nvPicPr>
        <xdr:cNvPr id="6" name="Picture 5" descr="propeller thrust eqn.PNG">
          <a:extLst>
            <a:ext uri="{FF2B5EF4-FFF2-40B4-BE49-F238E27FC236}">
              <a16:creationId xmlns:a16="http://schemas.microsoft.com/office/drawing/2014/main" id="{7588F522-1FD9-4054-9ABF-F70B6FF2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57193" y="1456871"/>
          <a:ext cx="7747454" cy="1667328"/>
        </a:xfrm>
        <a:prstGeom prst="rect">
          <a:avLst/>
        </a:prstGeom>
      </xdr:spPr>
    </xdr:pic>
    <xdr:clientData/>
  </xdr:twoCellAnchor>
  <xdr:twoCellAnchor>
    <xdr:from>
      <xdr:col>0</xdr:col>
      <xdr:colOff>962025</xdr:colOff>
      <xdr:row>15</xdr:row>
      <xdr:rowOff>66675</xdr:rowOff>
    </xdr:from>
    <xdr:to>
      <xdr:col>0</xdr:col>
      <xdr:colOff>962025</xdr:colOff>
      <xdr:row>21</xdr:row>
      <xdr:rowOff>85725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5D3F997-E59F-4734-AEEB-ECF0A0242A15}"/>
            </a:ext>
          </a:extLst>
        </xdr:cNvPr>
        <xdr:cNvCxnSpPr/>
      </xdr:nvCxnSpPr>
      <xdr:spPr>
        <a:xfrm>
          <a:off x="962025" y="2781300"/>
          <a:ext cx="0" cy="121920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435429</xdr:colOff>
      <xdr:row>18</xdr:row>
      <xdr:rowOff>149678</xdr:rowOff>
    </xdr:from>
    <xdr:to>
      <xdr:col>16</xdr:col>
      <xdr:colOff>108858</xdr:colOff>
      <xdr:row>33</xdr:row>
      <xdr:rowOff>35378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2DE98-8133-4F69-9340-F3DED9982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200026</xdr:colOff>
      <xdr:row>43</xdr:row>
      <xdr:rowOff>133350</xdr:rowOff>
    </xdr:from>
    <xdr:to>
      <xdr:col>8</xdr:col>
      <xdr:colOff>416299</xdr:colOff>
      <xdr:row>62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2E8EB-09D5-47E6-8602-431215F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7572375"/>
          <a:ext cx="5407398" cy="3609975"/>
        </a:xfrm>
        <a:prstGeom prst="rect">
          <a:avLst/>
        </a:prstGeom>
      </xdr:spPr>
    </xdr:pic>
    <xdr:clientData/>
  </xdr:twoCellAnchor>
  <xdr:oneCellAnchor>
    <xdr:from>
      <xdr:col>0</xdr:col>
      <xdr:colOff>193644</xdr:colOff>
      <xdr:row>65</xdr:row>
      <xdr:rowOff>122713</xdr:rowOff>
    </xdr:from>
    <xdr:ext cx="103508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8E4267-ADD8-46CA-B6AF-6773E218A201}"/>
                </a:ext>
              </a:extLst>
            </xdr:cNvPr>
            <xdr:cNvSpPr txBox="1"/>
          </xdr:nvSpPr>
          <xdr:spPr>
            <a:xfrm>
              <a:off x="193644" y="11752738"/>
              <a:ext cx="10350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IN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1100" b="0" i="1">
                        <a:latin typeface="Cambria Math" panose="02040503050406030204" pitchFamily="18" charset="0"/>
                      </a:rPr>
                      <m:t>h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08E4267-ADD8-46CA-B6AF-6773E218A201}"/>
                </a:ext>
              </a:extLst>
            </xdr:cNvPr>
            <xdr:cNvSpPr txBox="1"/>
          </xdr:nvSpPr>
          <xdr:spPr>
            <a:xfrm>
              <a:off x="193644" y="11752738"/>
              <a:ext cx="10350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𝑉</a:t>
              </a:r>
              <a:r>
                <a:rPr lang="en-IN" sz="1100" i="0">
                  <a:latin typeface="Cambria Math" panose="02040503050406030204" pitchFamily="18" charset="0"/>
                </a:rPr>
                <a:t>=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IN" sz="1100" i="0">
                  <a:latin typeface="Cambria Math" panose="02040503050406030204" pitchFamily="18" charset="0"/>
                </a:rPr>
                <a:t>𝑟^2</a:t>
              </a:r>
              <a:r>
                <a:rPr lang="en-IN" sz="1100" b="0" i="0">
                  <a:latin typeface="Cambria Math" panose="02040503050406030204" pitchFamily="18" charset="0"/>
                </a:rPr>
                <a:t> ℎ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5</xdr:col>
      <xdr:colOff>193644</xdr:colOff>
      <xdr:row>65</xdr:row>
      <xdr:rowOff>122713</xdr:rowOff>
    </xdr:from>
    <xdr:ext cx="1035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1A607D0-4EDB-481D-8936-668123978FDB}"/>
                </a:ext>
              </a:extLst>
            </xdr:cNvPr>
            <xdr:cNvSpPr txBox="1"/>
          </xdr:nvSpPr>
          <xdr:spPr>
            <a:xfrm>
              <a:off x="2946369" y="12514738"/>
              <a:ext cx="1035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𝑙𝑏h</m:t>
                    </m:r>
                  </m:oMath>
                </m:oMathPara>
              </a14:m>
              <a:endParaRPr lang="en-IN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1A607D0-4EDB-481D-8936-668123978FDB}"/>
                </a:ext>
              </a:extLst>
            </xdr:cNvPr>
            <xdr:cNvSpPr txBox="1"/>
          </xdr:nvSpPr>
          <xdr:spPr>
            <a:xfrm>
              <a:off x="2946369" y="12514738"/>
              <a:ext cx="1035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𝑉</a:t>
              </a:r>
              <a:r>
                <a:rPr lang="en-IN" sz="1100" i="0">
                  <a:latin typeface="Cambria Math" panose="02040503050406030204" pitchFamily="18" charset="0"/>
                </a:rPr>
                <a:t>=</a:t>
              </a:r>
              <a:r>
                <a:rPr lang="en-IN" sz="1100" b="0" i="0">
                  <a:latin typeface="Cambria Math" panose="02040503050406030204" pitchFamily="18" charset="0"/>
                </a:rPr>
                <a:t>𝑙𝑏ℎ</a:t>
              </a:r>
              <a:endParaRPr lang="en-IN" sz="1100" b="0"/>
            </a:p>
          </xdr:txBody>
        </xdr:sp>
      </mc:Fallback>
    </mc:AlternateContent>
    <xdr:clientData/>
  </xdr:oneCellAnchor>
  <xdr:twoCellAnchor>
    <xdr:from>
      <xdr:col>11</xdr:col>
      <xdr:colOff>400050</xdr:colOff>
      <xdr:row>58</xdr:row>
      <xdr:rowOff>142875</xdr:rowOff>
    </xdr:from>
    <xdr:to>
      <xdr:col>19</xdr:col>
      <xdr:colOff>95250</xdr:colOff>
      <xdr:row>73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7981AA-80E5-419A-BDD4-F06B16E89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265958</xdr:colOff>
      <xdr:row>1</xdr:row>
      <xdr:rowOff>142256</xdr:rowOff>
    </xdr:from>
    <xdr:to>
      <xdr:col>13</xdr:col>
      <xdr:colOff>69397</xdr:colOff>
      <xdr:row>10</xdr:row>
      <xdr:rowOff>183805</xdr:rowOff>
    </xdr:to>
    <xdr:pic>
      <xdr:nvPicPr>
        <xdr:cNvPr id="2" name="Picture 1" descr="(s1223-il) S1223 - Selig S1223 high lift low Reynolds number airfoil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58" y="672935"/>
          <a:ext cx="8144618" cy="1756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51955</xdr:colOff>
      <xdr:row>22</xdr:row>
      <xdr:rowOff>69274</xdr:rowOff>
    </xdr:from>
    <xdr:to>
      <xdr:col>4</xdr:col>
      <xdr:colOff>484910</xdr:colOff>
      <xdr:row>39</xdr:row>
      <xdr:rowOff>14578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55" y="4589319"/>
          <a:ext cx="3203864" cy="3183804"/>
        </a:xfrm>
        <a:prstGeom prst="rect">
          <a:avLst/>
        </a:prstGeom>
      </xdr:spPr>
    </xdr:pic>
    <xdr:clientData/>
  </xdr:twoCellAnchor>
  <xdr:twoCellAnchor editAs="oneCell">
    <xdr:from>
      <xdr:col>11</xdr:col>
      <xdr:colOff>261280</xdr:colOff>
      <xdr:row>22</xdr:row>
      <xdr:rowOff>61743</xdr:rowOff>
    </xdr:from>
    <xdr:to>
      <xdr:col>16</xdr:col>
      <xdr:colOff>492438</xdr:colOff>
      <xdr:row>39</xdr:row>
      <xdr:rowOff>120447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323" y="4584047"/>
          <a:ext cx="3295724" cy="3297204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121227</xdr:colOff>
      <xdr:row>39</xdr:row>
      <xdr:rowOff>69273</xdr:rowOff>
    </xdr:from>
    <xdr:to>
      <xdr:col>4</xdr:col>
      <xdr:colOff>465357</xdr:colOff>
      <xdr:row>55</xdr:row>
      <xdr:rowOff>121228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227" y="7827818"/>
          <a:ext cx="3115039" cy="3099955"/>
        </a:xfrm>
        <a:prstGeom prst="rect">
          <a:avLst/>
        </a:prstGeom>
      </xdr:spPr>
    </xdr:pic>
    <xdr:clientData/>
  </xdr:twoCellAnchor>
  <xdr:twoCellAnchor editAs="oneCell">
    <xdr:from>
      <xdr:col>5</xdr:col>
      <xdr:colOff>277091</xdr:colOff>
      <xdr:row>39</xdr:row>
      <xdr:rowOff>121228</xdr:rowOff>
    </xdr:from>
    <xdr:to>
      <xdr:col>10</xdr:col>
      <xdr:colOff>415636</xdr:colOff>
      <xdr:row>56</xdr:row>
      <xdr:rowOff>81541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4136" y="7879773"/>
          <a:ext cx="3238500" cy="3198813"/>
        </a:xfrm>
        <a:prstGeom prst="rect">
          <a:avLst/>
        </a:prstGeom>
      </xdr:spPr>
    </xdr:pic>
    <xdr:clientData/>
  </xdr:twoCellAnchor>
  <xdr:twoCellAnchor editAs="oneCell">
    <xdr:from>
      <xdr:col>5</xdr:col>
      <xdr:colOff>132522</xdr:colOff>
      <xdr:row>22</xdr:row>
      <xdr:rowOff>49697</xdr:rowOff>
    </xdr:from>
    <xdr:to>
      <xdr:col>10</xdr:col>
      <xdr:colOff>248479</xdr:colOff>
      <xdr:row>39</xdr:row>
      <xdr:rowOff>33823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20109" y="4572001"/>
          <a:ext cx="3238500" cy="3222626"/>
        </a:xfrm>
        <a:prstGeom prst="rect">
          <a:avLst/>
        </a:prstGeom>
      </xdr:spPr>
    </xdr:pic>
    <xdr:clientData/>
  </xdr:twoCellAnchor>
  <xdr:twoCellAnchor editAs="oneCell">
    <xdr:from>
      <xdr:col>16</xdr:col>
      <xdr:colOff>110216</xdr:colOff>
      <xdr:row>2</xdr:row>
      <xdr:rowOff>38101</xdr:rowOff>
    </xdr:from>
    <xdr:to>
      <xdr:col>23</xdr:col>
      <xdr:colOff>569547</xdr:colOff>
      <xdr:row>10</xdr:row>
      <xdr:rowOff>104577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8359" y="759280"/>
          <a:ext cx="4745581" cy="15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585109</xdr:colOff>
      <xdr:row>11</xdr:row>
      <xdr:rowOff>46264</xdr:rowOff>
    </xdr:from>
    <xdr:to>
      <xdr:col>23</xdr:col>
      <xdr:colOff>594023</xdr:colOff>
      <xdr:row>19</xdr:row>
      <xdr:rowOff>93693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50930" y="2481943"/>
          <a:ext cx="4907486" cy="1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21</xdr:row>
      <xdr:rowOff>28575</xdr:rowOff>
    </xdr:from>
    <xdr:to>
      <xdr:col>2</xdr:col>
      <xdr:colOff>276008</xdr:colOff>
      <xdr:row>24</xdr:row>
      <xdr:rowOff>180885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057650"/>
          <a:ext cx="1733333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180976</xdr:rowOff>
    </xdr:from>
    <xdr:to>
      <xdr:col>4</xdr:col>
      <xdr:colOff>38099</xdr:colOff>
      <xdr:row>36</xdr:row>
      <xdr:rowOff>90018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1551"/>
          <a:ext cx="2886074" cy="2195042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21</xdr:row>
      <xdr:rowOff>85725</xdr:rowOff>
    </xdr:from>
    <xdr:to>
      <xdr:col>4</xdr:col>
      <xdr:colOff>466543</xdr:colOff>
      <xdr:row>24</xdr:row>
      <xdr:rowOff>104701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7375" y="4114800"/>
          <a:ext cx="1457143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38101</xdr:rowOff>
    </xdr:from>
    <xdr:to>
      <xdr:col>4</xdr:col>
      <xdr:colOff>495300</xdr:colOff>
      <xdr:row>20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314701"/>
          <a:ext cx="3343275" cy="68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33618</xdr:colOff>
      <xdr:row>36</xdr:row>
      <xdr:rowOff>11206</xdr:rowOff>
    </xdr:from>
    <xdr:to>
      <xdr:col>8</xdr:col>
      <xdr:colOff>593912</xdr:colOff>
      <xdr:row>37</xdr:row>
      <xdr:rowOff>67235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DC43B16-4DEF-47F4-84C8-91E067229129}"/>
            </a:ext>
          </a:extLst>
        </xdr:cNvPr>
        <xdr:cNvCxnSpPr/>
      </xdr:nvCxnSpPr>
      <xdr:spPr>
        <a:xfrm flipV="1">
          <a:off x="5042647" y="6880412"/>
          <a:ext cx="560294" cy="246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289909</xdr:colOff>
      <xdr:row>2</xdr:row>
      <xdr:rowOff>173037</xdr:rowOff>
    </xdr:from>
    <xdr:ext cx="3045385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0C8959-BEB9-4B3E-9125-1919CF858815}"/>
                </a:ext>
              </a:extLst>
            </xdr:cNvPr>
            <xdr:cNvSpPr txBox="1"/>
          </xdr:nvSpPr>
          <xdr:spPr>
            <a:xfrm>
              <a:off x="6995509" y="554037"/>
              <a:ext cx="3045385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𝑃𝑎𝑦𝑙𝑜𝑎𝑑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𝐹𝑟𝑎𝑐𝑡𝑖𝑜𝑛</m:t>
                    </m:r>
                    <m:r>
                      <a:rPr lang="en-IN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𝑃𝑎𝑦𝑙𝑜𝑎𝑑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𝑊𝑒𝑖𝑔h𝑡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𝑊𝑒𝑖𝑔h𝑡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𝑜𝑓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𝑎𝑖𝑟𝑐𝑟𝑎𝑓𝑡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0C8959-BEB9-4B3E-9125-1919CF858815}"/>
                </a:ext>
              </a:extLst>
            </xdr:cNvPr>
            <xdr:cNvSpPr txBox="1"/>
          </xdr:nvSpPr>
          <xdr:spPr>
            <a:xfrm>
              <a:off x="6995509" y="554037"/>
              <a:ext cx="3045385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𝑃𝑎𝑦𝑙𝑜𝑎𝑑 𝐹𝑟𝑎𝑐𝑡𝑖𝑜𝑛</a:t>
              </a:r>
              <a:r>
                <a:rPr lang="en-IN" sz="1100" i="0">
                  <a:latin typeface="Cambria Math" panose="02040503050406030204" pitchFamily="18" charset="0"/>
                </a:rPr>
                <a:t>=(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𝑃𝑎𝑦𝑙𝑜𝑎𝑑 𝑊𝑒𝑖𝑔ℎ𝑡)/(𝑇𝑜𝑡𝑎𝑙 𝑊𝑒𝑖𝑔ℎ𝑡 𝑜𝑓 𝑎𝑖𝑟𝑐𝑟𝑎𝑓</a:t>
              </a:r>
              <a:r>
                <a:rPr lang="en-IN" sz="1100" b="0" i="0">
                  <a:latin typeface="Cambria Math" panose="02040503050406030204" pitchFamily="18" charset="0"/>
                </a:rPr>
                <a:t>𝑡)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11</xdr:row>
      <xdr:rowOff>85725</xdr:rowOff>
    </xdr:from>
    <xdr:to>
      <xdr:col>9</xdr:col>
      <xdr:colOff>76200</xdr:colOff>
      <xdr:row>14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5B12BA0-410E-469E-A54E-2BCDFC9311A3}"/>
            </a:ext>
          </a:extLst>
        </xdr:cNvPr>
        <xdr:cNvCxnSpPr/>
      </xdr:nvCxnSpPr>
      <xdr:spPr>
        <a:xfrm flipH="1">
          <a:off x="4476750" y="5095875"/>
          <a:ext cx="1209675" cy="561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28575</xdr:rowOff>
    </xdr:from>
    <xdr:to>
      <xdr:col>3</xdr:col>
      <xdr:colOff>561681</xdr:colOff>
      <xdr:row>8</xdr:row>
      <xdr:rowOff>142789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468781"/>
          <a:ext cx="2338934" cy="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5</xdr:row>
      <xdr:rowOff>114300</xdr:rowOff>
    </xdr:from>
    <xdr:to>
      <xdr:col>8</xdr:col>
      <xdr:colOff>424939</xdr:colOff>
      <xdr:row>7</xdr:row>
      <xdr:rowOff>47586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275" y="3543300"/>
          <a:ext cx="2590476" cy="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5</xdr:row>
      <xdr:rowOff>152400</xdr:rowOff>
    </xdr:from>
    <xdr:to>
      <xdr:col>14</xdr:col>
      <xdr:colOff>156538</xdr:colOff>
      <xdr:row>7</xdr:row>
      <xdr:rowOff>123781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3581400"/>
          <a:ext cx="2761905" cy="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11</xdr:row>
      <xdr:rowOff>57150</xdr:rowOff>
    </xdr:from>
    <xdr:to>
      <xdr:col>2</xdr:col>
      <xdr:colOff>276226</xdr:colOff>
      <xdr:row>14</xdr:row>
      <xdr:rowOff>112514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8999" y="4629150"/>
          <a:ext cx="1114426" cy="62686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11</xdr:row>
      <xdr:rowOff>104775</xdr:rowOff>
    </xdr:from>
    <xdr:to>
      <xdr:col>6</xdr:col>
      <xdr:colOff>504412</xdr:colOff>
      <xdr:row>14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4676775"/>
          <a:ext cx="1675987" cy="542925"/>
        </a:xfrm>
        <a:prstGeom prst="rect">
          <a:avLst/>
        </a:prstGeom>
      </xdr:spPr>
    </xdr:pic>
    <xdr:clientData/>
  </xdr:twoCellAnchor>
  <xdr:twoCellAnchor>
    <xdr:from>
      <xdr:col>0</xdr:col>
      <xdr:colOff>72837</xdr:colOff>
      <xdr:row>25</xdr:row>
      <xdr:rowOff>163606</xdr:rowOff>
    </xdr:from>
    <xdr:to>
      <xdr:col>9</xdr:col>
      <xdr:colOff>717176</xdr:colOff>
      <xdr:row>46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7585A-F60F-40FF-B1F9-64A307973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142876</xdr:colOff>
      <xdr:row>5</xdr:row>
      <xdr:rowOff>76199</xdr:rowOff>
    </xdr:from>
    <xdr:to>
      <xdr:col>13</xdr:col>
      <xdr:colOff>438150</xdr:colOff>
      <xdr:row>18</xdr:row>
      <xdr:rowOff>161752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6" y="1028699"/>
          <a:ext cx="2733674" cy="2562053"/>
        </a:xfrm>
        <a:prstGeom prst="rect">
          <a:avLst/>
        </a:prstGeom>
      </xdr:spPr>
    </xdr:pic>
    <xdr:clientData/>
  </xdr:twoCellAnchor>
  <xdr:twoCellAnchor editAs="oneCell">
    <xdr:from>
      <xdr:col>21</xdr:col>
      <xdr:colOff>336976</xdr:colOff>
      <xdr:row>0</xdr:row>
      <xdr:rowOff>0</xdr:rowOff>
    </xdr:from>
    <xdr:to>
      <xdr:col>38</xdr:col>
      <xdr:colOff>10710</xdr:colOff>
      <xdr:row>25</xdr:row>
      <xdr:rowOff>40022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31155" y="0"/>
          <a:ext cx="10083198" cy="4843343"/>
        </a:xfrm>
        <a:prstGeom prst="rect">
          <a:avLst/>
        </a:prstGeom>
      </xdr:spPr>
    </xdr:pic>
    <xdr:clientData/>
  </xdr:twoCellAnchor>
  <xdr:twoCellAnchor editAs="oneCell">
    <xdr:from>
      <xdr:col>0</xdr:col>
      <xdr:colOff>195303</xdr:colOff>
      <xdr:row>26</xdr:row>
      <xdr:rowOff>57629</xdr:rowOff>
    </xdr:from>
    <xdr:to>
      <xdr:col>9</xdr:col>
      <xdr:colOff>363391</xdr:colOff>
      <xdr:row>43</xdr:row>
      <xdr:rowOff>166005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303" y="5051450"/>
          <a:ext cx="6114409" cy="3346876"/>
        </a:xfrm>
        <a:prstGeom prst="rect">
          <a:avLst/>
        </a:prstGeom>
      </xdr:spPr>
    </xdr:pic>
    <xdr:clientData/>
  </xdr:twoCellAnchor>
  <xdr:twoCellAnchor editAs="oneCell">
    <xdr:from>
      <xdr:col>0</xdr:col>
      <xdr:colOff>54429</xdr:colOff>
      <xdr:row>52</xdr:row>
      <xdr:rowOff>81642</xdr:rowOff>
    </xdr:from>
    <xdr:to>
      <xdr:col>9</xdr:col>
      <xdr:colOff>525076</xdr:colOff>
      <xdr:row>74</xdr:row>
      <xdr:rowOff>160071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29" y="10055678"/>
          <a:ext cx="6416968" cy="4269429"/>
        </a:xfrm>
        <a:prstGeom prst="rect">
          <a:avLst/>
        </a:prstGeom>
      </xdr:spPr>
    </xdr:pic>
    <xdr:clientData/>
  </xdr:twoCellAnchor>
  <xdr:twoCellAnchor editAs="oneCell">
    <xdr:from>
      <xdr:col>13</xdr:col>
      <xdr:colOff>138393</xdr:colOff>
      <xdr:row>24</xdr:row>
      <xdr:rowOff>61632</xdr:rowOff>
    </xdr:from>
    <xdr:to>
      <xdr:col>16</xdr:col>
      <xdr:colOff>433403</xdr:colOff>
      <xdr:row>31</xdr:row>
      <xdr:rowOff>166227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A77224-BAC7-4166-A571-72079A3E3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53158" y="4667250"/>
          <a:ext cx="2110363" cy="1438095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55</xdr:row>
      <xdr:rowOff>108857</xdr:rowOff>
    </xdr:from>
    <xdr:to>
      <xdr:col>12</xdr:col>
      <xdr:colOff>570140</xdr:colOff>
      <xdr:row>59</xdr:row>
      <xdr:rowOff>149678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6FB5E76-1E3D-4E3D-861F-76F27A18974E}"/>
            </a:ext>
          </a:extLst>
        </xdr:cNvPr>
        <xdr:cNvCxnSpPr/>
      </xdr:nvCxnSpPr>
      <xdr:spPr>
        <a:xfrm flipH="1">
          <a:off x="6681107" y="10654393"/>
          <a:ext cx="1672319" cy="8028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17</xdr:col>
      <xdr:colOff>494643</xdr:colOff>
      <xdr:row>18</xdr:row>
      <xdr:rowOff>133000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10943568" cy="28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200434</xdr:colOff>
      <xdr:row>34</xdr:row>
      <xdr:rowOff>144607</xdr:rowOff>
    </xdr:from>
    <xdr:to>
      <xdr:col>25</xdr:col>
      <xdr:colOff>131035</xdr:colOff>
      <xdr:row>51</xdr:row>
      <xdr:rowOff>144607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355572-218B-475A-BC71-A85ABBEB5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5207" y="6621607"/>
          <a:ext cx="5385828" cy="3238500"/>
        </a:xfrm>
        <a:prstGeom prst="rect">
          <a:avLst/>
        </a:prstGeom>
      </xdr:spPr>
    </xdr:pic>
    <xdr:clientData/>
  </xdr:twoCellAnchor>
  <xdr:twoCellAnchor editAs="oneCell">
    <xdr:from>
      <xdr:col>8</xdr:col>
      <xdr:colOff>349624</xdr:colOff>
      <xdr:row>34</xdr:row>
      <xdr:rowOff>110377</xdr:rowOff>
    </xdr:from>
    <xdr:to>
      <xdr:col>15</xdr:col>
      <xdr:colOff>285750</xdr:colOff>
      <xdr:row>52</xdr:row>
      <xdr:rowOff>101672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9F77D2-F0B9-4F67-818B-E1A242C0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2149" y="6587377"/>
          <a:ext cx="4203326" cy="3420295"/>
        </a:xfrm>
        <a:prstGeom prst="rect">
          <a:avLst/>
        </a:prstGeom>
      </xdr:spPr>
    </xdr:pic>
    <xdr:clientData/>
  </xdr:twoCellAnchor>
  <xdr:twoCellAnchor>
    <xdr:from>
      <xdr:col>6</xdr:col>
      <xdr:colOff>582706</xdr:colOff>
      <xdr:row>35</xdr:row>
      <xdr:rowOff>123265</xdr:rowOff>
    </xdr:from>
    <xdr:to>
      <xdr:col>7</xdr:col>
      <xdr:colOff>560294</xdr:colOff>
      <xdr:row>35</xdr:row>
      <xdr:rowOff>179294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84047CF-3F03-454F-861A-AEAA77DBCB29}"/>
            </a:ext>
          </a:extLst>
        </xdr:cNvPr>
        <xdr:cNvCxnSpPr/>
      </xdr:nvCxnSpPr>
      <xdr:spPr>
        <a:xfrm flipV="1">
          <a:off x="4303059" y="6790765"/>
          <a:ext cx="582706" cy="560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jor%20Project%20thurs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builtup"/>
      <sheetName val="wing calculations"/>
      <sheetName val="Fuselage"/>
      <sheetName val="H-tail"/>
      <sheetName val="V-tail"/>
      <sheetName val="tail"/>
      <sheetName val="Geometry"/>
      <sheetName val="Drag"/>
      <sheetName val="total drag"/>
      <sheetName val="landing gear"/>
      <sheetName val="Performance"/>
      <sheetName val="control surfaces"/>
      <sheetName val="Servo sizing"/>
      <sheetName val="power required"/>
      <sheetName val="power plant matching"/>
      <sheetName val="payload prediction"/>
      <sheetName val="Sheet1"/>
    </sheetNames>
    <sheetDataSet>
      <sheetData sheetId="0">
        <row r="17">
          <cell r="F17">
            <v>4980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>
            <v>15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itsallrc.wordpress.com/2014/02/19/how-to-calculate-drag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banggood.in/QX-Motor-QAA2814-600KV-900KV-1250KV-3-6S-Brushless-Motor-CCW-For-RC-Airplane-Multicopter-p-1132193.html?rmmds=search&amp;ID=49282&amp;cur_warehouse=CN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flitetest.com/articles/propeller-static-dynamic-thrust-calculation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electricrcaircraftguy.blogspot.com/" TargetMode="External"/><Relationship Id="rId7" Type="http://schemas.openxmlformats.org/officeDocument/2006/relationships/comments" Target="../comments5.xml"/><Relationship Id="rId2" Type="http://schemas.openxmlformats.org/officeDocument/2006/relationships/hyperlink" Target="https://www.masterairscrew.com/collections/3-blade/products/3-blade-9x7-propeller" TargetMode="External"/><Relationship Id="rId1" Type="http://schemas.openxmlformats.org/officeDocument/2006/relationships/hyperlink" Target="http://electricrcaircraftguy.blogspot.com/2013/09/propeller-static-dynamic-thrust-equation.html" TargetMode="External"/><Relationship Id="rId6" Type="http://schemas.openxmlformats.org/officeDocument/2006/relationships/vmlDrawing" Target="../drawings/vmlDrawing5.vm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zoomScale="70" zoomScaleNormal="70" workbookViewId="0">
      <selection activeCell="J24" sqref="J24"/>
    </sheetView>
  </sheetViews>
  <sheetFormatPr defaultRowHeight="15" x14ac:dyDescent="0.25"/>
  <sheetData>
    <row r="1" spans="2:13" ht="15.75" thickBot="1" x14ac:dyDescent="0.3"/>
    <row r="2" spans="2:13" ht="15" customHeight="1" x14ac:dyDescent="0.25">
      <c r="B2" s="143" t="s">
        <v>89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</row>
    <row r="3" spans="2:13" ht="15" customHeight="1" x14ac:dyDescent="0.25"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8"/>
    </row>
    <row r="4" spans="2:13" ht="15" customHeight="1" x14ac:dyDescent="0.25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8"/>
    </row>
    <row r="5" spans="2:13" ht="15" customHeight="1" x14ac:dyDescent="0.25">
      <c r="B5" s="146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2:13" ht="15" customHeight="1" x14ac:dyDescent="0.25"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2:13" ht="15.75" customHeight="1" x14ac:dyDescent="0.25">
      <c r="B7" s="146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2:13" ht="15" customHeight="1" thickBot="1" x14ac:dyDescent="0.3">
      <c r="B8" s="149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1"/>
    </row>
    <row r="9" spans="2:13" ht="15.75" customHeight="1" x14ac:dyDescent="0.25"/>
    <row r="10" spans="2:13" ht="15.75" thickBot="1" x14ac:dyDescent="0.3"/>
    <row r="11" spans="2:13" x14ac:dyDescent="0.25">
      <c r="B11" s="136" t="s">
        <v>90</v>
      </c>
      <c r="C11" s="137"/>
      <c r="D11" s="137"/>
      <c r="E11" s="137"/>
      <c r="F11" s="137"/>
      <c r="G11" s="138"/>
    </row>
    <row r="12" spans="2:13" x14ac:dyDescent="0.25">
      <c r="B12" s="139"/>
      <c r="C12" s="140"/>
      <c r="D12" s="140"/>
      <c r="E12" s="140"/>
      <c r="F12" s="140"/>
      <c r="G12" s="141"/>
    </row>
    <row r="13" spans="2:13" x14ac:dyDescent="0.25">
      <c r="B13" s="139"/>
      <c r="C13" s="140"/>
      <c r="D13" s="140"/>
      <c r="E13" s="140"/>
      <c r="F13" s="140"/>
      <c r="G13" s="141"/>
    </row>
    <row r="14" spans="2:13" x14ac:dyDescent="0.25">
      <c r="B14" s="139"/>
      <c r="C14" s="140"/>
      <c r="D14" s="140"/>
      <c r="E14" s="140"/>
      <c r="F14" s="140"/>
      <c r="G14" s="141"/>
    </row>
    <row r="15" spans="2:13" x14ac:dyDescent="0.25">
      <c r="B15" s="139"/>
      <c r="C15" s="140"/>
      <c r="D15" s="140"/>
      <c r="E15" s="140"/>
      <c r="F15" s="140"/>
      <c r="G15" s="141"/>
    </row>
    <row r="16" spans="2:13" x14ac:dyDescent="0.25">
      <c r="B16" s="142"/>
      <c r="C16" s="142"/>
      <c r="D16" s="142"/>
      <c r="E16" s="142"/>
      <c r="F16" s="142"/>
      <c r="G16" s="142"/>
    </row>
    <row r="17" spans="2:7" x14ac:dyDescent="0.25">
      <c r="B17" s="142"/>
      <c r="C17" s="142"/>
      <c r="D17" s="142"/>
      <c r="E17" s="142"/>
      <c r="F17" s="142"/>
      <c r="G17" s="142"/>
    </row>
    <row r="18" spans="2:7" x14ac:dyDescent="0.25">
      <c r="B18" s="142"/>
      <c r="C18" s="142"/>
      <c r="D18" s="142"/>
      <c r="E18" s="142"/>
      <c r="F18" s="142"/>
      <c r="G18" s="142"/>
    </row>
    <row r="19" spans="2:7" x14ac:dyDescent="0.25">
      <c r="B19" s="142"/>
      <c r="C19" s="142"/>
      <c r="D19" s="142"/>
      <c r="E19" s="142"/>
      <c r="F19" s="142"/>
      <c r="G19" s="142"/>
    </row>
    <row r="20" spans="2:7" x14ac:dyDescent="0.25">
      <c r="B20" s="142"/>
      <c r="C20" s="142"/>
      <c r="D20" s="142"/>
      <c r="E20" s="142"/>
      <c r="F20" s="142"/>
      <c r="G20" s="142"/>
    </row>
    <row r="21" spans="2:7" x14ac:dyDescent="0.25">
      <c r="B21" s="142"/>
      <c r="C21" s="142"/>
      <c r="D21" s="142"/>
      <c r="E21" s="142"/>
      <c r="F21" s="142"/>
      <c r="G21" s="142"/>
    </row>
    <row r="22" spans="2:7" x14ac:dyDescent="0.25">
      <c r="B22" s="142"/>
      <c r="C22" s="142"/>
      <c r="D22" s="142"/>
      <c r="E22" s="142"/>
      <c r="F22" s="142"/>
      <c r="G22" s="142"/>
    </row>
    <row r="23" spans="2:7" x14ac:dyDescent="0.25">
      <c r="B23" s="142"/>
      <c r="C23" s="142"/>
      <c r="D23" s="142"/>
      <c r="E23" s="142"/>
      <c r="F23" s="142"/>
      <c r="G23" s="142"/>
    </row>
    <row r="24" spans="2:7" x14ac:dyDescent="0.25">
      <c r="B24" s="142"/>
      <c r="C24" s="142"/>
      <c r="D24" s="142"/>
      <c r="E24" s="142"/>
      <c r="F24" s="142"/>
      <c r="G24" s="142"/>
    </row>
    <row r="25" spans="2:7" x14ac:dyDescent="0.25">
      <c r="B25" s="142"/>
      <c r="C25" s="142"/>
      <c r="D25" s="142"/>
      <c r="E25" s="142"/>
      <c r="F25" s="142"/>
      <c r="G25" s="142"/>
    </row>
    <row r="26" spans="2:7" x14ac:dyDescent="0.25">
      <c r="B26" s="142"/>
      <c r="C26" s="142"/>
      <c r="D26" s="142"/>
      <c r="E26" s="142"/>
      <c r="F26" s="142"/>
      <c r="G26" s="142"/>
    </row>
    <row r="27" spans="2:7" x14ac:dyDescent="0.25">
      <c r="B27" s="142"/>
      <c r="C27" s="142"/>
      <c r="D27" s="142"/>
      <c r="E27" s="142"/>
      <c r="F27" s="142"/>
      <c r="G27" s="142"/>
    </row>
    <row r="28" spans="2:7" x14ac:dyDescent="0.25">
      <c r="B28" s="142"/>
      <c r="C28" s="142"/>
      <c r="D28" s="142"/>
      <c r="E28" s="142"/>
      <c r="F28" s="142"/>
      <c r="G28" s="142"/>
    </row>
    <row r="29" spans="2:7" x14ac:dyDescent="0.25">
      <c r="B29" s="142"/>
      <c r="C29" s="142"/>
      <c r="D29" s="142"/>
      <c r="E29" s="142"/>
      <c r="F29" s="142"/>
      <c r="G29" s="142"/>
    </row>
    <row r="30" spans="2:7" x14ac:dyDescent="0.25">
      <c r="B30" s="142"/>
      <c r="C30" s="142"/>
      <c r="D30" s="142"/>
      <c r="E30" s="142"/>
      <c r="F30" s="142"/>
      <c r="G30" s="142"/>
    </row>
    <row r="31" spans="2:7" x14ac:dyDescent="0.25">
      <c r="B31" s="142"/>
      <c r="C31" s="142"/>
      <c r="D31" s="142"/>
      <c r="E31" s="142"/>
      <c r="F31" s="142"/>
      <c r="G31" s="142"/>
    </row>
    <row r="32" spans="2:7" x14ac:dyDescent="0.25">
      <c r="B32" s="142"/>
      <c r="C32" s="142"/>
      <c r="D32" s="142"/>
      <c r="E32" s="142"/>
      <c r="F32" s="142"/>
      <c r="G32" s="142"/>
    </row>
    <row r="33" spans="2:7" x14ac:dyDescent="0.25">
      <c r="B33" s="142"/>
      <c r="C33" s="142"/>
      <c r="D33" s="142"/>
      <c r="E33" s="142"/>
      <c r="F33" s="142"/>
      <c r="G33" s="142"/>
    </row>
    <row r="34" spans="2:7" x14ac:dyDescent="0.25">
      <c r="B34" s="142"/>
      <c r="C34" s="142"/>
      <c r="D34" s="142"/>
      <c r="E34" s="142"/>
      <c r="F34" s="142"/>
      <c r="G34" s="142"/>
    </row>
  </sheetData>
  <mergeCells count="3">
    <mergeCell ref="B11:G15"/>
    <mergeCell ref="B16:G34"/>
    <mergeCell ref="B2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3"/>
  <sheetViews>
    <sheetView topLeftCell="A14" zoomScale="70" zoomScaleNormal="70" workbookViewId="0">
      <selection activeCell="H31" sqref="H31"/>
    </sheetView>
  </sheetViews>
  <sheetFormatPr defaultRowHeight="15" x14ac:dyDescent="0.25"/>
  <cols>
    <col min="6" max="6" width="10.42578125" customWidth="1"/>
    <col min="26" max="26" width="4.140625" customWidth="1"/>
  </cols>
  <sheetData>
    <row r="1" spans="1:18" x14ac:dyDescent="0.25">
      <c r="A1" s="242" t="s">
        <v>109</v>
      </c>
      <c r="B1" s="243"/>
      <c r="C1" s="243"/>
      <c r="D1" s="243"/>
      <c r="E1" s="243"/>
      <c r="F1" s="243"/>
      <c r="G1" s="244"/>
    </row>
    <row r="2" spans="1:18" x14ac:dyDescent="0.25">
      <c r="A2" s="245"/>
      <c r="B2" s="236"/>
      <c r="C2" s="236"/>
      <c r="D2" s="236"/>
      <c r="E2" s="236"/>
      <c r="F2" s="236"/>
      <c r="G2" s="246"/>
    </row>
    <row r="3" spans="1:18" x14ac:dyDescent="0.25">
      <c r="A3" s="245"/>
      <c r="B3" s="236"/>
      <c r="C3" s="236"/>
      <c r="D3" s="236"/>
      <c r="E3" s="236"/>
      <c r="F3" s="236"/>
      <c r="G3" s="246"/>
    </row>
    <row r="4" spans="1:18" x14ac:dyDescent="0.25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</row>
    <row r="5" spans="1:18" x14ac:dyDescent="0.25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</row>
    <row r="6" spans="1:18" x14ac:dyDescent="0.25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</row>
    <row r="7" spans="1:18" x14ac:dyDescent="0.25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</row>
    <row r="8" spans="1:18" x14ac:dyDescent="0.25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</row>
    <row r="9" spans="1:18" x14ac:dyDescent="0.25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</row>
    <row r="10" spans="1:18" x14ac:dyDescent="0.25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</row>
    <row r="11" spans="1:18" x14ac:dyDescent="0.25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</row>
    <row r="12" spans="1:18" x14ac:dyDescent="0.25">
      <c r="A12" s="142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</row>
    <row r="13" spans="1:18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</row>
    <row r="14" spans="1:18" x14ac:dyDescent="0.25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1:18" x14ac:dyDescent="0.25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18" x14ac:dyDescent="0.25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</row>
    <row r="17" spans="1:18" x14ac:dyDescent="0.25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 spans="1:18" x14ac:dyDescent="0.25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</row>
    <row r="19" spans="1:18" x14ac:dyDescent="0.25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</row>
    <row r="22" spans="1:18" x14ac:dyDescent="0.25">
      <c r="A22" s="247" t="s">
        <v>361</v>
      </c>
      <c r="B22" s="248"/>
      <c r="C22" s="248"/>
      <c r="D22" s="248"/>
      <c r="E22" s="248"/>
      <c r="F22" s="248"/>
      <c r="G22" s="249"/>
    </row>
    <row r="23" spans="1:18" x14ac:dyDescent="0.25">
      <c r="A23" s="250"/>
      <c r="B23" s="251"/>
      <c r="C23" s="251"/>
      <c r="D23" s="251"/>
      <c r="E23" s="251"/>
      <c r="F23" s="251"/>
      <c r="G23" s="252"/>
    </row>
    <row r="24" spans="1:18" x14ac:dyDescent="0.25">
      <c r="A24" s="253"/>
      <c r="B24" s="254"/>
      <c r="C24" s="254"/>
      <c r="D24" s="254"/>
      <c r="E24" s="254"/>
      <c r="F24" s="254"/>
      <c r="G24" s="255"/>
    </row>
    <row r="26" spans="1:18" x14ac:dyDescent="0.25">
      <c r="A26" s="28" t="s">
        <v>170</v>
      </c>
      <c r="B26" s="28" t="s">
        <v>171</v>
      </c>
      <c r="C26" s="28" t="s">
        <v>172</v>
      </c>
      <c r="D26" s="28" t="s">
        <v>173</v>
      </c>
      <c r="E26" s="28" t="s">
        <v>174</v>
      </c>
    </row>
    <row r="27" spans="1:18" x14ac:dyDescent="0.25">
      <c r="A27" s="2">
        <v>0.15</v>
      </c>
      <c r="B27" s="2">
        <v>6.4000000000000001E-2</v>
      </c>
      <c r="C27" s="2">
        <v>0.01</v>
      </c>
      <c r="D27" s="2">
        <v>0.1</v>
      </c>
      <c r="E27" s="2">
        <f>A27-SQRT(((D27-C27)^2)-((D27-B27)^2))</f>
        <v>6.7513637490794864E-2</v>
      </c>
    </row>
    <row r="28" spans="1:18" x14ac:dyDescent="0.25">
      <c r="A28" s="27">
        <v>0.15</v>
      </c>
      <c r="B28" s="27">
        <v>6.4000000000000001E-2</v>
      </c>
      <c r="C28" s="27">
        <v>0.02</v>
      </c>
      <c r="D28" s="27">
        <v>0.15</v>
      </c>
      <c r="E28" s="27">
        <f t="shared" ref="E28:E29" si="0">A28-SQRT(((D28-C28)^2)-((D28-B28)^2))</f>
        <v>5.2511539144368458E-2</v>
      </c>
      <c r="F28" s="27" t="s">
        <v>111</v>
      </c>
    </row>
    <row r="29" spans="1:18" x14ac:dyDescent="0.25">
      <c r="A29" s="2">
        <v>0.15</v>
      </c>
      <c r="B29" s="2">
        <v>6.4000000000000001E-2</v>
      </c>
      <c r="C29" s="2">
        <v>0.02</v>
      </c>
      <c r="D29" s="2">
        <v>0.2</v>
      </c>
      <c r="E29" s="2">
        <f t="shared" si="0"/>
        <v>3.2084776216130581E-2</v>
      </c>
    </row>
    <row r="30" spans="1:18" x14ac:dyDescent="0.25">
      <c r="A30" s="2"/>
      <c r="B30" s="2"/>
      <c r="C30" s="2"/>
      <c r="D30" s="2"/>
      <c r="E30" s="2"/>
    </row>
    <row r="31" spans="1:18" x14ac:dyDescent="0.25">
      <c r="A31" s="27">
        <v>0.15</v>
      </c>
      <c r="B31" s="27">
        <v>2.1999999999999999E-2</v>
      </c>
      <c r="C31" s="27">
        <v>0.01</v>
      </c>
      <c r="D31" s="27">
        <v>0.4</v>
      </c>
      <c r="E31" s="27">
        <f>A31-SQRT(((D31-C31)^2)-((D31-B31)^2))</f>
        <v>5.3999999999999979E-2</v>
      </c>
      <c r="F31" s="27" t="s">
        <v>118</v>
      </c>
    </row>
    <row r="32" spans="1:18" x14ac:dyDescent="0.25">
      <c r="A32" s="2"/>
      <c r="B32" s="2"/>
      <c r="C32" s="2"/>
      <c r="D32" s="2"/>
      <c r="E32" s="2"/>
    </row>
    <row r="33" spans="1:26" x14ac:dyDescent="0.25">
      <c r="A33" s="27">
        <v>0.15</v>
      </c>
      <c r="B33" s="27">
        <v>4.2000000000000003E-2</v>
      </c>
      <c r="C33" s="27">
        <v>0.01</v>
      </c>
      <c r="D33" s="27">
        <v>0.17</v>
      </c>
      <c r="E33" s="27">
        <f>A33-SQRT(((D33-C33)^2)-((D33-B33)^2))</f>
        <v>5.3999999999999979E-2</v>
      </c>
      <c r="F33" s="27" t="s">
        <v>119</v>
      </c>
    </row>
    <row r="34" spans="1:26" x14ac:dyDescent="0.25">
      <c r="I34" s="155" t="s">
        <v>363</v>
      </c>
      <c r="J34" s="155"/>
      <c r="K34" s="155"/>
      <c r="L34" s="155"/>
      <c r="M34" s="155"/>
      <c r="N34" s="155"/>
      <c r="O34" s="155"/>
      <c r="P34" s="155"/>
      <c r="Q34" s="155" t="s">
        <v>364</v>
      </c>
      <c r="R34" s="155"/>
      <c r="S34" s="155"/>
      <c r="T34" s="155"/>
      <c r="U34" s="155"/>
      <c r="V34" s="155"/>
      <c r="W34" s="155"/>
      <c r="X34" s="155"/>
      <c r="Y34" s="155"/>
      <c r="Z34" s="155"/>
    </row>
    <row r="35" spans="1:26" x14ac:dyDescent="0.25"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</row>
    <row r="36" spans="1:26" x14ac:dyDescent="0.25">
      <c r="A36" s="247" t="s">
        <v>362</v>
      </c>
      <c r="B36" s="248"/>
      <c r="C36" s="248"/>
      <c r="D36" s="248"/>
      <c r="E36" s="248"/>
      <c r="F36" s="248"/>
      <c r="G36" s="249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</row>
    <row r="37" spans="1:26" x14ac:dyDescent="0.25">
      <c r="A37" s="250"/>
      <c r="B37" s="251"/>
      <c r="C37" s="251"/>
      <c r="D37" s="251"/>
      <c r="E37" s="251"/>
      <c r="F37" s="251"/>
      <c r="G37" s="25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</row>
    <row r="38" spans="1:26" x14ac:dyDescent="0.25">
      <c r="A38" s="253"/>
      <c r="B38" s="254"/>
      <c r="C38" s="254"/>
      <c r="D38" s="254"/>
      <c r="E38" s="254"/>
      <c r="F38" s="254"/>
      <c r="G38" s="255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</row>
    <row r="39" spans="1:26" x14ac:dyDescent="0.25"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</row>
    <row r="40" spans="1:26" x14ac:dyDescent="0.25">
      <c r="A40" s="28" t="s">
        <v>170</v>
      </c>
      <c r="B40" s="28" t="s">
        <v>171</v>
      </c>
      <c r="C40" s="28" t="s">
        <v>172</v>
      </c>
      <c r="D40" s="28" t="s">
        <v>173</v>
      </c>
      <c r="E40" s="28" t="s">
        <v>174</v>
      </c>
      <c r="F40" s="28" t="s">
        <v>161</v>
      </c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</row>
    <row r="41" spans="1:26" x14ac:dyDescent="0.25">
      <c r="A41" s="30">
        <v>0.15</v>
      </c>
      <c r="B41" s="30">
        <v>5.8999999999999997E-2</v>
      </c>
      <c r="C41" s="30">
        <v>0.01</v>
      </c>
      <c r="D41" s="30">
        <v>0.1</v>
      </c>
      <c r="E41" s="30">
        <f>A41-SQRT(((D41-C41)^2)-((D41-B41)^2))</f>
        <v>6.9881338004182808E-2</v>
      </c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</row>
    <row r="42" spans="1:26" x14ac:dyDescent="0.25">
      <c r="A42" s="2">
        <v>0.15</v>
      </c>
      <c r="B42" s="2">
        <v>5.8999999999999997E-2</v>
      </c>
      <c r="C42" s="2">
        <v>0.02</v>
      </c>
      <c r="D42" s="2">
        <v>0.15</v>
      </c>
      <c r="E42" s="2">
        <f t="shared" ref="E42:E43" si="1">A42-SQRT(((D42-C42)^2)-((D42-B42)^2))</f>
        <v>5.7161430428942936E-2</v>
      </c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</row>
    <row r="43" spans="1:26" x14ac:dyDescent="0.25">
      <c r="A43" s="31">
        <v>0.15</v>
      </c>
      <c r="B43" s="31">
        <v>5.8999999999999997E-2</v>
      </c>
      <c r="C43" s="31">
        <v>0.02</v>
      </c>
      <c r="D43" s="31">
        <v>0.2</v>
      </c>
      <c r="E43" s="31">
        <f t="shared" si="1"/>
        <v>3.8111662806170885E-2</v>
      </c>
      <c r="F43" s="27" t="s">
        <v>111</v>
      </c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</row>
    <row r="44" spans="1:26" x14ac:dyDescent="0.25">
      <c r="A44" s="2"/>
      <c r="B44" s="2"/>
      <c r="C44" s="2"/>
      <c r="D44" s="2"/>
      <c r="E44" s="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</row>
    <row r="45" spans="1:26" x14ac:dyDescent="0.25">
      <c r="A45" s="27">
        <v>0.15</v>
      </c>
      <c r="B45" s="27">
        <v>2.9000000000000001E-2</v>
      </c>
      <c r="C45" s="27">
        <v>0.01</v>
      </c>
      <c r="D45" s="27">
        <v>0.35</v>
      </c>
      <c r="E45" s="27">
        <f>A45-SQRT(((D45-C45)^2)-((D45-B45)^2))</f>
        <v>3.7933055721144887E-2</v>
      </c>
      <c r="F45" s="27" t="s">
        <v>118</v>
      </c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</row>
    <row r="46" spans="1:26" x14ac:dyDescent="0.25">
      <c r="A46" s="2"/>
      <c r="B46" s="2"/>
      <c r="C46" s="2"/>
      <c r="D46" s="2"/>
      <c r="E46" s="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</row>
    <row r="47" spans="1:26" x14ac:dyDescent="0.25">
      <c r="A47" s="27">
        <v>0.15</v>
      </c>
      <c r="B47" s="27">
        <v>3.9E-2</v>
      </c>
      <c r="C47" s="27">
        <v>0.01</v>
      </c>
      <c r="D47" s="27">
        <v>0.24</v>
      </c>
      <c r="E47" s="43">
        <f>A47-SQRT(((D47-C47)^2)-((D47-B47)^2))</f>
        <v>3.8201073350411827E-2</v>
      </c>
      <c r="F47" s="27" t="s">
        <v>119</v>
      </c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</row>
    <row r="48" spans="1:26" x14ac:dyDescent="0.25"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</row>
    <row r="49" spans="1:26" ht="15" customHeight="1" x14ac:dyDescent="0.25">
      <c r="A49" s="99"/>
      <c r="B49" s="99"/>
      <c r="C49" s="99"/>
      <c r="D49" s="99"/>
      <c r="E49" s="99"/>
      <c r="F49" s="99"/>
      <c r="G49" s="99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</row>
    <row r="50" spans="1:26" ht="15" customHeight="1" x14ac:dyDescent="0.25">
      <c r="A50" s="99"/>
      <c r="B50" s="99"/>
      <c r="C50" s="99"/>
      <c r="D50" s="99"/>
      <c r="E50" s="99"/>
      <c r="F50" s="99"/>
      <c r="G50" s="99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</row>
    <row r="51" spans="1:26" ht="15" customHeight="1" x14ac:dyDescent="0.25">
      <c r="A51" s="99"/>
      <c r="B51" s="99"/>
      <c r="C51" s="99"/>
      <c r="D51" s="99"/>
      <c r="E51" s="99"/>
      <c r="F51" s="99"/>
      <c r="G51" s="99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</row>
    <row r="52" spans="1:26" x14ac:dyDescent="0.25"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</row>
    <row r="53" spans="1:26" x14ac:dyDescent="0.25">
      <c r="I53" s="142"/>
      <c r="J53" s="142"/>
      <c r="K53" s="142"/>
      <c r="L53" s="142"/>
      <c r="M53" s="142"/>
      <c r="N53" s="142"/>
      <c r="O53" s="142"/>
      <c r="P53" s="142"/>
      <c r="Q53" s="2"/>
      <c r="R53" s="2"/>
      <c r="S53" s="2"/>
      <c r="T53" s="2"/>
      <c r="U53" s="2"/>
      <c r="V53" s="2"/>
      <c r="W53" s="2"/>
      <c r="X53" s="2"/>
      <c r="Y53" s="2"/>
      <c r="Z53" s="2"/>
    </row>
  </sheetData>
  <mergeCells count="8">
    <mergeCell ref="Q35:Z52"/>
    <mergeCell ref="Q34:Z34"/>
    <mergeCell ref="A1:G3"/>
    <mergeCell ref="A22:G24"/>
    <mergeCell ref="A36:G38"/>
    <mergeCell ref="I35:P53"/>
    <mergeCell ref="I34:P34"/>
    <mergeCell ref="A4:R1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70"/>
  <sheetViews>
    <sheetView zoomScale="85" zoomScaleNormal="85" workbookViewId="0">
      <selection activeCell="B48" sqref="B48:D51"/>
    </sheetView>
  </sheetViews>
  <sheetFormatPr defaultRowHeight="15" x14ac:dyDescent="0.25"/>
  <cols>
    <col min="2" max="2" width="10" customWidth="1"/>
    <col min="7" max="7" width="9.140625" customWidth="1"/>
    <col min="10" max="10" width="12.140625" customWidth="1"/>
    <col min="12" max="12" width="12" customWidth="1"/>
  </cols>
  <sheetData>
    <row r="1" spans="1:19" x14ac:dyDescent="0.25">
      <c r="A1" s="182" t="s">
        <v>88</v>
      </c>
      <c r="B1" s="183"/>
      <c r="C1" s="183"/>
      <c r="D1" s="183"/>
      <c r="E1" s="183"/>
      <c r="F1" s="184"/>
      <c r="G1" s="176"/>
      <c r="H1" s="142"/>
      <c r="I1" s="142"/>
      <c r="J1" s="142"/>
      <c r="K1" s="142"/>
      <c r="L1" s="142"/>
      <c r="M1" s="142"/>
      <c r="N1" s="142"/>
    </row>
    <row r="2" spans="1:19" x14ac:dyDescent="0.25">
      <c r="A2" s="185"/>
      <c r="B2" s="186"/>
      <c r="C2" s="186"/>
      <c r="D2" s="186"/>
      <c r="E2" s="186"/>
      <c r="F2" s="187"/>
      <c r="G2" s="176"/>
      <c r="H2" s="142"/>
      <c r="I2" s="142"/>
      <c r="J2" s="142"/>
      <c r="K2" s="142"/>
      <c r="L2" s="142"/>
      <c r="M2" s="142"/>
      <c r="N2" s="142"/>
      <c r="O2" s="45" t="s">
        <v>203</v>
      </c>
      <c r="P2" s="142" t="s">
        <v>204</v>
      </c>
      <c r="Q2" s="142"/>
      <c r="R2" s="142"/>
      <c r="S2" s="142"/>
    </row>
    <row r="3" spans="1:19" ht="15.75" thickBot="1" x14ac:dyDescent="0.3">
      <c r="A3" s="188"/>
      <c r="B3" s="189"/>
      <c r="C3" s="189"/>
      <c r="D3" s="189"/>
      <c r="E3" s="189"/>
      <c r="F3" s="190"/>
      <c r="G3" s="176"/>
      <c r="H3" s="142"/>
      <c r="I3" s="142"/>
      <c r="J3" s="142"/>
      <c r="K3" s="142"/>
      <c r="L3" s="142"/>
      <c r="M3" s="142"/>
      <c r="N3" s="142"/>
      <c r="O3" s="45" t="s">
        <v>207</v>
      </c>
      <c r="P3" s="142" t="s">
        <v>205</v>
      </c>
      <c r="Q3" s="142"/>
      <c r="R3" s="142"/>
      <c r="S3" s="142"/>
    </row>
    <row r="4" spans="1:19" x14ac:dyDescent="0.25">
      <c r="A4" s="257"/>
      <c r="B4" s="257"/>
      <c r="G4" s="142"/>
      <c r="H4" s="142"/>
      <c r="I4" s="142"/>
      <c r="J4" s="142"/>
      <c r="K4" s="142"/>
      <c r="L4" s="142"/>
      <c r="M4" s="142"/>
      <c r="N4" s="142"/>
      <c r="O4" s="45" t="s">
        <v>208</v>
      </c>
      <c r="P4" s="142" t="s">
        <v>206</v>
      </c>
      <c r="Q4" s="142"/>
      <c r="R4" s="142"/>
      <c r="S4" s="142"/>
    </row>
    <row r="5" spans="1:19" x14ac:dyDescent="0.25">
      <c r="A5" s="142"/>
      <c r="B5" s="142"/>
      <c r="C5" s="122" t="s">
        <v>91</v>
      </c>
      <c r="D5" s="28" t="s">
        <v>92</v>
      </c>
      <c r="G5" s="142"/>
      <c r="H5" s="142"/>
      <c r="I5" s="142"/>
      <c r="J5" s="142"/>
      <c r="K5" s="142"/>
      <c r="L5" s="142"/>
      <c r="M5" s="142"/>
      <c r="N5" s="142"/>
      <c r="P5" s="53"/>
    </row>
    <row r="6" spans="1:19" x14ac:dyDescent="0.25">
      <c r="A6" s="142"/>
      <c r="B6" s="142"/>
      <c r="C6" s="45">
        <v>0.5</v>
      </c>
      <c r="D6" s="2">
        <v>0.04</v>
      </c>
      <c r="G6" s="142"/>
      <c r="H6" s="142"/>
      <c r="I6" s="142"/>
      <c r="J6" s="142"/>
      <c r="K6" s="142"/>
      <c r="L6" s="142"/>
      <c r="M6" s="142"/>
      <c r="N6" s="142"/>
    </row>
    <row r="7" spans="1:19" x14ac:dyDescent="0.25">
      <c r="A7" s="142"/>
      <c r="B7" s="142"/>
      <c r="G7" s="142"/>
      <c r="H7" s="142"/>
      <c r="I7" s="142"/>
      <c r="J7" s="142"/>
      <c r="K7" s="142"/>
      <c r="L7" s="142"/>
      <c r="M7" s="142"/>
      <c r="N7" s="142"/>
    </row>
    <row r="8" spans="1:19" x14ac:dyDescent="0.25">
      <c r="A8" s="142"/>
      <c r="B8" s="142"/>
      <c r="C8" s="176" t="s">
        <v>108</v>
      </c>
      <c r="D8" s="142"/>
      <c r="E8" s="142"/>
      <c r="G8" s="142"/>
      <c r="H8" s="142"/>
      <c r="I8" s="142"/>
      <c r="J8" s="142"/>
      <c r="K8" s="142"/>
      <c r="L8" s="142"/>
      <c r="M8" s="142"/>
      <c r="N8" s="142"/>
    </row>
    <row r="9" spans="1:19" x14ac:dyDescent="0.25">
      <c r="G9" s="142"/>
      <c r="H9" s="142"/>
      <c r="I9" s="142"/>
      <c r="J9" s="142"/>
      <c r="K9" s="142"/>
      <c r="L9" s="142"/>
      <c r="M9" s="142"/>
      <c r="N9" s="142"/>
    </row>
    <row r="10" spans="1:19" x14ac:dyDescent="0.25">
      <c r="A10" s="241" t="s">
        <v>117</v>
      </c>
      <c r="B10" s="241"/>
      <c r="D10" s="241" t="s">
        <v>196</v>
      </c>
      <c r="E10" s="241"/>
      <c r="F10" s="260"/>
      <c r="G10" s="142"/>
      <c r="H10" s="142"/>
      <c r="I10" s="142"/>
      <c r="J10" s="142"/>
      <c r="K10" s="142"/>
      <c r="L10" s="142"/>
      <c r="M10" s="142"/>
      <c r="N10" s="142"/>
    </row>
    <row r="11" spans="1:19" x14ac:dyDescent="0.25">
      <c r="A11" s="156" t="s">
        <v>195</v>
      </c>
      <c r="B11" s="156"/>
      <c r="D11" s="156" t="s">
        <v>94</v>
      </c>
      <c r="E11" s="156"/>
      <c r="F11" s="177"/>
      <c r="G11" s="142"/>
      <c r="H11" s="142"/>
      <c r="I11" s="142"/>
      <c r="J11" s="142"/>
      <c r="K11" s="142"/>
      <c r="L11" s="142"/>
      <c r="M11" s="142"/>
      <c r="N11" s="142"/>
    </row>
    <row r="12" spans="1:19" x14ac:dyDescent="0.25">
      <c r="A12" s="156" t="s">
        <v>272</v>
      </c>
      <c r="B12" s="156"/>
      <c r="D12" s="156" t="s">
        <v>271</v>
      </c>
      <c r="E12" s="156"/>
      <c r="F12" s="177"/>
      <c r="G12" s="142"/>
      <c r="H12" s="142"/>
      <c r="I12" s="142"/>
      <c r="J12" s="142"/>
      <c r="K12" s="142"/>
      <c r="L12" s="142"/>
      <c r="M12" s="142"/>
      <c r="N12" s="142"/>
    </row>
    <row r="13" spans="1:19" x14ac:dyDescent="0.25">
      <c r="C13" s="52"/>
      <c r="D13" s="52"/>
    </row>
    <row r="14" spans="1:19" x14ac:dyDescent="0.25">
      <c r="A14" s="156" t="s">
        <v>290</v>
      </c>
      <c r="B14" s="156"/>
      <c r="C14" s="156"/>
      <c r="D14" s="156"/>
      <c r="E14" s="156"/>
      <c r="F14" s="156"/>
      <c r="G14" s="156"/>
      <c r="H14" s="156"/>
      <c r="I14" s="156"/>
      <c r="J14" s="156"/>
      <c r="L14" s="29" t="s">
        <v>210</v>
      </c>
      <c r="M14" s="50">
        <f>0.6*Fl</f>
        <v>0.54599999999999993</v>
      </c>
      <c r="N14" s="29" t="s">
        <v>51</v>
      </c>
    </row>
    <row r="15" spans="1:19" ht="15.75" thickBot="1" x14ac:dyDescent="0.3">
      <c r="L15" s="241" t="s">
        <v>211</v>
      </c>
      <c r="M15" s="241"/>
      <c r="N15" s="241"/>
    </row>
    <row r="16" spans="1:19" x14ac:dyDescent="0.25">
      <c r="A16" s="256" t="s">
        <v>93</v>
      </c>
      <c r="B16" s="261"/>
      <c r="C16" s="261"/>
      <c r="D16" s="261"/>
      <c r="E16" s="262"/>
    </row>
    <row r="17" spans="1:18" ht="15.75" thickBot="1" x14ac:dyDescent="0.3">
      <c r="A17" s="263"/>
      <c r="B17" s="264"/>
      <c r="C17" s="264"/>
      <c r="D17" s="264"/>
      <c r="E17" s="265"/>
    </row>
    <row r="18" spans="1:18" x14ac:dyDescent="0.25">
      <c r="N18" s="54"/>
      <c r="P18" s="54"/>
      <c r="Q18" s="54"/>
      <c r="R18" s="54"/>
    </row>
    <row r="20" spans="1:18" x14ac:dyDescent="0.25">
      <c r="A20" s="28" t="s">
        <v>55</v>
      </c>
      <c r="B20" s="28" t="s">
        <v>178</v>
      </c>
      <c r="C20" s="28" t="s">
        <v>175</v>
      </c>
      <c r="D20" s="28" t="s">
        <v>176</v>
      </c>
      <c r="E20" s="28" t="s">
        <v>194</v>
      </c>
      <c r="F20" s="28" t="s">
        <v>177</v>
      </c>
      <c r="H20" s="28" t="s">
        <v>49</v>
      </c>
      <c r="I20" s="28" t="s">
        <v>178</v>
      </c>
      <c r="J20" s="28" t="s">
        <v>179</v>
      </c>
      <c r="K20" s="28" t="s">
        <v>180</v>
      </c>
      <c r="M20" s="155" t="s">
        <v>221</v>
      </c>
      <c r="N20" s="155"/>
      <c r="O20" s="155"/>
    </row>
    <row r="21" spans="1:18" x14ac:dyDescent="0.25">
      <c r="A21" s="2">
        <f>15/100</f>
        <v>0.15</v>
      </c>
      <c r="B21" s="47">
        <f t="shared" ref="B21:B26" si="0">A21*Sw</f>
        <v>3.6214285714285713E-2</v>
      </c>
      <c r="C21" s="2">
        <v>0.5</v>
      </c>
      <c r="D21" s="47">
        <f t="shared" ref="D21:D26" si="1">Cw</f>
        <v>0.18571428571428572</v>
      </c>
      <c r="E21" s="47">
        <f t="shared" ref="E21:E26" si="2">Sw</f>
        <v>0.24142857142857144</v>
      </c>
      <c r="F21" s="47">
        <f>(C21*D21*E21)/B21</f>
        <v>0.61904761904761918</v>
      </c>
      <c r="H21" s="27">
        <v>3</v>
      </c>
      <c r="I21" s="48">
        <f t="shared" ref="I21:I25" si="3">Sht</f>
        <v>4.1042857142857145E-2</v>
      </c>
      <c r="J21" s="48">
        <f>SQRT(H21*I21)</f>
        <v>0.35089681022855057</v>
      </c>
      <c r="K21" s="48">
        <f t="shared" ref="K21:K25" si="4">J21/H21</f>
        <v>0.11696560340951685</v>
      </c>
      <c r="M21" s="64" t="s">
        <v>216</v>
      </c>
      <c r="N21" s="65">
        <f>Lht</f>
        <v>0.54621848739495804</v>
      </c>
      <c r="O21" s="64" t="s">
        <v>51</v>
      </c>
    </row>
    <row r="22" spans="1:18" x14ac:dyDescent="0.25">
      <c r="A22" s="27">
        <v>0.17</v>
      </c>
      <c r="B22" s="48">
        <f t="shared" si="0"/>
        <v>4.1042857142857145E-2</v>
      </c>
      <c r="C22" s="27">
        <v>0.5</v>
      </c>
      <c r="D22" s="48">
        <f t="shared" si="1"/>
        <v>0.18571428571428572</v>
      </c>
      <c r="E22" s="48">
        <f t="shared" si="2"/>
        <v>0.24142857142857144</v>
      </c>
      <c r="F22" s="48">
        <f>(C22*D22*E22)/B22</f>
        <v>0.54621848739495804</v>
      </c>
      <c r="H22" s="2">
        <v>3.5</v>
      </c>
      <c r="I22" s="47">
        <f t="shared" si="3"/>
        <v>4.1042857142857145E-2</v>
      </c>
      <c r="J22" s="47">
        <f>SQRT('Tail Sizing'!H22*'Tail Sizing'!I22)</f>
        <v>0.37901187316494456</v>
      </c>
      <c r="K22" s="47">
        <f t="shared" si="4"/>
        <v>0.10828910661855559</v>
      </c>
      <c r="M22" s="66" t="s">
        <v>217</v>
      </c>
      <c r="N22" s="65">
        <f>Sw</f>
        <v>0.24142857142857144</v>
      </c>
      <c r="O22" s="67" t="s">
        <v>48</v>
      </c>
      <c r="P22" s="54"/>
      <c r="Q22" s="54"/>
      <c r="R22" s="54"/>
    </row>
    <row r="23" spans="1:18" x14ac:dyDescent="0.25">
      <c r="A23" s="2">
        <f>18/100</f>
        <v>0.18</v>
      </c>
      <c r="B23" s="47">
        <f t="shared" si="0"/>
        <v>4.3457142857142854E-2</v>
      </c>
      <c r="C23" s="2">
        <v>0.5</v>
      </c>
      <c r="D23" s="47">
        <f t="shared" si="1"/>
        <v>0.18571428571428572</v>
      </c>
      <c r="E23" s="47">
        <f t="shared" si="2"/>
        <v>0.24142857142857144</v>
      </c>
      <c r="F23" s="47">
        <f t="shared" ref="F23:F26" si="5">(C23*D23*E23)/B23</f>
        <v>0.51587301587301593</v>
      </c>
      <c r="H23" s="2">
        <v>4</v>
      </c>
      <c r="I23" s="47">
        <f t="shared" si="3"/>
        <v>4.1042857142857145E-2</v>
      </c>
      <c r="J23" s="47">
        <f>SQRT('Tail Sizing'!H23*'Tail Sizing'!I23)</f>
        <v>0.4051807356864694</v>
      </c>
      <c r="K23" s="47">
        <f t="shared" si="4"/>
        <v>0.10129518392161735</v>
      </c>
      <c r="M23" s="68" t="s">
        <v>219</v>
      </c>
      <c r="N23" s="69">
        <f>Cht/4</f>
        <v>2.9241400852379213E-2</v>
      </c>
      <c r="O23" s="64" t="s">
        <v>51</v>
      </c>
      <c r="P23" s="54"/>
      <c r="Q23" s="54"/>
      <c r="R23" s="54"/>
    </row>
    <row r="24" spans="1:18" x14ac:dyDescent="0.25">
      <c r="A24" s="2">
        <f>21/100</f>
        <v>0.21</v>
      </c>
      <c r="B24" s="47">
        <f t="shared" si="0"/>
        <v>5.0700000000000002E-2</v>
      </c>
      <c r="C24" s="2">
        <v>0.5</v>
      </c>
      <c r="D24" s="47">
        <f t="shared" si="1"/>
        <v>0.18571428571428572</v>
      </c>
      <c r="E24" s="47">
        <f t="shared" si="2"/>
        <v>0.24142857142857144</v>
      </c>
      <c r="F24" s="47">
        <f t="shared" si="5"/>
        <v>0.44217687074829937</v>
      </c>
      <c r="H24" s="2">
        <v>4.5</v>
      </c>
      <c r="I24" s="47">
        <f t="shared" si="3"/>
        <v>4.1042857142857145E-2</v>
      </c>
      <c r="J24" s="47">
        <f>SQRT('Tail Sizing'!H24*'Tail Sizing'!I24)</f>
        <v>0.42975906871508501</v>
      </c>
      <c r="K24" s="47">
        <f t="shared" si="4"/>
        <v>9.5502015270018892E-2</v>
      </c>
      <c r="M24" s="70" t="s">
        <v>197</v>
      </c>
      <c r="N24" s="65">
        <f>Sht</f>
        <v>4.1042857142857145E-2</v>
      </c>
      <c r="O24" s="67" t="s">
        <v>48</v>
      </c>
    </row>
    <row r="25" spans="1:18" x14ac:dyDescent="0.25">
      <c r="A25" s="2">
        <f>23/100</f>
        <v>0.23</v>
      </c>
      <c r="B25" s="47">
        <f t="shared" si="0"/>
        <v>5.5528571428571434E-2</v>
      </c>
      <c r="C25" s="2">
        <v>0.5</v>
      </c>
      <c r="D25" s="47">
        <f t="shared" si="1"/>
        <v>0.18571428571428572</v>
      </c>
      <c r="E25" s="47">
        <f t="shared" si="2"/>
        <v>0.24142857142857144</v>
      </c>
      <c r="F25" s="47">
        <f t="shared" si="5"/>
        <v>0.40372670807453415</v>
      </c>
      <c r="H25" s="2">
        <v>5</v>
      </c>
      <c r="I25" s="47">
        <f t="shared" si="3"/>
        <v>4.1042857142857145E-2</v>
      </c>
      <c r="J25" s="47">
        <f>SQRT('Tail Sizing'!H25*'Tail Sizing'!I25)</f>
        <v>0.45300583408416029</v>
      </c>
      <c r="K25" s="47">
        <f t="shared" si="4"/>
        <v>9.0601166816832057E-2</v>
      </c>
    </row>
    <row r="26" spans="1:18" x14ac:dyDescent="0.25">
      <c r="A26" s="2">
        <f>25/100</f>
        <v>0.25</v>
      </c>
      <c r="B26" s="47">
        <f t="shared" si="0"/>
        <v>6.0357142857142859E-2</v>
      </c>
      <c r="C26" s="2">
        <v>0.5</v>
      </c>
      <c r="D26" s="47">
        <f t="shared" si="1"/>
        <v>0.18571428571428572</v>
      </c>
      <c r="E26" s="47">
        <f t="shared" si="2"/>
        <v>0.24142857142857144</v>
      </c>
      <c r="F26" s="47">
        <f t="shared" si="5"/>
        <v>0.37142857142857144</v>
      </c>
      <c r="I26" s="54"/>
      <c r="J26" s="54"/>
      <c r="K26" s="54"/>
    </row>
    <row r="27" spans="1:18" x14ac:dyDescent="0.25">
      <c r="B27" s="54"/>
      <c r="I27" s="54"/>
      <c r="J27" s="54"/>
      <c r="K27" s="54"/>
    </row>
    <row r="28" spans="1:18" ht="15.75" thickBot="1" x14ac:dyDescent="0.3">
      <c r="L28">
        <f>0.351/2</f>
        <v>0.17549999999999999</v>
      </c>
    </row>
    <row r="29" spans="1:18" x14ac:dyDescent="0.25">
      <c r="A29" s="256" t="s">
        <v>120</v>
      </c>
      <c r="B29" s="211"/>
      <c r="C29" s="211"/>
      <c r="D29" s="211"/>
      <c r="E29" s="212"/>
    </row>
    <row r="30" spans="1:18" ht="15.75" thickBot="1" x14ac:dyDescent="0.3">
      <c r="A30" s="216"/>
      <c r="B30" s="217"/>
      <c r="C30" s="217"/>
      <c r="D30" s="217"/>
      <c r="E30" s="218"/>
    </row>
    <row r="32" spans="1:18" x14ac:dyDescent="0.25">
      <c r="B32" s="59"/>
    </row>
    <row r="33" spans="1:21" x14ac:dyDescent="0.25">
      <c r="A33" s="28" t="s">
        <v>55</v>
      </c>
      <c r="B33" s="28" t="s">
        <v>193</v>
      </c>
      <c r="C33" s="28" t="s">
        <v>181</v>
      </c>
      <c r="D33" s="28" t="s">
        <v>182</v>
      </c>
      <c r="E33" s="28" t="s">
        <v>194</v>
      </c>
      <c r="F33" s="28" t="s">
        <v>183</v>
      </c>
      <c r="H33" s="28" t="s">
        <v>49</v>
      </c>
      <c r="I33" s="28" t="s">
        <v>193</v>
      </c>
      <c r="J33" s="28" t="s">
        <v>184</v>
      </c>
      <c r="K33" s="28" t="s">
        <v>185</v>
      </c>
      <c r="M33" s="155" t="s">
        <v>220</v>
      </c>
      <c r="N33" s="155"/>
      <c r="O33" s="155"/>
    </row>
    <row r="34" spans="1:21" x14ac:dyDescent="0.25">
      <c r="A34" s="2">
        <f>7/100</f>
        <v>7.0000000000000007E-2</v>
      </c>
      <c r="B34" s="47">
        <f t="shared" ref="B34:B42" si="6">A34*Sw</f>
        <v>1.6900000000000002E-2</v>
      </c>
      <c r="C34" s="2">
        <v>0.04</v>
      </c>
      <c r="D34" s="2">
        <f t="shared" ref="D34:D42" si="7">b</f>
        <v>1.3</v>
      </c>
      <c r="E34" s="47">
        <f t="shared" ref="E34:E42" si="8">Sw</f>
        <v>0.24142857142857144</v>
      </c>
      <c r="F34" s="47">
        <f>(C34*D34*E34)/B34</f>
        <v>0.74285714285714288</v>
      </c>
      <c r="H34" s="27">
        <v>3</v>
      </c>
      <c r="I34" s="48">
        <f t="shared" ref="I34:I42" si="9">Svt</f>
        <v>2.2935714285714288E-2</v>
      </c>
      <c r="J34" s="48">
        <f>SQRT('Tail Sizing'!H34*'Tail Sizing'!I34)</f>
        <v>0.26231115656247422</v>
      </c>
      <c r="K34" s="48">
        <f>J34/H34</f>
        <v>8.7437052187491413E-2</v>
      </c>
      <c r="M34" s="64" t="s">
        <v>216</v>
      </c>
      <c r="N34" s="65">
        <f>Lvt</f>
        <v>0.54736842105263162</v>
      </c>
      <c r="O34" s="64" t="s">
        <v>51</v>
      </c>
      <c r="Q34" s="241" t="s">
        <v>339</v>
      </c>
      <c r="R34" s="241"/>
    </row>
    <row r="35" spans="1:21" ht="15" customHeight="1" x14ac:dyDescent="0.25">
      <c r="A35" s="2">
        <f>7.4/100</f>
        <v>7.400000000000001E-2</v>
      </c>
      <c r="B35" s="47">
        <f t="shared" si="6"/>
        <v>1.786571428571429E-2</v>
      </c>
      <c r="C35" s="2">
        <v>0.04</v>
      </c>
      <c r="D35" s="2">
        <f t="shared" si="7"/>
        <v>1.3</v>
      </c>
      <c r="E35" s="47">
        <f t="shared" si="8"/>
        <v>0.24142857142857144</v>
      </c>
      <c r="F35" s="47">
        <f t="shared" ref="F35:F39" si="10">(C35*D35*E35)/B35</f>
        <v>0.70270270270270263</v>
      </c>
      <c r="H35" s="2">
        <v>3.5</v>
      </c>
      <c r="I35" s="47">
        <f t="shared" si="9"/>
        <v>2.2935714285714288E-2</v>
      </c>
      <c r="J35" s="47">
        <f>SQRT('Tail Sizing'!H35*I35)</f>
        <v>0.28332843133014379</v>
      </c>
      <c r="K35" s="47">
        <f>J35/H35</f>
        <v>8.0950980380041088E-2</v>
      </c>
      <c r="M35" s="66" t="s">
        <v>217</v>
      </c>
      <c r="N35" s="65">
        <f>Sw</f>
        <v>0.24142857142857144</v>
      </c>
      <c r="O35" s="67" t="s">
        <v>48</v>
      </c>
      <c r="Q35" s="28" t="s">
        <v>340</v>
      </c>
      <c r="R35" s="28" t="s">
        <v>341</v>
      </c>
      <c r="S35" s="28" t="s">
        <v>342</v>
      </c>
      <c r="T35" s="28" t="s">
        <v>343</v>
      </c>
      <c r="U35" s="28" t="s">
        <v>344</v>
      </c>
    </row>
    <row r="36" spans="1:21" x14ac:dyDescent="0.25">
      <c r="A36" s="2">
        <f>7.8/100</f>
        <v>7.8E-2</v>
      </c>
      <c r="B36" s="47">
        <f t="shared" si="6"/>
        <v>1.8831428571428572E-2</v>
      </c>
      <c r="C36" s="2">
        <v>0.04</v>
      </c>
      <c r="D36" s="2">
        <f t="shared" si="7"/>
        <v>1.3</v>
      </c>
      <c r="E36" s="47">
        <f t="shared" si="8"/>
        <v>0.24142857142857144</v>
      </c>
      <c r="F36" s="47">
        <f t="shared" si="10"/>
        <v>0.66666666666666674</v>
      </c>
      <c r="H36" s="2">
        <v>4</v>
      </c>
      <c r="I36" s="47">
        <f t="shared" si="9"/>
        <v>2.2935714285714288E-2</v>
      </c>
      <c r="J36" s="47">
        <f>SQRT('Tail Sizing'!H36*'Tail Sizing'!I36)</f>
        <v>0.30289083370557313</v>
      </c>
      <c r="K36" s="47">
        <f>J36/H36</f>
        <v>7.5722708426393281E-2</v>
      </c>
      <c r="M36" s="68" t="s">
        <v>219</v>
      </c>
      <c r="N36" s="69">
        <f>Cvt/4</f>
        <v>2.1859263046872853E-2</v>
      </c>
      <c r="O36" s="64" t="s">
        <v>51</v>
      </c>
      <c r="Q36" s="2">
        <f>Cvt</f>
        <v>8.7437052187491413E-2</v>
      </c>
      <c r="R36" s="2">
        <f>Q36/2</f>
        <v>4.3718526093745706E-2</v>
      </c>
      <c r="S36" s="2">
        <f>R36*3</f>
        <v>0.13115557828123711</v>
      </c>
      <c r="T36" s="2">
        <f>U36*S36</f>
        <v>1.3115557828123712E-2</v>
      </c>
      <c r="U36" s="2">
        <v>0.1</v>
      </c>
    </row>
    <row r="37" spans="1:21" x14ac:dyDescent="0.25">
      <c r="A37" s="2">
        <f>8.6/100</f>
        <v>8.5999999999999993E-2</v>
      </c>
      <c r="B37" s="47">
        <f t="shared" si="6"/>
        <v>2.0762857142857142E-2</v>
      </c>
      <c r="C37" s="2">
        <v>0.04</v>
      </c>
      <c r="D37" s="2">
        <f t="shared" si="7"/>
        <v>1.3</v>
      </c>
      <c r="E37" s="47">
        <f t="shared" si="8"/>
        <v>0.24142857142857144</v>
      </c>
      <c r="F37" s="47">
        <f t="shared" si="10"/>
        <v>0.60465116279069775</v>
      </c>
      <c r="H37" s="2">
        <v>4.5</v>
      </c>
      <c r="I37" s="47">
        <f t="shared" si="9"/>
        <v>2.2935714285714288E-2</v>
      </c>
      <c r="J37" s="47">
        <f>SQRT('Tail Sizing'!H37*'Tail Sizing'!I37)</f>
        <v>0.32126424370868645</v>
      </c>
      <c r="K37" s="47">
        <f>J37/H37</f>
        <v>7.1392054157485882E-2</v>
      </c>
      <c r="M37" s="70" t="s">
        <v>209</v>
      </c>
      <c r="N37" s="65">
        <f>Svt</f>
        <v>2.2935714285714288E-2</v>
      </c>
      <c r="O37" s="67" t="s">
        <v>48</v>
      </c>
      <c r="Q37" s="2">
        <f>Cvt</f>
        <v>8.7437052187491413E-2</v>
      </c>
      <c r="R37" s="2">
        <f t="shared" ref="R37:R40" si="11">Q37/2</f>
        <v>4.3718526093745706E-2</v>
      </c>
      <c r="S37" s="2">
        <f t="shared" ref="S37:S40" si="12">R37*3</f>
        <v>0.13115557828123711</v>
      </c>
      <c r="T37" s="2">
        <f t="shared" ref="T37:T39" si="13">U37*S37</f>
        <v>2.6231115656247424E-2</v>
      </c>
      <c r="U37" s="2">
        <v>0.2</v>
      </c>
    </row>
    <row r="38" spans="1:21" x14ac:dyDescent="0.25">
      <c r="A38" s="27">
        <f>9.5/100</f>
        <v>9.5000000000000001E-2</v>
      </c>
      <c r="B38" s="48">
        <f t="shared" si="6"/>
        <v>2.2935714285714288E-2</v>
      </c>
      <c r="C38" s="27">
        <v>0.04</v>
      </c>
      <c r="D38" s="27">
        <f t="shared" si="7"/>
        <v>1.3</v>
      </c>
      <c r="E38" s="48">
        <f t="shared" si="8"/>
        <v>0.24142857142857144</v>
      </c>
      <c r="F38" s="48">
        <f t="shared" si="10"/>
        <v>0.54736842105263162</v>
      </c>
      <c r="H38" s="2">
        <v>5</v>
      </c>
      <c r="I38" s="47">
        <f t="shared" si="9"/>
        <v>2.2935714285714288E-2</v>
      </c>
      <c r="J38" s="47">
        <f>SQRT('Tail Sizing'!H38*'Tail Sizing'!I38)</f>
        <v>0.33864224696362299</v>
      </c>
      <c r="K38" s="47">
        <f t="shared" ref="K38" si="14">J38/H38</f>
        <v>6.7728449392724599E-2</v>
      </c>
      <c r="M38" s="61"/>
      <c r="Q38" s="27">
        <f>S43</f>
        <v>0.16382653061224489</v>
      </c>
      <c r="R38" s="27">
        <f t="shared" si="11"/>
        <v>8.1913265306122446E-2</v>
      </c>
      <c r="S38" s="27">
        <f t="shared" si="12"/>
        <v>0.24573979591836734</v>
      </c>
      <c r="T38" s="27">
        <f t="shared" si="13"/>
        <v>7.3721938775510198E-2</v>
      </c>
      <c r="U38" s="27">
        <v>0.3</v>
      </c>
    </row>
    <row r="39" spans="1:21" x14ac:dyDescent="0.25">
      <c r="A39" s="44">
        <f>9.6/100</f>
        <v>9.6000000000000002E-2</v>
      </c>
      <c r="B39" s="47">
        <f t="shared" si="6"/>
        <v>2.3177142857142858E-2</v>
      </c>
      <c r="C39" s="44">
        <v>0.04</v>
      </c>
      <c r="D39" s="44">
        <f t="shared" si="7"/>
        <v>1.3</v>
      </c>
      <c r="E39" s="51">
        <f t="shared" si="8"/>
        <v>0.24142857142857144</v>
      </c>
      <c r="F39" s="51">
        <f t="shared" si="10"/>
        <v>0.54166666666666674</v>
      </c>
      <c r="H39" s="2">
        <v>2</v>
      </c>
      <c r="I39" s="47">
        <f t="shared" si="9"/>
        <v>2.2935714285714288E-2</v>
      </c>
      <c r="J39" s="47">
        <f>SQRT('Tail Sizing'!H39*'Tail Sizing'!I39)</f>
        <v>0.21417616247245766</v>
      </c>
      <c r="K39" s="47">
        <f t="shared" ref="K39:K40" si="15">J39/H39</f>
        <v>0.10708808123622883</v>
      </c>
      <c r="Q39" s="2">
        <f>Cvt</f>
        <v>8.7437052187491413E-2</v>
      </c>
      <c r="R39" s="2">
        <f t="shared" si="11"/>
        <v>4.3718526093745706E-2</v>
      </c>
      <c r="S39" s="2">
        <f t="shared" si="12"/>
        <v>0.13115557828123711</v>
      </c>
      <c r="T39" s="2">
        <f t="shared" si="13"/>
        <v>6.5577789140618556E-2</v>
      </c>
      <c r="U39" s="2">
        <v>0.5</v>
      </c>
    </row>
    <row r="40" spans="1:21" x14ac:dyDescent="0.25">
      <c r="A40" s="44">
        <f>10/100</f>
        <v>0.1</v>
      </c>
      <c r="B40" s="47">
        <f t="shared" si="6"/>
        <v>2.4142857142857146E-2</v>
      </c>
      <c r="C40" s="44">
        <v>1.04</v>
      </c>
      <c r="D40" s="44">
        <f t="shared" si="7"/>
        <v>1.3</v>
      </c>
      <c r="E40" s="51">
        <f t="shared" si="8"/>
        <v>0.24142857142857144</v>
      </c>
      <c r="F40" s="51">
        <f t="shared" ref="F40" si="16">(C40*D40*E40)/B40</f>
        <v>13.52</v>
      </c>
      <c r="H40" s="2">
        <v>2.5</v>
      </c>
      <c r="I40" s="47">
        <f t="shared" si="9"/>
        <v>2.2935714285714288E-2</v>
      </c>
      <c r="J40" s="47">
        <f>SQRT('Tail Sizing'!H40*'Tail Sizing'!I40)</f>
        <v>0.23945622922422735</v>
      </c>
      <c r="K40" s="47">
        <f t="shared" si="15"/>
        <v>9.5782491689690941E-2</v>
      </c>
      <c r="Q40" s="2">
        <f>Cvt</f>
        <v>8.7437052187491413E-2</v>
      </c>
      <c r="R40" s="2">
        <f t="shared" si="11"/>
        <v>4.3718526093745706E-2</v>
      </c>
      <c r="S40" s="2">
        <f t="shared" si="12"/>
        <v>0.13115557828123711</v>
      </c>
      <c r="T40" s="2">
        <f>U40*S40</f>
        <v>9.1808904796865973E-2</v>
      </c>
      <c r="U40" s="2">
        <v>0.7</v>
      </c>
    </row>
    <row r="41" spans="1:21" x14ac:dyDescent="0.25">
      <c r="A41" s="44">
        <f>11/100</f>
        <v>0.11</v>
      </c>
      <c r="B41" s="47">
        <f t="shared" si="6"/>
        <v>2.6557142857142859E-2</v>
      </c>
      <c r="C41" s="44">
        <v>2.04</v>
      </c>
      <c r="D41" s="44">
        <f t="shared" si="7"/>
        <v>1.3</v>
      </c>
      <c r="E41" s="51">
        <f t="shared" si="8"/>
        <v>0.24142857142857144</v>
      </c>
      <c r="F41" s="51">
        <f t="shared" ref="F41:F42" si="17">(C41*D41*E41)/B41</f>
        <v>24.109090909090909</v>
      </c>
      <c r="H41" s="2">
        <v>8</v>
      </c>
      <c r="I41" s="47">
        <f t="shared" si="9"/>
        <v>2.2935714285714288E-2</v>
      </c>
      <c r="J41" s="47">
        <f>SQRT('Tail Sizing'!H41*'Tail Sizing'!I41)</f>
        <v>0.42835232494491532</v>
      </c>
      <c r="K41" s="47">
        <f t="shared" ref="K41:K42" si="18">J41/H41</f>
        <v>5.3544040618114415E-2</v>
      </c>
    </row>
    <row r="42" spans="1:21" x14ac:dyDescent="0.25">
      <c r="A42" s="44">
        <f>12/100</f>
        <v>0.12</v>
      </c>
      <c r="B42" s="47">
        <f t="shared" si="6"/>
        <v>2.8971428571428572E-2</v>
      </c>
      <c r="C42" s="44">
        <v>3.04</v>
      </c>
      <c r="D42" s="44">
        <f t="shared" si="7"/>
        <v>1.3</v>
      </c>
      <c r="E42" s="51">
        <f t="shared" si="8"/>
        <v>0.24142857142857144</v>
      </c>
      <c r="F42" s="51">
        <f t="shared" si="17"/>
        <v>32.933333333333337</v>
      </c>
      <c r="H42" s="2">
        <v>9</v>
      </c>
      <c r="I42" s="47">
        <f t="shared" si="9"/>
        <v>2.2935714285714288E-2</v>
      </c>
      <c r="J42" s="47">
        <f>SQRT('Tail Sizing'!H42*'Tail Sizing'!I42)</f>
        <v>0.45433625055835969</v>
      </c>
      <c r="K42" s="47">
        <f t="shared" si="18"/>
        <v>5.0481805617595521E-2</v>
      </c>
      <c r="Q42" t="s">
        <v>209</v>
      </c>
      <c r="R42" t="s">
        <v>345</v>
      </c>
      <c r="S42" t="s">
        <v>346</v>
      </c>
      <c r="T42" t="s">
        <v>344</v>
      </c>
    </row>
    <row r="43" spans="1:21" ht="15.75" thickBot="1" x14ac:dyDescent="0.3">
      <c r="J43" s="54"/>
      <c r="M43" s="54"/>
      <c r="N43" s="54"/>
      <c r="Q43" s="54">
        <f>Svt</f>
        <v>2.2935714285714288E-2</v>
      </c>
      <c r="R43">
        <v>0.14000000000000001</v>
      </c>
      <c r="S43">
        <f>Q43/R43</f>
        <v>0.16382653061224489</v>
      </c>
      <c r="T43">
        <v>3.4</v>
      </c>
    </row>
    <row r="44" spans="1:21" x14ac:dyDescent="0.25">
      <c r="A44" s="256" t="s">
        <v>289</v>
      </c>
      <c r="B44" s="211"/>
      <c r="C44" s="211"/>
      <c r="D44" s="211"/>
      <c r="E44" s="212"/>
      <c r="J44" s="54"/>
      <c r="M44" s="54" t="s">
        <v>269</v>
      </c>
      <c r="N44" s="54">
        <v>0.14000000000000001</v>
      </c>
    </row>
    <row r="45" spans="1:21" ht="15.75" thickBot="1" x14ac:dyDescent="0.3">
      <c r="A45" s="216"/>
      <c r="B45" s="217"/>
      <c r="C45" s="217"/>
      <c r="D45" s="217"/>
      <c r="E45" s="218"/>
      <c r="J45" s="54"/>
      <c r="M45" s="54"/>
      <c r="N45" s="54"/>
    </row>
    <row r="46" spans="1:21" x14ac:dyDescent="0.25">
      <c r="H46" s="203" t="s">
        <v>408</v>
      </c>
      <c r="I46" s="203"/>
      <c r="J46" s="203"/>
      <c r="M46" s="54"/>
      <c r="N46" s="54"/>
    </row>
    <row r="47" spans="1:21" x14ac:dyDescent="0.25">
      <c r="A47" s="156" t="s">
        <v>365</v>
      </c>
      <c r="B47" s="156"/>
      <c r="C47" s="156"/>
      <c r="D47" s="156"/>
      <c r="E47" s="156"/>
      <c r="H47" s="203"/>
      <c r="I47" s="203"/>
      <c r="J47" s="203"/>
      <c r="M47" s="54"/>
      <c r="N47" s="54"/>
    </row>
    <row r="48" spans="1:21" x14ac:dyDescent="0.25">
      <c r="B48" s="142"/>
      <c r="C48" s="142"/>
      <c r="D48" s="142"/>
      <c r="I48" s="61"/>
      <c r="J48" s="54"/>
      <c r="K48" s="61"/>
      <c r="L48" s="61"/>
      <c r="M48" s="84"/>
      <c r="N48" s="84"/>
    </row>
    <row r="49" spans="1:6" x14ac:dyDescent="0.25">
      <c r="B49" s="142"/>
      <c r="C49" s="142"/>
      <c r="D49" s="142"/>
    </row>
    <row r="50" spans="1:6" x14ac:dyDescent="0.25">
      <c r="B50" s="142"/>
      <c r="C50" s="142"/>
      <c r="D50" s="142"/>
    </row>
    <row r="51" spans="1:6" x14ac:dyDescent="0.25">
      <c r="B51" s="142"/>
      <c r="C51" s="142"/>
      <c r="D51" s="142"/>
    </row>
    <row r="53" spans="1:6" x14ac:dyDescent="0.25">
      <c r="A53" s="28" t="s">
        <v>184</v>
      </c>
      <c r="B53" s="28" t="s">
        <v>366</v>
      </c>
      <c r="C53" s="28" t="s">
        <v>179</v>
      </c>
      <c r="D53" s="28" t="s">
        <v>368</v>
      </c>
      <c r="E53" s="155" t="s">
        <v>367</v>
      </c>
      <c r="F53" s="155"/>
    </row>
    <row r="54" spans="1:6" x14ac:dyDescent="0.25">
      <c r="A54" s="47">
        <f>bvt</f>
        <v>0.26231115656247422</v>
      </c>
      <c r="B54" s="48">
        <f>(bvt/2)</f>
        <v>0.13115557828123711</v>
      </c>
      <c r="C54" s="47">
        <f>bht</f>
        <v>0.35089681022855057</v>
      </c>
      <c r="D54" s="47">
        <f>bht/2</f>
        <v>0.17544840511427529</v>
      </c>
      <c r="E54" s="266">
        <f>D54/2</f>
        <v>8.7724202557137643E-2</v>
      </c>
      <c r="F54" s="266"/>
    </row>
    <row r="59" spans="1:6" x14ac:dyDescent="0.25">
      <c r="A59" s="258"/>
      <c r="B59" s="259"/>
      <c r="C59" s="259"/>
      <c r="D59" s="259"/>
      <c r="E59" s="259"/>
    </row>
    <row r="60" spans="1:6" x14ac:dyDescent="0.25">
      <c r="A60" s="259"/>
      <c r="B60" s="259"/>
      <c r="C60" s="259"/>
      <c r="D60" s="259"/>
      <c r="E60" s="259"/>
    </row>
    <row r="67" spans="1:10" x14ac:dyDescent="0.25">
      <c r="A67" s="61"/>
      <c r="B67" s="61"/>
      <c r="C67" s="61"/>
      <c r="D67" s="61"/>
      <c r="E67" s="61"/>
      <c r="F67" s="61"/>
    </row>
    <row r="70" spans="1:10" x14ac:dyDescent="0.25">
      <c r="J70" s="60"/>
    </row>
  </sheetData>
  <mergeCells count="27">
    <mergeCell ref="A59:E60"/>
    <mergeCell ref="A10:B10"/>
    <mergeCell ref="A11:B11"/>
    <mergeCell ref="A12:B12"/>
    <mergeCell ref="D10:F10"/>
    <mergeCell ref="A16:E17"/>
    <mergeCell ref="A44:E45"/>
    <mergeCell ref="B48:D51"/>
    <mergeCell ref="A47:E47"/>
    <mergeCell ref="E53:F53"/>
    <mergeCell ref="E54:F54"/>
    <mergeCell ref="H46:J47"/>
    <mergeCell ref="P2:S2"/>
    <mergeCell ref="A14:J14"/>
    <mergeCell ref="L15:N15"/>
    <mergeCell ref="D12:F12"/>
    <mergeCell ref="D11:F11"/>
    <mergeCell ref="A29:E30"/>
    <mergeCell ref="P3:S3"/>
    <mergeCell ref="P4:S4"/>
    <mergeCell ref="C8:E8"/>
    <mergeCell ref="M20:O20"/>
    <mergeCell ref="Q34:R34"/>
    <mergeCell ref="M33:O33"/>
    <mergeCell ref="G1:N12"/>
    <mergeCell ref="A4:B8"/>
    <mergeCell ref="A1:F3"/>
  </mergeCells>
  <pageMargins left="0.7" right="0.7" top="0.75" bottom="0.75" header="0.3" footer="0.3"/>
  <pageSetup orientation="portrait" horizontalDpi="300" verticalDpi="300" r:id="rId1"/>
  <ignoredErrors>
    <ignoredError sqref="B54" formula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"/>
  <sheetViews>
    <sheetView topLeftCell="A19" zoomScaleNormal="100" workbookViewId="0">
      <selection activeCell="G33" sqref="G33"/>
    </sheetView>
  </sheetViews>
  <sheetFormatPr defaultRowHeight="15" x14ac:dyDescent="0.25"/>
  <cols>
    <col min="2" max="2" width="14" customWidth="1"/>
    <col min="3" max="3" width="11.7109375" customWidth="1"/>
    <col min="6" max="6" width="8.28515625" customWidth="1"/>
    <col min="7" max="7" width="11.5703125" customWidth="1"/>
    <col min="8" max="8" width="10.85546875" customWidth="1"/>
    <col min="10" max="10" width="11.42578125" customWidth="1"/>
  </cols>
  <sheetData>
    <row r="1" spans="1:10" x14ac:dyDescent="0.25">
      <c r="A1" s="182" t="s">
        <v>95</v>
      </c>
      <c r="B1" s="183"/>
      <c r="C1" s="183"/>
      <c r="D1" s="183"/>
      <c r="E1" s="183"/>
      <c r="F1" s="183"/>
      <c r="G1" s="184"/>
    </row>
    <row r="2" spans="1:10" x14ac:dyDescent="0.25">
      <c r="A2" s="185"/>
      <c r="B2" s="186"/>
      <c r="C2" s="186"/>
      <c r="D2" s="186"/>
      <c r="E2" s="186"/>
      <c r="F2" s="186"/>
      <c r="G2" s="187"/>
    </row>
    <row r="3" spans="1:10" ht="15.75" thickBot="1" x14ac:dyDescent="0.3">
      <c r="A3" s="188"/>
      <c r="B3" s="189"/>
      <c r="C3" s="189"/>
      <c r="D3" s="189"/>
      <c r="E3" s="189"/>
      <c r="F3" s="189"/>
      <c r="G3" s="190"/>
    </row>
    <row r="4" spans="1:10" ht="15.75" thickBot="1" x14ac:dyDescent="0.3"/>
    <row r="5" spans="1:10" x14ac:dyDescent="0.25">
      <c r="A5" s="256" t="s">
        <v>98</v>
      </c>
      <c r="B5" s="211"/>
      <c r="C5" s="211"/>
      <c r="D5" s="212"/>
    </row>
    <row r="6" spans="1:10" ht="15.75" thickBot="1" x14ac:dyDescent="0.3">
      <c r="A6" s="216"/>
      <c r="B6" s="217"/>
      <c r="C6" s="217"/>
      <c r="D6" s="218"/>
    </row>
    <row r="8" spans="1:10" x14ac:dyDescent="0.25">
      <c r="A8" s="156" t="s">
        <v>97</v>
      </c>
      <c r="B8" s="156"/>
      <c r="C8" s="156"/>
      <c r="D8" s="156"/>
      <c r="E8" s="156"/>
    </row>
    <row r="9" spans="1:10" x14ac:dyDescent="0.25">
      <c r="A9" s="156" t="s">
        <v>96</v>
      </c>
      <c r="B9" s="156"/>
      <c r="C9" s="156"/>
      <c r="D9" s="156"/>
      <c r="E9" s="156"/>
    </row>
    <row r="11" spans="1:10" x14ac:dyDescent="0.25">
      <c r="A11" s="28" t="s">
        <v>55</v>
      </c>
      <c r="B11" s="28" t="s">
        <v>186</v>
      </c>
      <c r="C11" s="155" t="s">
        <v>187</v>
      </c>
      <c r="D11" s="155"/>
      <c r="F11" s="28" t="s">
        <v>55</v>
      </c>
      <c r="G11" s="155" t="s">
        <v>188</v>
      </c>
      <c r="H11" s="155"/>
      <c r="I11" s="155" t="s">
        <v>189</v>
      </c>
      <c r="J11" s="155"/>
    </row>
    <row r="12" spans="1:10" x14ac:dyDescent="0.25">
      <c r="A12" s="2">
        <f>50/100</f>
        <v>0.5</v>
      </c>
      <c r="B12" s="2">
        <f t="shared" ref="B12:B20" si="0">b</f>
        <v>1.3</v>
      </c>
      <c r="C12" s="142">
        <f>A12*B12</f>
        <v>0.65</v>
      </c>
      <c r="D12" s="142"/>
      <c r="F12" s="37">
        <f>15/100</f>
        <v>0.15</v>
      </c>
      <c r="G12" s="179">
        <f>Cw</f>
        <v>0.18571428571428572</v>
      </c>
      <c r="H12" s="179"/>
      <c r="I12" s="179">
        <f>F12*G12</f>
        <v>2.7857142857142858E-2</v>
      </c>
      <c r="J12" s="179"/>
    </row>
    <row r="13" spans="1:10" x14ac:dyDescent="0.25">
      <c r="A13" s="2">
        <f>55/100</f>
        <v>0.55000000000000004</v>
      </c>
      <c r="B13" s="2">
        <f t="shared" si="0"/>
        <v>1.3</v>
      </c>
      <c r="C13" s="142">
        <f t="shared" ref="C13:C20" si="1">A13*B13</f>
        <v>0.71500000000000008</v>
      </c>
      <c r="D13" s="142"/>
      <c r="F13" s="37">
        <f>18/100</f>
        <v>0.18</v>
      </c>
      <c r="G13" s="179">
        <f>Cw</f>
        <v>0.18571428571428572</v>
      </c>
      <c r="H13" s="179"/>
      <c r="I13" s="179">
        <f>F13*G13</f>
        <v>3.3428571428571426E-2</v>
      </c>
      <c r="J13" s="179"/>
    </row>
    <row r="14" spans="1:10" x14ac:dyDescent="0.25">
      <c r="A14" s="2">
        <f>60/100</f>
        <v>0.6</v>
      </c>
      <c r="B14" s="2">
        <f t="shared" si="0"/>
        <v>1.3</v>
      </c>
      <c r="C14" s="142">
        <f t="shared" si="1"/>
        <v>0.78</v>
      </c>
      <c r="D14" s="142"/>
      <c r="F14" s="37">
        <f>21/100</f>
        <v>0.21</v>
      </c>
      <c r="G14" s="179">
        <f>Cw</f>
        <v>0.18571428571428572</v>
      </c>
      <c r="H14" s="179"/>
      <c r="I14" s="179">
        <f>F14*G14</f>
        <v>3.9E-2</v>
      </c>
      <c r="J14" s="179"/>
    </row>
    <row r="15" spans="1:10" x14ac:dyDescent="0.25">
      <c r="A15" s="2">
        <f>65/100</f>
        <v>0.65</v>
      </c>
      <c r="B15" s="2">
        <f t="shared" si="0"/>
        <v>1.3</v>
      </c>
      <c r="C15" s="142">
        <f t="shared" si="1"/>
        <v>0.84500000000000008</v>
      </c>
      <c r="D15" s="142"/>
      <c r="F15" s="37">
        <f>24/100</f>
        <v>0.24</v>
      </c>
      <c r="G15" s="179">
        <f>Cw</f>
        <v>0.18571428571428572</v>
      </c>
      <c r="H15" s="179"/>
      <c r="I15" s="179">
        <f>F15*G15</f>
        <v>4.4571428571428574E-2</v>
      </c>
      <c r="J15" s="179"/>
    </row>
    <row r="16" spans="1:10" x14ac:dyDescent="0.25">
      <c r="A16" s="2">
        <f>70/100</f>
        <v>0.7</v>
      </c>
      <c r="B16" s="2">
        <f t="shared" si="0"/>
        <v>1.3</v>
      </c>
      <c r="C16" s="142">
        <f t="shared" si="1"/>
        <v>0.90999999999999992</v>
      </c>
      <c r="D16" s="142"/>
      <c r="F16" s="71">
        <f>25/100</f>
        <v>0.25</v>
      </c>
      <c r="G16" s="266">
        <f>Cw</f>
        <v>0.18571428571428572</v>
      </c>
      <c r="H16" s="266"/>
      <c r="I16" s="266">
        <f>F16*G16</f>
        <v>4.642857142857143E-2</v>
      </c>
      <c r="J16" s="266"/>
    </row>
    <row r="17" spans="1:9" x14ac:dyDescent="0.25">
      <c r="A17" s="2">
        <f>75/100</f>
        <v>0.75</v>
      </c>
      <c r="B17" s="2">
        <f t="shared" si="0"/>
        <v>1.3</v>
      </c>
      <c r="C17" s="142">
        <f t="shared" si="1"/>
        <v>0.97500000000000009</v>
      </c>
      <c r="D17" s="142"/>
    </row>
    <row r="18" spans="1:9" x14ac:dyDescent="0.25">
      <c r="A18" s="27">
        <f>80/100</f>
        <v>0.8</v>
      </c>
      <c r="B18" s="27">
        <f t="shared" si="0"/>
        <v>1.3</v>
      </c>
      <c r="C18" s="180">
        <f t="shared" si="1"/>
        <v>1.04</v>
      </c>
      <c r="D18" s="180"/>
    </row>
    <row r="19" spans="1:9" x14ac:dyDescent="0.25">
      <c r="A19" s="2">
        <f>85/100</f>
        <v>0.85</v>
      </c>
      <c r="B19" s="2">
        <f t="shared" si="0"/>
        <v>1.3</v>
      </c>
      <c r="C19" s="142">
        <f t="shared" si="1"/>
        <v>1.105</v>
      </c>
      <c r="D19" s="142"/>
    </row>
    <row r="20" spans="1:9" x14ac:dyDescent="0.25">
      <c r="A20" s="2">
        <f>90/100</f>
        <v>0.9</v>
      </c>
      <c r="B20" s="2">
        <f t="shared" si="0"/>
        <v>1.3</v>
      </c>
      <c r="C20" s="142">
        <f t="shared" si="1"/>
        <v>1.1700000000000002</v>
      </c>
      <c r="D20" s="142"/>
    </row>
    <row r="22" spans="1:9" ht="15.75" thickBot="1" x14ac:dyDescent="0.3"/>
    <row r="23" spans="1:9" ht="15" customHeight="1" x14ac:dyDescent="0.25">
      <c r="A23" s="256" t="s">
        <v>101</v>
      </c>
      <c r="B23" s="261"/>
      <c r="C23" s="261"/>
      <c r="D23" s="261"/>
      <c r="E23" s="262"/>
    </row>
    <row r="24" spans="1:9" ht="15.75" thickBot="1" x14ac:dyDescent="0.3">
      <c r="A24" s="263"/>
      <c r="B24" s="264"/>
      <c r="C24" s="264"/>
      <c r="D24" s="264"/>
      <c r="E24" s="265"/>
    </row>
    <row r="26" spans="1:9" x14ac:dyDescent="0.25">
      <c r="A26" s="177" t="s">
        <v>102</v>
      </c>
      <c r="B26" s="209"/>
      <c r="C26" s="209"/>
      <c r="D26" s="209"/>
      <c r="E26" s="178"/>
    </row>
    <row r="28" spans="1:9" ht="15" customHeight="1" x14ac:dyDescent="0.25">
      <c r="A28" s="273" t="s">
        <v>100</v>
      </c>
      <c r="B28" s="274"/>
      <c r="C28" s="274"/>
      <c r="F28" s="267" t="s">
        <v>99</v>
      </c>
      <c r="G28" s="268"/>
      <c r="H28" s="269"/>
    </row>
    <row r="29" spans="1:9" ht="15" customHeight="1" x14ac:dyDescent="0.25">
      <c r="A29" s="274"/>
      <c r="B29" s="274"/>
      <c r="C29" s="274"/>
      <c r="D29" s="2" t="s">
        <v>213</v>
      </c>
      <c r="F29" s="270"/>
      <c r="G29" s="271"/>
      <c r="H29" s="272"/>
      <c r="I29" s="2" t="s">
        <v>213</v>
      </c>
    </row>
    <row r="30" spans="1:9" x14ac:dyDescent="0.25">
      <c r="A30" s="28" t="s">
        <v>55</v>
      </c>
      <c r="B30" s="28" t="s">
        <v>180</v>
      </c>
      <c r="C30" s="28" t="s">
        <v>190</v>
      </c>
      <c r="D30" s="28" t="s">
        <v>214</v>
      </c>
      <c r="F30" s="28" t="s">
        <v>55</v>
      </c>
      <c r="G30" s="28" t="s">
        <v>185</v>
      </c>
      <c r="H30" s="28" t="s">
        <v>191</v>
      </c>
      <c r="I30" s="28" t="s">
        <v>215</v>
      </c>
    </row>
    <row r="31" spans="1:9" x14ac:dyDescent="0.25">
      <c r="A31" s="2">
        <f>25/100</f>
        <v>0.25</v>
      </c>
      <c r="B31" s="47">
        <f t="shared" ref="B31:B36" si="2">Cht</f>
        <v>0.11696560340951685</v>
      </c>
      <c r="C31" s="47">
        <f>A31*B31</f>
        <v>2.9241400852379213E-2</v>
      </c>
      <c r="D31" s="47">
        <f>B31-C31</f>
        <v>8.7724202557137643E-2</v>
      </c>
      <c r="F31" s="2">
        <f>25/100</f>
        <v>0.25</v>
      </c>
      <c r="G31" s="47">
        <f t="shared" ref="G31:G36" si="3">Cvt</f>
        <v>8.7437052187491413E-2</v>
      </c>
      <c r="H31" s="47">
        <f>F31*G31</f>
        <v>2.1859263046872853E-2</v>
      </c>
      <c r="I31" s="47">
        <f>G31-H31</f>
        <v>6.5577789140618556E-2</v>
      </c>
    </row>
    <row r="32" spans="1:9" x14ac:dyDescent="0.25">
      <c r="A32" s="2">
        <f>30/100</f>
        <v>0.3</v>
      </c>
      <c r="B32" s="47">
        <f t="shared" si="2"/>
        <v>0.11696560340951685</v>
      </c>
      <c r="C32" s="47">
        <f t="shared" ref="C32:C36" si="4">A32*B32</f>
        <v>3.5089681022855056E-2</v>
      </c>
      <c r="D32" s="47">
        <f t="shared" ref="D32:D36" si="5">B32-C32</f>
        <v>8.1875922386661804E-2</v>
      </c>
      <c r="F32" s="2">
        <f>30/100</f>
        <v>0.3</v>
      </c>
      <c r="G32" s="47">
        <f t="shared" si="3"/>
        <v>8.7437052187491413E-2</v>
      </c>
      <c r="H32" s="47">
        <f t="shared" ref="H32:H36" si="6">F32*G32</f>
        <v>2.6231115656247424E-2</v>
      </c>
      <c r="I32" s="47">
        <f t="shared" ref="I32:I36" si="7">G32-H32</f>
        <v>6.1205936531243989E-2</v>
      </c>
    </row>
    <row r="33" spans="1:9" x14ac:dyDescent="0.25">
      <c r="A33" s="2">
        <f>35/100</f>
        <v>0.35</v>
      </c>
      <c r="B33" s="47">
        <f t="shared" si="2"/>
        <v>0.11696560340951685</v>
      </c>
      <c r="C33" s="47">
        <f t="shared" si="4"/>
        <v>4.0937961193330895E-2</v>
      </c>
      <c r="D33" s="47">
        <f t="shared" si="5"/>
        <v>7.6027642216185964E-2</v>
      </c>
      <c r="F33" s="27">
        <f>35/100</f>
        <v>0.35</v>
      </c>
      <c r="G33" s="48">
        <f t="shared" si="3"/>
        <v>8.7437052187491413E-2</v>
      </c>
      <c r="H33" s="48">
        <f t="shared" si="6"/>
        <v>3.0602968265621991E-2</v>
      </c>
      <c r="I33" s="48">
        <f t="shared" si="7"/>
        <v>5.6834083921869422E-2</v>
      </c>
    </row>
    <row r="34" spans="1:9" x14ac:dyDescent="0.25">
      <c r="A34" s="2">
        <f>40/100</f>
        <v>0.4</v>
      </c>
      <c r="B34" s="47">
        <f t="shared" si="2"/>
        <v>0.11696560340951685</v>
      </c>
      <c r="C34" s="47">
        <f t="shared" si="4"/>
        <v>4.6786241363806741E-2</v>
      </c>
      <c r="D34" s="47">
        <f t="shared" si="5"/>
        <v>7.0179362045710111E-2</v>
      </c>
      <c r="F34" s="2">
        <f>40/100</f>
        <v>0.4</v>
      </c>
      <c r="G34" s="47">
        <f t="shared" si="3"/>
        <v>8.7437052187491413E-2</v>
      </c>
      <c r="H34" s="47">
        <f t="shared" si="6"/>
        <v>3.4974820874996565E-2</v>
      </c>
      <c r="I34" s="47">
        <f t="shared" si="7"/>
        <v>5.2462231312494848E-2</v>
      </c>
    </row>
    <row r="35" spans="1:9" x14ac:dyDescent="0.25">
      <c r="A35" s="27">
        <f>45/100</f>
        <v>0.45</v>
      </c>
      <c r="B35" s="48">
        <f t="shared" si="2"/>
        <v>0.11696560340951685</v>
      </c>
      <c r="C35" s="48">
        <f t="shared" si="4"/>
        <v>5.2634521534282587E-2</v>
      </c>
      <c r="D35" s="48">
        <f t="shared" si="5"/>
        <v>6.4331081875234258E-2</v>
      </c>
      <c r="F35" s="2">
        <f>45/100</f>
        <v>0.45</v>
      </c>
      <c r="G35" s="47">
        <f t="shared" si="3"/>
        <v>8.7437052187491413E-2</v>
      </c>
      <c r="H35" s="47">
        <f t="shared" si="6"/>
        <v>3.9346673484371139E-2</v>
      </c>
      <c r="I35" s="47">
        <f t="shared" si="7"/>
        <v>4.8090378703120273E-2</v>
      </c>
    </row>
    <row r="36" spans="1:9" x14ac:dyDescent="0.25">
      <c r="A36" s="2">
        <f>50/100</f>
        <v>0.5</v>
      </c>
      <c r="B36" s="47">
        <f t="shared" si="2"/>
        <v>0.11696560340951685</v>
      </c>
      <c r="C36" s="47">
        <f t="shared" si="4"/>
        <v>5.8482801704758426E-2</v>
      </c>
      <c r="D36" s="47">
        <f t="shared" si="5"/>
        <v>5.8482801704758426E-2</v>
      </c>
      <c r="F36" s="2">
        <f>50/100</f>
        <v>0.5</v>
      </c>
      <c r="G36" s="47">
        <f t="shared" si="3"/>
        <v>8.7437052187491413E-2</v>
      </c>
      <c r="H36" s="47">
        <f t="shared" si="6"/>
        <v>4.3718526093745706E-2</v>
      </c>
      <c r="I36" s="47">
        <f t="shared" si="7"/>
        <v>4.3718526093745706E-2</v>
      </c>
    </row>
    <row r="38" spans="1:9" x14ac:dyDescent="0.25">
      <c r="H38" s="54"/>
    </row>
  </sheetData>
  <mergeCells count="30">
    <mergeCell ref="C17:D17"/>
    <mergeCell ref="C18:D18"/>
    <mergeCell ref="A1:G3"/>
    <mergeCell ref="A8:E8"/>
    <mergeCell ref="A9:E9"/>
    <mergeCell ref="A5:D6"/>
    <mergeCell ref="C11:D11"/>
    <mergeCell ref="C12:D12"/>
    <mergeCell ref="I16:J16"/>
    <mergeCell ref="C13:D13"/>
    <mergeCell ref="C14:D14"/>
    <mergeCell ref="C15:D15"/>
    <mergeCell ref="C16:D16"/>
    <mergeCell ref="I11:J11"/>
    <mergeCell ref="I12:J12"/>
    <mergeCell ref="I13:J13"/>
    <mergeCell ref="I14:J14"/>
    <mergeCell ref="I15:J15"/>
    <mergeCell ref="A23:E24"/>
    <mergeCell ref="A26:E26"/>
    <mergeCell ref="C19:D19"/>
    <mergeCell ref="C20:D20"/>
    <mergeCell ref="A28:C29"/>
    <mergeCell ref="F28:H29"/>
    <mergeCell ref="G11:H11"/>
    <mergeCell ref="G12:H12"/>
    <mergeCell ref="G13:H13"/>
    <mergeCell ref="G14:H14"/>
    <mergeCell ref="G16:H16"/>
    <mergeCell ref="G15:H1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102"/>
  <sheetViews>
    <sheetView topLeftCell="T1" zoomScale="70" zoomScaleNormal="70" workbookViewId="0">
      <selection activeCell="AM24" sqref="AM24:AS37"/>
    </sheetView>
  </sheetViews>
  <sheetFormatPr defaultRowHeight="15" x14ac:dyDescent="0.25"/>
  <cols>
    <col min="1" max="1" width="13" customWidth="1"/>
    <col min="4" max="4" width="11.28515625" customWidth="1"/>
    <col min="5" max="5" width="12.28515625" customWidth="1"/>
    <col min="11" max="11" width="9.5703125" bestFit="1" customWidth="1"/>
    <col min="14" max="14" width="9.140625" customWidth="1"/>
    <col min="15" max="15" width="11.85546875" customWidth="1"/>
    <col min="16" max="16" width="15.28515625" customWidth="1"/>
    <col min="17" max="17" width="11" customWidth="1"/>
    <col min="18" max="18" width="15.42578125" customWidth="1"/>
    <col min="23" max="23" width="11.7109375" customWidth="1"/>
    <col min="28" max="28" width="11.42578125" customWidth="1"/>
    <col min="29" max="29" width="12.5703125" customWidth="1"/>
    <col min="30" max="30" width="11.42578125" customWidth="1"/>
    <col min="32" max="32" width="12.28515625" customWidth="1"/>
    <col min="33" max="33" width="11.140625" customWidth="1"/>
    <col min="45" max="45" width="10.5703125" customWidth="1"/>
  </cols>
  <sheetData>
    <row r="1" spans="1:34" x14ac:dyDescent="0.25">
      <c r="A1" s="278" t="s">
        <v>103</v>
      </c>
      <c r="B1" s="279"/>
      <c r="C1" s="279"/>
      <c r="D1" s="279"/>
      <c r="E1" s="279"/>
      <c r="F1" s="280"/>
    </row>
    <row r="2" spans="1:34" x14ac:dyDescent="0.25">
      <c r="A2" s="281"/>
      <c r="B2" s="282"/>
      <c r="C2" s="282"/>
      <c r="D2" s="282"/>
      <c r="E2" s="282"/>
      <c r="F2" s="283"/>
      <c r="H2" s="29" t="s">
        <v>134</v>
      </c>
      <c r="I2" s="29">
        <v>3.1415899999999999</v>
      </c>
      <c r="K2" s="275" t="s">
        <v>307</v>
      </c>
      <c r="L2" s="275"/>
    </row>
    <row r="3" spans="1:34" ht="15.75" thickBot="1" x14ac:dyDescent="0.3">
      <c r="A3" s="284"/>
      <c r="B3" s="285"/>
      <c r="C3" s="285"/>
      <c r="D3" s="285"/>
      <c r="E3" s="285"/>
      <c r="F3" s="286"/>
      <c r="K3" s="276" t="s">
        <v>369</v>
      </c>
      <c r="L3" s="142"/>
      <c r="M3" s="142"/>
      <c r="N3" s="142"/>
      <c r="O3" s="142"/>
      <c r="P3" s="142"/>
      <c r="Q3" s="142"/>
      <c r="R3" s="142"/>
      <c r="S3" s="142"/>
      <c r="T3" s="142"/>
    </row>
    <row r="5" spans="1:34" x14ac:dyDescent="0.25">
      <c r="A5" s="155" t="s">
        <v>125</v>
      </c>
      <c r="B5" s="155"/>
      <c r="C5" s="155"/>
      <c r="D5" s="155"/>
      <c r="E5" s="155"/>
      <c r="G5" s="155" t="s">
        <v>126</v>
      </c>
      <c r="H5" s="155"/>
      <c r="I5" s="155"/>
      <c r="K5" s="155" t="s">
        <v>127</v>
      </c>
      <c r="L5" s="155"/>
      <c r="M5" s="155"/>
      <c r="N5" s="155"/>
      <c r="O5" s="155" t="s">
        <v>128</v>
      </c>
      <c r="P5" s="155"/>
      <c r="Q5" s="155"/>
      <c r="R5" s="155"/>
      <c r="T5" s="155" t="s">
        <v>129</v>
      </c>
      <c r="U5" s="155"/>
      <c r="V5" s="155"/>
      <c r="X5" s="155" t="s">
        <v>131</v>
      </c>
      <c r="Y5" s="155"/>
      <c r="Z5" s="155"/>
      <c r="AB5" s="155" t="s">
        <v>156</v>
      </c>
      <c r="AC5" s="155"/>
      <c r="AD5" s="155"/>
      <c r="AE5" s="155"/>
      <c r="AF5" s="155"/>
      <c r="AG5" s="155"/>
      <c r="AH5" s="155"/>
    </row>
    <row r="6" spans="1:34" x14ac:dyDescent="0.25">
      <c r="A6" s="142"/>
      <c r="B6" s="142"/>
      <c r="C6" s="142"/>
      <c r="D6" s="142"/>
      <c r="E6" s="142"/>
      <c r="G6" s="142"/>
      <c r="H6" s="142"/>
      <c r="I6" s="142"/>
      <c r="K6" s="142"/>
      <c r="L6" s="142"/>
      <c r="M6" s="142"/>
      <c r="N6" s="142"/>
      <c r="O6" s="142"/>
      <c r="P6" s="142"/>
      <c r="Q6" s="142"/>
      <c r="R6" s="142"/>
      <c r="T6" s="142"/>
      <c r="U6" s="142"/>
      <c r="V6" s="142"/>
      <c r="X6" s="142"/>
      <c r="Y6" s="142"/>
      <c r="Z6" s="142"/>
      <c r="AB6" s="142"/>
      <c r="AC6" s="142"/>
      <c r="AD6" s="142"/>
      <c r="AE6" s="142"/>
      <c r="AF6" s="142"/>
      <c r="AG6" s="142"/>
      <c r="AH6" s="142"/>
    </row>
    <row r="7" spans="1:34" x14ac:dyDescent="0.25">
      <c r="A7" s="142"/>
      <c r="B7" s="142"/>
      <c r="C7" s="142"/>
      <c r="D7" s="142"/>
      <c r="E7" s="142"/>
      <c r="G7" s="142"/>
      <c r="H7" s="142"/>
      <c r="I7" s="142"/>
      <c r="K7" s="142"/>
      <c r="L7" s="142"/>
      <c r="M7" s="142"/>
      <c r="N7" s="142"/>
      <c r="O7" s="142"/>
      <c r="P7" s="142"/>
      <c r="Q7" s="142"/>
      <c r="R7" s="142"/>
      <c r="T7" s="142"/>
      <c r="U7" s="142"/>
      <c r="V7" s="142"/>
      <c r="X7" s="142"/>
      <c r="Y7" s="142"/>
      <c r="Z7" s="142"/>
      <c r="AB7" s="142"/>
      <c r="AC7" s="142"/>
      <c r="AD7" s="142"/>
      <c r="AE7" s="142"/>
      <c r="AF7" s="142"/>
      <c r="AG7" s="142"/>
      <c r="AH7" s="142"/>
    </row>
    <row r="8" spans="1:34" x14ac:dyDescent="0.25">
      <c r="A8" s="142"/>
      <c r="B8" s="142"/>
      <c r="C8" s="142"/>
      <c r="D8" s="142"/>
      <c r="E8" s="142"/>
      <c r="G8" s="142"/>
      <c r="H8" s="142"/>
      <c r="I8" s="142"/>
      <c r="K8" s="142"/>
      <c r="L8" s="142"/>
      <c r="M8" s="142"/>
      <c r="N8" s="142"/>
      <c r="O8" s="142"/>
      <c r="P8" s="142"/>
      <c r="Q8" s="142"/>
      <c r="R8" s="142"/>
      <c r="T8" s="142"/>
      <c r="U8" s="142"/>
      <c r="V8" s="142"/>
      <c r="X8" s="142"/>
      <c r="Y8" s="142"/>
      <c r="Z8" s="142"/>
      <c r="AB8" s="142"/>
      <c r="AC8" s="142"/>
      <c r="AD8" s="142"/>
      <c r="AE8" s="142"/>
      <c r="AF8" s="142"/>
      <c r="AG8" s="142"/>
      <c r="AH8" s="142"/>
    </row>
    <row r="9" spans="1:34" x14ac:dyDescent="0.25">
      <c r="A9" s="142"/>
      <c r="B9" s="142"/>
      <c r="C9" s="142"/>
      <c r="D9" s="142"/>
      <c r="E9" s="142"/>
      <c r="G9" s="142"/>
      <c r="H9" s="142"/>
      <c r="I9" s="142"/>
      <c r="K9" s="142"/>
      <c r="L9" s="142"/>
      <c r="M9" s="142"/>
      <c r="N9" s="142"/>
      <c r="O9" s="142"/>
      <c r="P9" s="142"/>
      <c r="Q9" s="142"/>
      <c r="R9" s="142"/>
      <c r="T9" s="142"/>
      <c r="U9" s="142"/>
      <c r="V9" s="142"/>
      <c r="X9" s="142"/>
      <c r="Y9" s="142"/>
      <c r="Z9" s="142"/>
      <c r="AB9" s="142"/>
      <c r="AC9" s="142"/>
      <c r="AD9" s="142"/>
      <c r="AE9" s="142"/>
      <c r="AF9" s="142"/>
      <c r="AG9" s="142"/>
      <c r="AH9" s="142"/>
    </row>
    <row r="10" spans="1:34" x14ac:dyDescent="0.25">
      <c r="A10" s="142"/>
      <c r="B10" s="142"/>
      <c r="C10" s="142"/>
      <c r="D10" s="142"/>
      <c r="E10" s="142"/>
      <c r="K10" s="142"/>
      <c r="L10" s="142"/>
      <c r="M10" s="142"/>
      <c r="N10" s="142"/>
      <c r="O10" s="142"/>
      <c r="P10" s="142"/>
      <c r="Q10" s="142"/>
      <c r="R10" s="142"/>
      <c r="X10" s="142"/>
      <c r="Y10" s="142"/>
      <c r="Z10" s="142"/>
      <c r="AB10" s="142"/>
      <c r="AC10" s="142"/>
      <c r="AD10" s="142"/>
      <c r="AE10" s="142"/>
      <c r="AF10" s="142"/>
      <c r="AG10" s="142"/>
      <c r="AH10" s="142"/>
    </row>
    <row r="11" spans="1:34" x14ac:dyDescent="0.25">
      <c r="A11" s="142"/>
      <c r="B11" s="142"/>
      <c r="C11" s="142"/>
      <c r="D11" s="142"/>
      <c r="E11" s="142"/>
      <c r="G11" s="155" t="s">
        <v>130</v>
      </c>
      <c r="H11" s="155"/>
      <c r="I11" s="155"/>
      <c r="K11" s="142"/>
      <c r="L11" s="142"/>
      <c r="M11" s="142"/>
      <c r="N11" s="142"/>
      <c r="O11" s="142"/>
      <c r="P11" s="142"/>
      <c r="Q11" s="142"/>
      <c r="R11" s="142"/>
      <c r="X11" s="142"/>
      <c r="Y11" s="142"/>
      <c r="Z11" s="142"/>
      <c r="AB11" s="142"/>
      <c r="AC11" s="142"/>
      <c r="AD11" s="142"/>
      <c r="AE11" s="142"/>
      <c r="AF11" s="142"/>
      <c r="AG11" s="142"/>
      <c r="AH11" s="142"/>
    </row>
    <row r="12" spans="1:34" x14ac:dyDescent="0.25">
      <c r="A12" s="142"/>
      <c r="B12" s="142"/>
      <c r="C12" s="142"/>
      <c r="D12" s="142"/>
      <c r="E12" s="142"/>
      <c r="G12" s="142"/>
      <c r="H12" s="142"/>
      <c r="I12" s="142"/>
      <c r="K12" s="142"/>
      <c r="L12" s="142"/>
      <c r="M12" s="142"/>
      <c r="N12" s="142"/>
      <c r="O12" s="142"/>
      <c r="P12" s="142"/>
      <c r="Q12" s="142"/>
      <c r="R12" s="142"/>
      <c r="X12" s="142"/>
      <c r="Y12" s="142"/>
      <c r="Z12" s="142"/>
      <c r="AB12" s="142"/>
      <c r="AC12" s="142"/>
      <c r="AD12" s="142"/>
      <c r="AE12" s="142"/>
      <c r="AF12" s="142"/>
      <c r="AG12" s="142"/>
      <c r="AH12" s="142"/>
    </row>
    <row r="13" spans="1:34" x14ac:dyDescent="0.25">
      <c r="A13" s="142"/>
      <c r="B13" s="142"/>
      <c r="C13" s="142"/>
      <c r="D13" s="142"/>
      <c r="E13" s="142"/>
      <c r="G13" s="142"/>
      <c r="H13" s="142"/>
      <c r="I13" s="142"/>
      <c r="K13" s="142"/>
      <c r="L13" s="142"/>
      <c r="M13" s="142"/>
      <c r="N13" s="142"/>
      <c r="O13" s="142"/>
      <c r="P13" s="142"/>
      <c r="Q13" s="142"/>
      <c r="R13" s="142"/>
      <c r="X13" s="142"/>
      <c r="Y13" s="142"/>
      <c r="Z13" s="142"/>
      <c r="AB13" s="142"/>
      <c r="AC13" s="142"/>
      <c r="AD13" s="142"/>
      <c r="AE13" s="142"/>
      <c r="AF13" s="142"/>
      <c r="AG13" s="142"/>
      <c r="AH13" s="142"/>
    </row>
    <row r="14" spans="1:34" x14ac:dyDescent="0.25">
      <c r="A14" s="142"/>
      <c r="B14" s="142"/>
      <c r="C14" s="142"/>
      <c r="D14" s="142"/>
      <c r="E14" s="142"/>
      <c r="G14" s="142"/>
      <c r="H14" s="142"/>
      <c r="I14" s="142"/>
      <c r="K14" s="142"/>
      <c r="L14" s="142"/>
      <c r="M14" s="142"/>
      <c r="N14" s="142"/>
      <c r="O14" s="142"/>
      <c r="P14" s="142"/>
      <c r="Q14" s="142"/>
      <c r="R14" s="142"/>
      <c r="X14" s="142"/>
      <c r="Y14" s="142"/>
      <c r="Z14" s="142"/>
      <c r="AB14" s="142"/>
      <c r="AC14" s="142"/>
      <c r="AD14" s="142"/>
      <c r="AE14" s="142"/>
      <c r="AF14" s="142"/>
      <c r="AG14" s="142"/>
      <c r="AH14" s="142"/>
    </row>
    <row r="15" spans="1:34" x14ac:dyDescent="0.25">
      <c r="A15" s="142"/>
      <c r="B15" s="142"/>
      <c r="C15" s="142"/>
      <c r="D15" s="142"/>
      <c r="E15" s="142"/>
      <c r="G15" s="142"/>
      <c r="H15" s="142"/>
      <c r="I15" s="142"/>
      <c r="K15" s="142"/>
      <c r="L15" s="142"/>
      <c r="M15" s="142"/>
      <c r="N15" s="142"/>
      <c r="O15" s="142"/>
      <c r="P15" s="142"/>
      <c r="Q15" s="142"/>
      <c r="R15" s="142"/>
      <c r="T15" s="277" t="s">
        <v>158</v>
      </c>
      <c r="U15" s="277"/>
      <c r="V15" s="277"/>
      <c r="AB15" s="142"/>
      <c r="AC15" s="142"/>
      <c r="AD15" s="142"/>
      <c r="AE15" s="142"/>
      <c r="AF15" s="142"/>
      <c r="AG15" s="142"/>
      <c r="AH15" s="142"/>
    </row>
    <row r="16" spans="1:34" x14ac:dyDescent="0.25">
      <c r="A16" s="142"/>
      <c r="B16" s="142"/>
      <c r="C16" s="142"/>
      <c r="D16" s="142"/>
      <c r="E16" s="142"/>
      <c r="G16" s="142"/>
      <c r="H16" s="142"/>
      <c r="I16" s="142"/>
      <c r="K16" s="142"/>
      <c r="L16" s="142"/>
      <c r="M16" s="142"/>
      <c r="N16" s="142"/>
      <c r="O16" s="142"/>
      <c r="P16" s="142"/>
      <c r="Q16" s="142"/>
      <c r="R16" s="142"/>
      <c r="T16" s="142"/>
      <c r="U16" s="142"/>
      <c r="V16" s="142"/>
      <c r="W16" s="142"/>
      <c r="X16" s="142"/>
      <c r="AB16" s="142"/>
      <c r="AC16" s="142"/>
      <c r="AD16" s="142"/>
      <c r="AE16" s="142"/>
      <c r="AF16" s="142"/>
      <c r="AG16" s="142"/>
      <c r="AH16" s="142"/>
    </row>
    <row r="17" spans="1:45" x14ac:dyDescent="0.25">
      <c r="A17" s="142"/>
      <c r="B17" s="142"/>
      <c r="C17" s="142"/>
      <c r="D17" s="142"/>
      <c r="E17" s="142"/>
      <c r="G17" s="142"/>
      <c r="H17" s="142"/>
      <c r="I17" s="142"/>
      <c r="K17" s="142"/>
      <c r="L17" s="142"/>
      <c r="M17" s="142"/>
      <c r="N17" s="142"/>
      <c r="O17" s="142"/>
      <c r="P17" s="142"/>
      <c r="Q17" s="142"/>
      <c r="R17" s="142"/>
      <c r="T17" s="142"/>
      <c r="U17" s="142"/>
      <c r="V17" s="142"/>
      <c r="W17" s="142"/>
      <c r="X17" s="142"/>
      <c r="AB17" s="142"/>
      <c r="AC17" s="142"/>
      <c r="AD17" s="142"/>
      <c r="AE17" s="142"/>
      <c r="AF17" s="142"/>
      <c r="AG17" s="142"/>
      <c r="AH17" s="142"/>
    </row>
    <row r="18" spans="1:45" x14ac:dyDescent="0.25">
      <c r="A18" s="142"/>
      <c r="B18" s="142"/>
      <c r="C18" s="142"/>
      <c r="D18" s="142"/>
      <c r="E18" s="142"/>
      <c r="G18" s="142"/>
      <c r="H18" s="142"/>
      <c r="I18" s="142"/>
      <c r="K18" s="142"/>
      <c r="L18" s="142"/>
      <c r="M18" s="142"/>
      <c r="N18" s="142"/>
      <c r="O18" s="142"/>
      <c r="P18" s="142"/>
      <c r="Q18" s="142"/>
      <c r="R18" s="142"/>
      <c r="T18" s="142"/>
      <c r="U18" s="142"/>
      <c r="V18" s="142"/>
      <c r="W18" s="142"/>
      <c r="X18" s="142"/>
      <c r="AB18" s="142"/>
      <c r="AC18" s="142"/>
      <c r="AD18" s="142"/>
      <c r="AE18" s="142"/>
      <c r="AF18" s="142"/>
      <c r="AG18" s="142"/>
      <c r="AH18" s="142"/>
    </row>
    <row r="19" spans="1:45" x14ac:dyDescent="0.25">
      <c r="A19" s="142"/>
      <c r="B19" s="142"/>
      <c r="C19" s="142"/>
      <c r="D19" s="142"/>
      <c r="E19" s="142"/>
      <c r="G19" s="142"/>
      <c r="H19" s="142"/>
      <c r="I19" s="142"/>
      <c r="K19" s="142"/>
      <c r="L19" s="142"/>
      <c r="M19" s="142"/>
      <c r="N19" s="142"/>
      <c r="O19" s="142"/>
      <c r="P19" s="142"/>
      <c r="Q19" s="142"/>
      <c r="R19" s="142"/>
      <c r="T19" s="142"/>
      <c r="U19" s="142"/>
      <c r="V19" s="142"/>
      <c r="W19" s="142"/>
      <c r="X19" s="142"/>
      <c r="AB19" s="142"/>
      <c r="AC19" s="142"/>
      <c r="AD19" s="142"/>
      <c r="AE19" s="142"/>
      <c r="AF19" s="142"/>
      <c r="AG19" s="142"/>
      <c r="AH19" s="142"/>
    </row>
    <row r="20" spans="1:45" x14ac:dyDescent="0.25">
      <c r="G20" s="142"/>
      <c r="H20" s="142"/>
      <c r="I20" s="142"/>
      <c r="T20" s="142"/>
      <c r="U20" s="142"/>
      <c r="V20" s="142"/>
      <c r="W20" s="142"/>
      <c r="X20" s="142"/>
      <c r="AB20" s="142"/>
      <c r="AC20" s="142"/>
      <c r="AD20" s="142"/>
      <c r="AE20" s="142"/>
      <c r="AF20" s="142"/>
      <c r="AG20" s="142"/>
      <c r="AH20" s="142"/>
    </row>
    <row r="21" spans="1:45" x14ac:dyDescent="0.25">
      <c r="G21" s="142"/>
      <c r="H21" s="142"/>
      <c r="I21" s="142"/>
      <c r="T21" s="142"/>
      <c r="U21" s="142"/>
      <c r="V21" s="142"/>
      <c r="W21" s="142"/>
      <c r="X21" s="142"/>
    </row>
    <row r="23" spans="1:45" ht="15" customHeight="1" x14ac:dyDescent="0.25">
      <c r="A23" s="273" t="s">
        <v>132</v>
      </c>
      <c r="B23" s="274"/>
      <c r="C23" s="274"/>
      <c r="D23" s="274"/>
      <c r="E23" s="274"/>
      <c r="F23" s="274"/>
      <c r="G23" s="274"/>
      <c r="H23" s="274"/>
      <c r="I23" s="274"/>
      <c r="J23" s="274"/>
      <c r="L23" s="273" t="s">
        <v>135</v>
      </c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</row>
    <row r="24" spans="1:45" ht="15" customHeight="1" x14ac:dyDescent="0.25">
      <c r="A24" s="274"/>
      <c r="B24" s="274"/>
      <c r="C24" s="274"/>
      <c r="D24" s="274"/>
      <c r="E24" s="274"/>
      <c r="F24" s="274"/>
      <c r="G24" s="274"/>
      <c r="H24" s="274"/>
      <c r="I24" s="274"/>
      <c r="J24" s="274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</row>
    <row r="25" spans="1:45" x14ac:dyDescent="0.25">
      <c r="A25" s="28" t="s">
        <v>406</v>
      </c>
      <c r="B25" s="28" t="s">
        <v>403</v>
      </c>
      <c r="C25" s="28" t="s">
        <v>404</v>
      </c>
      <c r="D25" s="28" t="s">
        <v>405</v>
      </c>
      <c r="E25" s="28" t="s">
        <v>22</v>
      </c>
      <c r="F25" s="28" t="s">
        <v>79</v>
      </c>
      <c r="G25" s="28" t="s">
        <v>49</v>
      </c>
      <c r="H25" s="28" t="s">
        <v>80</v>
      </c>
      <c r="I25" s="28" t="s">
        <v>134</v>
      </c>
      <c r="J25" s="28" t="s">
        <v>23</v>
      </c>
      <c r="L25" s="28" t="s">
        <v>406</v>
      </c>
      <c r="M25" s="28" t="s">
        <v>403</v>
      </c>
      <c r="N25" s="28" t="s">
        <v>136</v>
      </c>
      <c r="O25" s="28" t="s">
        <v>137</v>
      </c>
      <c r="P25" s="28" t="s">
        <v>138</v>
      </c>
      <c r="Q25" s="28" t="s">
        <v>139</v>
      </c>
      <c r="R25" s="28" t="s">
        <v>159</v>
      </c>
      <c r="S25" s="28" t="s">
        <v>123</v>
      </c>
      <c r="T25" s="28" t="s">
        <v>140</v>
      </c>
      <c r="U25" s="28" t="s">
        <v>142</v>
      </c>
      <c r="V25" s="28" t="s">
        <v>141</v>
      </c>
      <c r="W25" s="28" t="s">
        <v>143</v>
      </c>
      <c r="Y25" s="241" t="s">
        <v>407</v>
      </c>
      <c r="Z25" s="241"/>
      <c r="AA25" s="241"/>
      <c r="AB25" s="74" t="s">
        <v>23</v>
      </c>
      <c r="AC25" s="28" t="s">
        <v>416</v>
      </c>
      <c r="AD25" s="74" t="s">
        <v>55</v>
      </c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</row>
    <row r="26" spans="1:45" x14ac:dyDescent="0.25">
      <c r="A26" s="2">
        <f>rho</f>
        <v>1.2230000000000001</v>
      </c>
      <c r="B26" s="2">
        <f>Vcruise</f>
        <v>11.900945103674255</v>
      </c>
      <c r="C26" s="2">
        <f>Sw</f>
        <v>0.24142857142857144</v>
      </c>
      <c r="D26" s="2">
        <f>W</f>
        <v>2.5</v>
      </c>
      <c r="E26" s="2">
        <f>(2*D26*9.81)/(A26*(B26*B26)*C26)</f>
        <v>1.1729000000000003</v>
      </c>
      <c r="F26" s="2">
        <f>Cd0</f>
        <v>2.3369999999999998E-2</v>
      </c>
      <c r="G26" s="2">
        <v>7</v>
      </c>
      <c r="H26" s="2">
        <v>0.8</v>
      </c>
      <c r="I26" s="2">
        <f>pie</f>
        <v>3.1415899999999999</v>
      </c>
      <c r="J26" s="47">
        <f>(F26+((E26*E26)/(I26*G26*H26)))</f>
        <v>0.10156598231195944</v>
      </c>
      <c r="L26" s="2">
        <f>rho</f>
        <v>1.2230000000000001</v>
      </c>
      <c r="M26" s="2">
        <f>Vcruise</f>
        <v>11.900945103674255</v>
      </c>
      <c r="N26" s="2">
        <f>Cw</f>
        <v>0.18571428571428572</v>
      </c>
      <c r="O26" s="36">
        <v>1.4207E-5</v>
      </c>
      <c r="P26" s="37">
        <f>((M26*N26)/O26)</f>
        <v>155569.47415033364</v>
      </c>
      <c r="Q26" s="2">
        <f>(0.455)/((LOG10(P26))^2.58)</f>
        <v>6.4932815033192882E-3</v>
      </c>
      <c r="R26" s="2">
        <v>0.12</v>
      </c>
      <c r="S26" s="2">
        <f>Cw</f>
        <v>0.18571428571428572</v>
      </c>
      <c r="T26" s="2">
        <f>1+(2*(R26)+(60*(R26)^4))</f>
        <v>1.2524416</v>
      </c>
      <c r="U26" s="2">
        <v>0.50700000000000001</v>
      </c>
      <c r="V26" s="2">
        <f>Sw</f>
        <v>0.24142857142857144</v>
      </c>
      <c r="W26" s="2">
        <f>(Q26*T26*U26)/V26</f>
        <v>1.7078157338061992E-2</v>
      </c>
      <c r="Y26" s="142" t="s">
        <v>132</v>
      </c>
      <c r="Z26" s="142"/>
      <c r="AA26" s="142"/>
      <c r="AB26" s="2">
        <f>Cd_W</f>
        <v>0.10156598231195944</v>
      </c>
      <c r="AC26" s="2">
        <f t="shared" ref="AC26:AC31" si="0">0.5*rho*Vstall^2*Sw*AB26</f>
        <v>1.4994548704365689</v>
      </c>
      <c r="AD26" s="37">
        <f>(AB26/AB31)*100</f>
        <v>53.12224228942938</v>
      </c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</row>
    <row r="27" spans="1:45" x14ac:dyDescent="0.25">
      <c r="Y27" s="142" t="s">
        <v>135</v>
      </c>
      <c r="Z27" s="142"/>
      <c r="AA27" s="142"/>
      <c r="AB27" s="2">
        <f>W26</f>
        <v>1.7078157338061992E-2</v>
      </c>
      <c r="AC27" s="2">
        <f t="shared" si="0"/>
        <v>0.25213093612371568</v>
      </c>
      <c r="AD27" s="37">
        <f>(AB27/AB31)*100</f>
        <v>8.9324200024273157</v>
      </c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</row>
    <row r="28" spans="1:45" ht="15" customHeight="1" x14ac:dyDescent="0.25">
      <c r="A28" s="273" t="s">
        <v>411</v>
      </c>
      <c r="B28" s="273"/>
      <c r="C28" s="273"/>
      <c r="D28" s="273"/>
      <c r="E28" s="273"/>
      <c r="F28" s="273"/>
      <c r="H28" s="241" t="s">
        <v>347</v>
      </c>
      <c r="I28" s="241"/>
      <c r="L28" s="273" t="s">
        <v>144</v>
      </c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Y28" s="142" t="s">
        <v>223</v>
      </c>
      <c r="Z28" s="142"/>
      <c r="AA28" s="142"/>
      <c r="AB28" s="2">
        <f>W31</f>
        <v>1.7404746498777695E-2</v>
      </c>
      <c r="AC28" s="2">
        <f t="shared" si="0"/>
        <v>0.25695248854234753</v>
      </c>
      <c r="AD28" s="37">
        <f>(AB28/AB31)*100</f>
        <v>9.1032365310495962</v>
      </c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</row>
    <row r="29" spans="1:45" ht="15" customHeight="1" x14ac:dyDescent="0.25">
      <c r="A29" s="273"/>
      <c r="B29" s="273"/>
      <c r="C29" s="273"/>
      <c r="D29" s="273"/>
      <c r="E29" s="273"/>
      <c r="F29" s="273"/>
      <c r="H29" s="29" t="s">
        <v>131</v>
      </c>
      <c r="I29" s="50">
        <f>0.5*rho*(Vstall^2)*Sw*Cd_W</f>
        <v>1.4994548704365689</v>
      </c>
      <c r="J29" s="29" t="s">
        <v>15</v>
      </c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Y29" s="142" t="s">
        <v>224</v>
      </c>
      <c r="Z29" s="142"/>
      <c r="AA29" s="142"/>
      <c r="AB29" s="2">
        <f>W36</f>
        <v>2.0473466941950576E-2</v>
      </c>
      <c r="AC29" s="2">
        <f t="shared" si="0"/>
        <v>0.30225710441649561</v>
      </c>
      <c r="AD29" s="37">
        <f>(AB29/AB31)*100</f>
        <v>10.70827502120123</v>
      </c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</row>
    <row r="30" spans="1:45" ht="15" customHeight="1" x14ac:dyDescent="0.25">
      <c r="A30" s="28" t="s">
        <v>23</v>
      </c>
      <c r="B30" s="28" t="s">
        <v>151</v>
      </c>
      <c r="C30" s="28" t="s">
        <v>152</v>
      </c>
      <c r="D30" s="28" t="s">
        <v>153</v>
      </c>
      <c r="E30" s="28" t="s">
        <v>154</v>
      </c>
      <c r="F30" s="28" t="s">
        <v>155</v>
      </c>
      <c r="I30" s="50">
        <f>I29/9.81</f>
        <v>0.15284963001392138</v>
      </c>
      <c r="J30" s="29" t="s">
        <v>78</v>
      </c>
      <c r="L30" s="28" t="s">
        <v>13</v>
      </c>
      <c r="M30" s="28" t="s">
        <v>133</v>
      </c>
      <c r="N30" s="28" t="s">
        <v>136</v>
      </c>
      <c r="O30" s="28" t="s">
        <v>137</v>
      </c>
      <c r="P30" s="28" t="s">
        <v>138</v>
      </c>
      <c r="Q30" s="28" t="s">
        <v>139</v>
      </c>
      <c r="R30" s="28" t="s">
        <v>159</v>
      </c>
      <c r="S30" s="28" t="s">
        <v>123</v>
      </c>
      <c r="T30" s="28" t="s">
        <v>140</v>
      </c>
      <c r="U30" s="28" t="s">
        <v>142</v>
      </c>
      <c r="V30" s="28" t="s">
        <v>141</v>
      </c>
      <c r="W30" s="28" t="s">
        <v>143</v>
      </c>
      <c r="Y30" s="142" t="s">
        <v>146</v>
      </c>
      <c r="Z30" s="142"/>
      <c r="AA30" s="142"/>
      <c r="AB30" s="37">
        <f>W41</f>
        <v>3.4670597234258936E-2</v>
      </c>
      <c r="AC30" s="2">
        <f t="shared" si="0"/>
        <v>0.51185440932551984</v>
      </c>
      <c r="AD30" s="37">
        <f>(AB30/AB31)*100</f>
        <v>18.133826155892482</v>
      </c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</row>
    <row r="31" spans="1:45" ht="15" customHeight="1" x14ac:dyDescent="0.25">
      <c r="A31" s="2">
        <f>J26</f>
        <v>0.10156598231195944</v>
      </c>
      <c r="B31" s="2">
        <f>W26</f>
        <v>1.7078157338061992E-2</v>
      </c>
      <c r="C31" s="2">
        <f>W31</f>
        <v>1.7404746498777695E-2</v>
      </c>
      <c r="D31" s="37">
        <f>W36</f>
        <v>2.0473466941950576E-2</v>
      </c>
      <c r="E31" s="37">
        <f>W41</f>
        <v>3.4670597234258936E-2</v>
      </c>
      <c r="F31" s="37">
        <f>(A31+B31+C31+D31+E31)</f>
        <v>0.19119295032500863</v>
      </c>
      <c r="L31" s="2">
        <f>rho</f>
        <v>1.2230000000000001</v>
      </c>
      <c r="M31" s="2">
        <f>Vcruise</f>
        <v>11.900945103674255</v>
      </c>
      <c r="N31" s="2">
        <f>Cht</f>
        <v>0.11696560340951685</v>
      </c>
      <c r="O31" s="36">
        <v>1.4207E-5</v>
      </c>
      <c r="P31" s="37">
        <f>(M31*N31)/O31</f>
        <v>97979.95531743468</v>
      </c>
      <c r="Q31" s="2">
        <f>(0.455)/((LOG10(P31))^2.58)</f>
        <v>7.188804235019124E-3</v>
      </c>
      <c r="R31" s="47">
        <f>0.004/Cht</f>
        <v>3.4198088013920699E-2</v>
      </c>
      <c r="S31" s="2">
        <f>Cht</f>
        <v>0.11696560340951685</v>
      </c>
      <c r="T31" s="2">
        <f>1+(2*(R31)+(60*(R31)^4))</f>
        <v>1.0684782411373157</v>
      </c>
      <c r="U31" s="2">
        <v>9.2999999999999999E-2</v>
      </c>
      <c r="V31" s="2">
        <f>Sht</f>
        <v>4.1042857142857145E-2</v>
      </c>
      <c r="W31" s="2">
        <f>(Q31*T31*U31)/V31</f>
        <v>1.7404746498777695E-2</v>
      </c>
      <c r="Y31" s="142" t="s">
        <v>225</v>
      </c>
      <c r="Z31" s="142"/>
      <c r="AA31" s="142"/>
      <c r="AB31" s="2">
        <f>SUM(AB26:AB30)</f>
        <v>0.19119295032500863</v>
      </c>
      <c r="AC31" s="2">
        <f t="shared" si="0"/>
        <v>2.8226498088446474</v>
      </c>
      <c r="AD31" s="37">
        <f>(AB31/AB31)*100</f>
        <v>100</v>
      </c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</row>
    <row r="32" spans="1:45" x14ac:dyDescent="0.25">
      <c r="H32" s="241" t="s">
        <v>348</v>
      </c>
      <c r="I32" s="241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</row>
    <row r="33" spans="1:45" x14ac:dyDescent="0.25">
      <c r="H33" s="29" t="s">
        <v>131</v>
      </c>
      <c r="I33" s="50">
        <f>0.5*rho*(Vstall^2)*Sw*Cd</f>
        <v>2.8226498088446474</v>
      </c>
      <c r="J33" s="29" t="s">
        <v>15</v>
      </c>
      <c r="L33" s="273" t="s">
        <v>145</v>
      </c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</row>
    <row r="34" spans="1:45" x14ac:dyDescent="0.25">
      <c r="I34" s="50">
        <f>I33/9.81</f>
        <v>0.28773188673237993</v>
      </c>
      <c r="J34" s="29" t="s">
        <v>78</v>
      </c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Y34" s="241" t="s">
        <v>407</v>
      </c>
      <c r="Z34" s="241"/>
      <c r="AA34" s="241"/>
      <c r="AB34" s="74" t="s">
        <v>23</v>
      </c>
      <c r="AC34" s="28" t="s">
        <v>416</v>
      </c>
      <c r="AD34" s="74" t="s">
        <v>55</v>
      </c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</row>
    <row r="35" spans="1:45" x14ac:dyDescent="0.25">
      <c r="L35" s="28" t="s">
        <v>13</v>
      </c>
      <c r="M35" s="28" t="s">
        <v>133</v>
      </c>
      <c r="N35" s="28" t="s">
        <v>136</v>
      </c>
      <c r="O35" s="28" t="s">
        <v>137</v>
      </c>
      <c r="P35" s="28" t="s">
        <v>138</v>
      </c>
      <c r="Q35" s="28" t="s">
        <v>139</v>
      </c>
      <c r="R35" s="28" t="s">
        <v>159</v>
      </c>
      <c r="S35" s="28" t="s">
        <v>123</v>
      </c>
      <c r="T35" s="28" t="s">
        <v>140</v>
      </c>
      <c r="U35" s="28" t="s">
        <v>142</v>
      </c>
      <c r="V35" s="28" t="s">
        <v>141</v>
      </c>
      <c r="W35" s="28" t="s">
        <v>143</v>
      </c>
      <c r="Y35" s="142" t="s">
        <v>132</v>
      </c>
      <c r="Z35" s="142"/>
      <c r="AA35" s="142"/>
      <c r="AB35" s="47">
        <f>J55</f>
        <v>0.26244832778667093</v>
      </c>
      <c r="AC35" s="2">
        <f t="shared" ref="AC35:AC40" si="1">0.5*rho*Vstall^2*Sw*AB35</f>
        <v>3.8746183946602613</v>
      </c>
      <c r="AD35" s="37">
        <f>(AB35/AB40)*100</f>
        <v>73.372640359969623</v>
      </c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</row>
    <row r="36" spans="1:45" x14ac:dyDescent="0.25">
      <c r="C36" t="s">
        <v>418</v>
      </c>
      <c r="D36">
        <f>1/(pie*AR*0.8)</f>
        <v>5.6841099115870805E-2</v>
      </c>
      <c r="L36" s="2">
        <f>rho</f>
        <v>1.2230000000000001</v>
      </c>
      <c r="M36" s="2">
        <f>Vcruise</f>
        <v>11.900945103674255</v>
      </c>
      <c r="N36" s="2">
        <f>Cvt</f>
        <v>8.7437052187491413E-2</v>
      </c>
      <c r="O36" s="36">
        <v>1.4207E-5</v>
      </c>
      <c r="P36" s="37">
        <f>(M36*N36)/O36</f>
        <v>73244.425854187124</v>
      </c>
      <c r="Q36" s="2">
        <f>(0.455)/((LOG10(P36))^2.58)</f>
        <v>7.6805014677907325E-3</v>
      </c>
      <c r="R36" s="47">
        <f>0.004/Cvt</f>
        <v>4.5747196410770956E-2</v>
      </c>
      <c r="S36" s="2">
        <f>Cvt</f>
        <v>8.7437052187491413E-2</v>
      </c>
      <c r="T36" s="2">
        <f>1+(2*(R36)+(60*(R36)^4))</f>
        <v>1.0917571830335981</v>
      </c>
      <c r="U36" s="2">
        <f>0.056</f>
        <v>5.6000000000000001E-2</v>
      </c>
      <c r="V36" s="2">
        <f>Svt</f>
        <v>2.2935714285714288E-2</v>
      </c>
      <c r="W36" s="2">
        <f>(Q36*T36*U36)/V36</f>
        <v>2.0473466941950576E-2</v>
      </c>
      <c r="Y36" s="142" t="s">
        <v>135</v>
      </c>
      <c r="Z36" s="142"/>
      <c r="AA36" s="142"/>
      <c r="AB36" s="2">
        <f>X55</f>
        <v>1.8152576031449246E-2</v>
      </c>
      <c r="AC36" s="2">
        <f t="shared" si="1"/>
        <v>0.26799296301515363</v>
      </c>
      <c r="AD36" s="37">
        <f>(AB36/AB40)*100</f>
        <v>5.0749130085719445</v>
      </c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</row>
    <row r="37" spans="1:45" x14ac:dyDescent="0.25">
      <c r="Y37" s="142" t="s">
        <v>223</v>
      </c>
      <c r="Z37" s="142"/>
      <c r="AA37" s="142"/>
      <c r="AB37" s="2">
        <f>AL55</f>
        <v>1.8545738452063264E-2</v>
      </c>
      <c r="AC37" s="2">
        <f t="shared" si="1"/>
        <v>0.27379736024582857</v>
      </c>
      <c r="AD37" s="37">
        <f>(AB37/AB40)*100</f>
        <v>5.1848293686190772</v>
      </c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</row>
    <row r="38" spans="1:45" x14ac:dyDescent="0.25">
      <c r="L38" s="273" t="s">
        <v>146</v>
      </c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Y38" s="142" t="s">
        <v>224</v>
      </c>
      <c r="Z38" s="142"/>
      <c r="AA38" s="142"/>
      <c r="AB38" s="2">
        <f>L74</f>
        <v>2.1852103090259277E-2</v>
      </c>
      <c r="AC38" s="2">
        <f t="shared" si="1"/>
        <v>0.32261040224402998</v>
      </c>
      <c r="AD38" s="37">
        <f>(AB38/AB40)*100</f>
        <v>6.1091892437350266</v>
      </c>
    </row>
    <row r="39" spans="1:45" x14ac:dyDescent="0.25"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Y39" s="142" t="s">
        <v>146</v>
      </c>
      <c r="Z39" s="142"/>
      <c r="AA39" s="142"/>
      <c r="AB39" s="37">
        <f>Z74</f>
        <v>3.669361312507332E-2</v>
      </c>
      <c r="AC39" s="2">
        <f t="shared" si="1"/>
        <v>0.54172091542728784</v>
      </c>
      <c r="AD39" s="37">
        <f>(AB39/AB40)*100</f>
        <v>10.258428019104342</v>
      </c>
    </row>
    <row r="40" spans="1:45" x14ac:dyDescent="0.25">
      <c r="L40" s="28" t="s">
        <v>13</v>
      </c>
      <c r="M40" s="28" t="s">
        <v>133</v>
      </c>
      <c r="N40" s="28" t="s">
        <v>149</v>
      </c>
      <c r="O40" s="28" t="s">
        <v>137</v>
      </c>
      <c r="P40" s="28" t="s">
        <v>138</v>
      </c>
      <c r="Q40" s="28" t="s">
        <v>139</v>
      </c>
      <c r="R40" s="28" t="s">
        <v>147</v>
      </c>
      <c r="S40" s="28" t="s">
        <v>148</v>
      </c>
      <c r="T40" s="28" t="s">
        <v>140</v>
      </c>
      <c r="U40" s="28" t="s">
        <v>142</v>
      </c>
      <c r="V40" s="28" t="s">
        <v>141</v>
      </c>
      <c r="W40" s="28" t="s">
        <v>143</v>
      </c>
      <c r="Y40" s="142" t="s">
        <v>225</v>
      </c>
      <c r="Z40" s="142"/>
      <c r="AA40" s="142"/>
      <c r="AB40" s="2">
        <f>SUM(AB35:AB39)</f>
        <v>0.357692358485516</v>
      </c>
      <c r="AC40" s="2">
        <f t="shared" si="1"/>
        <v>5.2807400355925607</v>
      </c>
      <c r="AD40" s="37">
        <f>(AB40/AB40)*100</f>
        <v>100</v>
      </c>
    </row>
    <row r="41" spans="1:45" x14ac:dyDescent="0.25">
      <c r="L41" s="2">
        <f>rho</f>
        <v>1.2230000000000001</v>
      </c>
      <c r="M41" s="2">
        <f>Vcruise</f>
        <v>11.900945103674255</v>
      </c>
      <c r="N41" s="2">
        <f>Fl/2</f>
        <v>0.45499999999999996</v>
      </c>
      <c r="O41" s="36">
        <v>1.4207E-5</v>
      </c>
      <c r="P41" s="37">
        <f>(M41*N41)/O41</f>
        <v>381145.21166831738</v>
      </c>
      <c r="Q41" s="2">
        <f>(0.455)/((LOG10(P41))^2.58)</f>
        <v>5.3886033369892877E-3</v>
      </c>
      <c r="R41" s="2">
        <f>2*0.078</f>
        <v>0.156</v>
      </c>
      <c r="S41" s="2">
        <f>Fl/2</f>
        <v>0.45499999999999996</v>
      </c>
      <c r="T41" s="2">
        <f>1+(1.5*((R41/S41)^(3/2))+(7*(R41/S41)^3))</f>
        <v>1.583257328632282</v>
      </c>
      <c r="U41" s="2">
        <v>0.24199999999999999</v>
      </c>
      <c r="V41" s="2">
        <v>5.9549999999999999E-2</v>
      </c>
      <c r="W41" s="37">
        <f>(Q41*T41*U41)/V41</f>
        <v>3.4670597234258936E-2</v>
      </c>
    </row>
    <row r="44" spans="1:45" ht="15" customHeight="1" x14ac:dyDescent="0.25">
      <c r="A44" s="273" t="s">
        <v>132</v>
      </c>
      <c r="B44" s="273"/>
      <c r="C44" s="273"/>
      <c r="D44" s="273"/>
      <c r="E44" s="273"/>
      <c r="F44" s="273"/>
      <c r="G44" s="273"/>
      <c r="H44" s="273"/>
      <c r="I44" s="273"/>
      <c r="J44" s="273"/>
      <c r="K44" s="273"/>
      <c r="L44" s="53"/>
      <c r="M44" s="273" t="s">
        <v>135</v>
      </c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58"/>
      <c r="AA44" s="273" t="s">
        <v>144</v>
      </c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</row>
    <row r="45" spans="1:45" ht="15" customHeight="1" x14ac:dyDescent="0.25">
      <c r="A45" s="273"/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5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58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  <c r="AM45" s="273"/>
    </row>
    <row r="46" spans="1:45" x14ac:dyDescent="0.25">
      <c r="A46" s="131" t="s">
        <v>13</v>
      </c>
      <c r="B46" s="131" t="s">
        <v>133</v>
      </c>
      <c r="C46" s="131" t="s">
        <v>40</v>
      </c>
      <c r="D46" s="131" t="s">
        <v>104</v>
      </c>
      <c r="E46" s="131" t="s">
        <v>22</v>
      </c>
      <c r="F46" s="131" t="s">
        <v>79</v>
      </c>
      <c r="G46" s="131" t="s">
        <v>49</v>
      </c>
      <c r="H46" s="131" t="s">
        <v>80</v>
      </c>
      <c r="I46" s="131" t="s">
        <v>134</v>
      </c>
      <c r="J46" s="131" t="s">
        <v>23</v>
      </c>
      <c r="K46" s="28" t="s">
        <v>416</v>
      </c>
      <c r="M46" s="131" t="s">
        <v>13</v>
      </c>
      <c r="N46" s="131" t="s">
        <v>133</v>
      </c>
      <c r="O46" s="131" t="s">
        <v>136</v>
      </c>
      <c r="P46" s="131" t="s">
        <v>137</v>
      </c>
      <c r="Q46" s="131" t="s">
        <v>138</v>
      </c>
      <c r="R46" s="131" t="s">
        <v>139</v>
      </c>
      <c r="S46" s="131" t="s">
        <v>159</v>
      </c>
      <c r="T46" s="131" t="s">
        <v>123</v>
      </c>
      <c r="U46" s="131" t="s">
        <v>140</v>
      </c>
      <c r="V46" s="131" t="s">
        <v>142</v>
      </c>
      <c r="W46" s="131" t="s">
        <v>141</v>
      </c>
      <c r="X46" s="131" t="s">
        <v>143</v>
      </c>
      <c r="Y46" s="28" t="s">
        <v>416</v>
      </c>
      <c r="AA46" s="131" t="s">
        <v>13</v>
      </c>
      <c r="AB46" s="131" t="s">
        <v>133</v>
      </c>
      <c r="AC46" s="131" t="s">
        <v>136</v>
      </c>
      <c r="AD46" s="131" t="s">
        <v>137</v>
      </c>
      <c r="AE46" s="131" t="s">
        <v>138</v>
      </c>
      <c r="AF46" s="131" t="s">
        <v>139</v>
      </c>
      <c r="AG46" s="131" t="s">
        <v>159</v>
      </c>
      <c r="AH46" s="131" t="s">
        <v>123</v>
      </c>
      <c r="AI46" s="131" t="s">
        <v>140</v>
      </c>
      <c r="AJ46" s="131" t="s">
        <v>142</v>
      </c>
      <c r="AK46" s="131" t="s">
        <v>141</v>
      </c>
      <c r="AL46" s="131" t="s">
        <v>143</v>
      </c>
      <c r="AM46" s="28" t="s">
        <v>416</v>
      </c>
    </row>
    <row r="47" spans="1:45" x14ac:dyDescent="0.25">
      <c r="A47" s="2">
        <f t="shared" ref="A47:A61" si="2">rho</f>
        <v>1.2230000000000001</v>
      </c>
      <c r="B47" s="2">
        <v>1</v>
      </c>
      <c r="C47" s="2">
        <f t="shared" ref="C47:C61" si="3">Sw</f>
        <v>0.24142857142857144</v>
      </c>
      <c r="D47" s="2">
        <f t="shared" ref="D47:D61" si="4">W</f>
        <v>2.5</v>
      </c>
      <c r="E47" s="2">
        <f t="shared" ref="E47" si="5">(2*D47*9.81)/(A47*(B47*B47)*C47)</f>
        <v>166.12075263562778</v>
      </c>
      <c r="F47" s="2">
        <f t="shared" ref="F47:F61" si="6">Cd0</f>
        <v>2.3369999999999998E-2</v>
      </c>
      <c r="G47" s="2">
        <v>7</v>
      </c>
      <c r="H47" s="2">
        <v>0.8</v>
      </c>
      <c r="I47" s="2">
        <f t="shared" ref="I47:I61" si="7">pie</f>
        <v>3.1415899999999999</v>
      </c>
      <c r="J47" s="47">
        <f t="shared" ref="J47" si="8">(F47+((E47*E47)/(I47*G47*H47)))</f>
        <v>1568.6162786083476</v>
      </c>
      <c r="K47" s="47">
        <f t="shared" ref="K47:K61" si="9">0.5*rho*Vstall^2*Sw*J47</f>
        <v>23158.042341194541</v>
      </c>
      <c r="M47" s="2">
        <f t="shared" ref="M47:M61" si="10">rho</f>
        <v>1.2230000000000001</v>
      </c>
      <c r="N47" s="2">
        <v>1</v>
      </c>
      <c r="O47" s="2">
        <f t="shared" ref="O47:O61" si="11">Cw</f>
        <v>0.18571428571428572</v>
      </c>
      <c r="P47" s="36">
        <v>1.4207E-5</v>
      </c>
      <c r="Q47" s="47">
        <f t="shared" ref="Q47" si="12">((N47*O47)/P47)</f>
        <v>13072.026868042918</v>
      </c>
      <c r="R47" s="2">
        <f t="shared" ref="R47:R61" si="13">(0.455)/((LOG10(Q47))^2.58)</f>
        <v>1.1818751499124598E-2</v>
      </c>
      <c r="S47" s="2">
        <f t="shared" ref="S47:S61" si="14">t_c_W</f>
        <v>0.12</v>
      </c>
      <c r="T47" s="2">
        <f t="shared" ref="T47:T61" si="15">Cw</f>
        <v>0.18571428571428572</v>
      </c>
      <c r="U47" s="2">
        <f t="shared" ref="U47" si="16">1+(2*(S47)+(60*(S47)^4))</f>
        <v>1.2524416</v>
      </c>
      <c r="V47" s="2">
        <v>0.50700000000000001</v>
      </c>
      <c r="W47" s="2">
        <f t="shared" ref="W47:W61" si="17">Sw</f>
        <v>0.24142857142857144</v>
      </c>
      <c r="X47" s="2">
        <f t="shared" ref="X47" si="18">(R47*U47*V47)/W47</f>
        <v>3.1084821678888621E-2</v>
      </c>
      <c r="Y47" s="2">
        <f t="shared" ref="Y47:Y61" si="19">0.5*rho*Vstall^2*Sw*X47</f>
        <v>0.45891632416746092</v>
      </c>
      <c r="AA47" s="2">
        <f t="shared" ref="AA47:AA61" si="20">rho</f>
        <v>1.2230000000000001</v>
      </c>
      <c r="AB47" s="2">
        <v>1</v>
      </c>
      <c r="AC47" s="2">
        <f t="shared" ref="AC47:AC61" si="21">Cht</f>
        <v>0.11696560340951685</v>
      </c>
      <c r="AD47" s="36">
        <v>1.4207E-5</v>
      </c>
      <c r="AE47" s="37">
        <f t="shared" ref="AE47" si="22">(AB47*AC47)/AD47</f>
        <v>8232.9558252633815</v>
      </c>
      <c r="AF47" s="2">
        <f t="shared" ref="AF47:AF61" si="23">(0.455)/((LOG10(AE47))^2.58)</f>
        <v>1.3446349148508544E-2</v>
      </c>
      <c r="AG47" s="47">
        <f t="shared" ref="AG47:AG61" si="24">t_c_HT</f>
        <v>3.4198088013920699E-2</v>
      </c>
      <c r="AH47" s="2">
        <f t="shared" ref="AH47:AH61" si="25">Cht</f>
        <v>0.11696560340951685</v>
      </c>
      <c r="AI47" s="2">
        <f t="shared" ref="AI47" si="26">1+(2*(AG47)+(60*(AG47)^4))</f>
        <v>1.0684782411373157</v>
      </c>
      <c r="AJ47" s="2">
        <v>9.2999999999999999E-2</v>
      </c>
      <c r="AK47" s="2">
        <f t="shared" ref="AK47:AK61" si="27">Sht</f>
        <v>4.1042857142857145E-2</v>
      </c>
      <c r="AL47" s="2">
        <f t="shared" ref="AL47" si="28">(AF47*AI47*AJ47)/AK47</f>
        <v>3.2554829789884235E-2</v>
      </c>
      <c r="AM47" s="2">
        <f t="shared" ref="AM47:AM61" si="29">0.5*rho*Vstall^2*Sw*AL47</f>
        <v>0.48061857891298593</v>
      </c>
    </row>
    <row r="48" spans="1:45" ht="15" customHeight="1" x14ac:dyDescent="0.25">
      <c r="A48" s="2">
        <f t="shared" si="2"/>
        <v>1.2230000000000001</v>
      </c>
      <c r="B48" s="2">
        <v>2</v>
      </c>
      <c r="C48" s="2">
        <f t="shared" si="3"/>
        <v>0.24142857142857144</v>
      </c>
      <c r="D48" s="2">
        <f t="shared" si="4"/>
        <v>2.5</v>
      </c>
      <c r="E48" s="2">
        <f t="shared" ref="E48:E59" si="30">(2*D48*9.81)/(A48*(B48*B48)*C48)</f>
        <v>41.530188158906945</v>
      </c>
      <c r="F48" s="2">
        <f t="shared" si="6"/>
        <v>2.3369999999999998E-2</v>
      </c>
      <c r="G48" s="2">
        <v>7</v>
      </c>
      <c r="H48" s="2">
        <v>0.8</v>
      </c>
      <c r="I48" s="2">
        <f t="shared" si="7"/>
        <v>3.1415899999999999</v>
      </c>
      <c r="J48" s="47">
        <f t="shared" ref="J48:J59" si="31">(F48+((E48*E48)/(I48*G48*H48)))</f>
        <v>98.060426788021715</v>
      </c>
      <c r="K48" s="47">
        <f t="shared" si="9"/>
        <v>1447.7011022525603</v>
      </c>
      <c r="M48" s="2">
        <f t="shared" si="10"/>
        <v>1.2230000000000001</v>
      </c>
      <c r="N48" s="2">
        <v>2</v>
      </c>
      <c r="O48" s="2">
        <f t="shared" si="11"/>
        <v>0.18571428571428572</v>
      </c>
      <c r="P48" s="36">
        <v>1.4207E-5</v>
      </c>
      <c r="Q48" s="47">
        <f t="shared" ref="Q48:Q61" si="32">((N48*O48)/P48)</f>
        <v>26144.053736085836</v>
      </c>
      <c r="R48" s="2">
        <f t="shared" si="13"/>
        <v>9.8511766853685186E-3</v>
      </c>
      <c r="S48" s="2">
        <f t="shared" si="14"/>
        <v>0.12</v>
      </c>
      <c r="T48" s="2">
        <f t="shared" si="15"/>
        <v>0.18571428571428572</v>
      </c>
      <c r="U48" s="2">
        <f t="shared" ref="U48:U61" si="33">1+(2*(S48)+(60*(S48)^4))</f>
        <v>1.2524416</v>
      </c>
      <c r="V48" s="2">
        <v>0.50700000000000001</v>
      </c>
      <c r="W48" s="2">
        <f t="shared" si="17"/>
        <v>0.24142857142857144</v>
      </c>
      <c r="X48" s="2">
        <f t="shared" ref="X48:X61" si="34">(R48*U48*V48)/W48</f>
        <v>2.5909849328381852E-2</v>
      </c>
      <c r="Y48" s="2">
        <f t="shared" si="19"/>
        <v>0.38251635915251858</v>
      </c>
      <c r="AA48" s="2">
        <f t="shared" si="20"/>
        <v>1.2230000000000001</v>
      </c>
      <c r="AB48" s="2">
        <v>2</v>
      </c>
      <c r="AC48" s="2">
        <f t="shared" si="21"/>
        <v>0.11696560340951685</v>
      </c>
      <c r="AD48" s="36">
        <v>1.4207E-5</v>
      </c>
      <c r="AE48" s="37">
        <f t="shared" ref="AE48:AE61" si="35">(AB48*AC48)/AD48</f>
        <v>16465.911650526763</v>
      </c>
      <c r="AF48" s="2">
        <f t="shared" si="23"/>
        <v>1.1107393855406329E-2</v>
      </c>
      <c r="AG48" s="47">
        <f t="shared" si="24"/>
        <v>3.4198088013920699E-2</v>
      </c>
      <c r="AH48" s="2">
        <f t="shared" si="25"/>
        <v>0.11696560340951685</v>
      </c>
      <c r="AI48" s="2">
        <f t="shared" ref="AI48:AI61" si="36">1+(2*(AG48)+(60*(AG48)^4))</f>
        <v>1.0684782411373157</v>
      </c>
      <c r="AJ48" s="2">
        <v>9.2999999999999999E-2</v>
      </c>
      <c r="AK48" s="2">
        <f t="shared" si="27"/>
        <v>4.1042857142857145E-2</v>
      </c>
      <c r="AL48" s="2">
        <f t="shared" ref="AL48:AL61" si="37">(AF48*AI48*AJ48)/AK48</f>
        <v>2.6892007070340524E-2</v>
      </c>
      <c r="AM48" s="2">
        <f t="shared" si="29"/>
        <v>0.39701630466767657</v>
      </c>
    </row>
    <row r="49" spans="1:39" ht="15" customHeight="1" x14ac:dyDescent="0.25">
      <c r="A49" s="2">
        <f t="shared" si="2"/>
        <v>1.2230000000000001</v>
      </c>
      <c r="B49" s="2">
        <v>3</v>
      </c>
      <c r="C49" s="2">
        <f t="shared" si="3"/>
        <v>0.24142857142857144</v>
      </c>
      <c r="D49" s="2">
        <f t="shared" si="4"/>
        <v>2.5</v>
      </c>
      <c r="E49" s="2">
        <f t="shared" si="30"/>
        <v>18.457861403958642</v>
      </c>
      <c r="F49" s="2">
        <f t="shared" si="6"/>
        <v>2.3369999999999998E-2</v>
      </c>
      <c r="G49" s="2">
        <v>7</v>
      </c>
      <c r="H49" s="2">
        <v>0.8</v>
      </c>
      <c r="I49" s="2">
        <f t="shared" si="7"/>
        <v>3.1415899999999999</v>
      </c>
      <c r="J49" s="47">
        <f t="shared" si="31"/>
        <v>19.388714550720341</v>
      </c>
      <c r="K49" s="47">
        <f t="shared" si="9"/>
        <v>286.24251745319538</v>
      </c>
      <c r="M49" s="2">
        <f t="shared" si="10"/>
        <v>1.2230000000000001</v>
      </c>
      <c r="N49" s="2">
        <v>3</v>
      </c>
      <c r="O49" s="2">
        <f t="shared" si="11"/>
        <v>0.18571428571428572</v>
      </c>
      <c r="P49" s="36">
        <v>1.4207E-5</v>
      </c>
      <c r="Q49" s="47">
        <f t="shared" si="32"/>
        <v>39216.080604128751</v>
      </c>
      <c r="R49" s="2">
        <f t="shared" si="13"/>
        <v>8.9061362142599208E-3</v>
      </c>
      <c r="S49" s="2">
        <f t="shared" si="14"/>
        <v>0.12</v>
      </c>
      <c r="T49" s="2">
        <f t="shared" si="15"/>
        <v>0.18571428571428572</v>
      </c>
      <c r="U49" s="2">
        <f t="shared" si="33"/>
        <v>1.2524416</v>
      </c>
      <c r="V49" s="2">
        <v>0.50700000000000001</v>
      </c>
      <c r="W49" s="2">
        <f t="shared" si="17"/>
        <v>0.24142857142857144</v>
      </c>
      <c r="X49" s="2">
        <f t="shared" si="34"/>
        <v>2.3424272529011841E-2</v>
      </c>
      <c r="Y49" s="2">
        <f t="shared" si="19"/>
        <v>0.34582090115741931</v>
      </c>
      <c r="AA49" s="2">
        <f t="shared" si="20"/>
        <v>1.2230000000000001</v>
      </c>
      <c r="AB49" s="2">
        <v>3</v>
      </c>
      <c r="AC49" s="2">
        <f t="shared" si="21"/>
        <v>0.11696560340951685</v>
      </c>
      <c r="AD49" s="36">
        <v>1.4207E-5</v>
      </c>
      <c r="AE49" s="37">
        <f t="shared" si="35"/>
        <v>24698.867475790143</v>
      </c>
      <c r="AF49" s="2">
        <f t="shared" si="23"/>
        <v>9.9947024543503848E-3</v>
      </c>
      <c r="AG49" s="47">
        <f t="shared" si="24"/>
        <v>3.4198088013920699E-2</v>
      </c>
      <c r="AH49" s="2">
        <f t="shared" si="25"/>
        <v>0.11696560340951685</v>
      </c>
      <c r="AI49" s="2">
        <f t="shared" si="36"/>
        <v>1.0684782411373157</v>
      </c>
      <c r="AJ49" s="2">
        <v>9.2999999999999999E-2</v>
      </c>
      <c r="AK49" s="2">
        <f t="shared" si="27"/>
        <v>4.1042857142857145E-2</v>
      </c>
      <c r="AL49" s="2">
        <f t="shared" si="37"/>
        <v>2.4198080356853245E-2</v>
      </c>
      <c r="AM49" s="2">
        <f t="shared" si="29"/>
        <v>0.35724490247978052</v>
      </c>
    </row>
    <row r="50" spans="1:39" x14ac:dyDescent="0.25">
      <c r="A50" s="2">
        <f t="shared" si="2"/>
        <v>1.2230000000000001</v>
      </c>
      <c r="B50" s="2">
        <v>4</v>
      </c>
      <c r="C50" s="2">
        <f t="shared" si="3"/>
        <v>0.24142857142857144</v>
      </c>
      <c r="D50" s="2">
        <f t="shared" si="4"/>
        <v>2.5</v>
      </c>
      <c r="E50" s="2">
        <f t="shared" si="30"/>
        <v>10.382547039726736</v>
      </c>
      <c r="F50" s="2">
        <f t="shared" si="6"/>
        <v>2.3369999999999998E-2</v>
      </c>
      <c r="G50" s="2">
        <v>7</v>
      </c>
      <c r="H50" s="2">
        <v>0.8</v>
      </c>
      <c r="I50" s="2">
        <f t="shared" si="7"/>
        <v>3.1415899999999999</v>
      </c>
      <c r="J50" s="47">
        <f t="shared" si="31"/>
        <v>6.1506860492513571</v>
      </c>
      <c r="K50" s="47">
        <f t="shared" si="9"/>
        <v>90.804774818686809</v>
      </c>
      <c r="M50" s="2">
        <f t="shared" si="10"/>
        <v>1.2230000000000001</v>
      </c>
      <c r="N50" s="2">
        <v>4</v>
      </c>
      <c r="O50" s="2">
        <f t="shared" si="11"/>
        <v>0.18571428571428572</v>
      </c>
      <c r="P50" s="36">
        <v>1.4207E-5</v>
      </c>
      <c r="Q50" s="47">
        <f t="shared" si="32"/>
        <v>52288.107472171672</v>
      </c>
      <c r="R50" s="2">
        <f t="shared" si="13"/>
        <v>8.3103675867705184E-3</v>
      </c>
      <c r="S50" s="2">
        <f t="shared" si="14"/>
        <v>0.12</v>
      </c>
      <c r="T50" s="2">
        <f t="shared" si="15"/>
        <v>0.18571428571428572</v>
      </c>
      <c r="U50" s="2">
        <f t="shared" si="33"/>
        <v>1.2524416</v>
      </c>
      <c r="V50" s="2">
        <v>0.50700000000000001</v>
      </c>
      <c r="W50" s="2">
        <f t="shared" si="17"/>
        <v>0.24142857142857144</v>
      </c>
      <c r="X50" s="2">
        <f t="shared" si="34"/>
        <v>2.1857325161622317E-2</v>
      </c>
      <c r="Y50" s="2">
        <f t="shared" si="19"/>
        <v>0.322687497548588</v>
      </c>
      <c r="AA50" s="2">
        <f t="shared" si="20"/>
        <v>1.2230000000000001</v>
      </c>
      <c r="AB50" s="2">
        <v>4</v>
      </c>
      <c r="AC50" s="2">
        <f t="shared" si="21"/>
        <v>0.11696560340951685</v>
      </c>
      <c r="AD50" s="36">
        <v>1.4207E-5</v>
      </c>
      <c r="AE50" s="37">
        <f t="shared" si="35"/>
        <v>32931.823301053526</v>
      </c>
      <c r="AF50" s="2">
        <f t="shared" si="23"/>
        <v>9.2970555288187373E-3</v>
      </c>
      <c r="AG50" s="47">
        <f t="shared" si="24"/>
        <v>3.4198088013920699E-2</v>
      </c>
      <c r="AH50" s="2">
        <f t="shared" si="25"/>
        <v>0.11696560340951685</v>
      </c>
      <c r="AI50" s="2">
        <f t="shared" si="36"/>
        <v>1.0684782411373157</v>
      </c>
      <c r="AJ50" s="2">
        <v>9.2999999999999999E-2</v>
      </c>
      <c r="AK50" s="2">
        <f t="shared" si="27"/>
        <v>4.1042857142857145E-2</v>
      </c>
      <c r="AL50" s="2">
        <f t="shared" si="37"/>
        <v>2.2509013929730311E-2</v>
      </c>
      <c r="AM50" s="2">
        <f t="shared" si="29"/>
        <v>0.33230861157815494</v>
      </c>
    </row>
    <row r="51" spans="1:39" x14ac:dyDescent="0.25">
      <c r="A51" s="2">
        <f t="shared" si="2"/>
        <v>1.2230000000000001</v>
      </c>
      <c r="B51" s="2">
        <v>5</v>
      </c>
      <c r="C51" s="2">
        <f t="shared" si="3"/>
        <v>0.24142857142857144</v>
      </c>
      <c r="D51" s="2">
        <f t="shared" si="4"/>
        <v>2.5</v>
      </c>
      <c r="E51" s="2">
        <f t="shared" si="30"/>
        <v>6.6448301054251111</v>
      </c>
      <c r="F51" s="2">
        <f t="shared" si="6"/>
        <v>2.3369999999999998E-2</v>
      </c>
      <c r="G51" s="2">
        <v>7</v>
      </c>
      <c r="H51" s="2">
        <v>0.8</v>
      </c>
      <c r="I51" s="2">
        <f t="shared" si="7"/>
        <v>3.1415899999999999</v>
      </c>
      <c r="J51" s="47">
        <f t="shared" si="31"/>
        <v>2.5331186537733563</v>
      </c>
      <c r="K51" s="47">
        <f t="shared" si="9"/>
        <v>37.39733537088955</v>
      </c>
      <c r="M51" s="2">
        <f t="shared" si="10"/>
        <v>1.2230000000000001</v>
      </c>
      <c r="N51" s="2">
        <v>5</v>
      </c>
      <c r="O51" s="2">
        <f t="shared" si="11"/>
        <v>0.18571428571428572</v>
      </c>
      <c r="P51" s="36">
        <v>1.4207E-5</v>
      </c>
      <c r="Q51" s="47">
        <f t="shared" si="32"/>
        <v>65360.134340214587</v>
      </c>
      <c r="R51" s="2">
        <f t="shared" si="13"/>
        <v>7.8856980745484698E-3</v>
      </c>
      <c r="S51" s="2">
        <f t="shared" si="14"/>
        <v>0.12</v>
      </c>
      <c r="T51" s="2">
        <f t="shared" si="15"/>
        <v>0.18571428571428572</v>
      </c>
      <c r="U51" s="2">
        <f t="shared" si="33"/>
        <v>1.2524416</v>
      </c>
      <c r="V51" s="2">
        <v>0.50700000000000001</v>
      </c>
      <c r="W51" s="2">
        <f t="shared" si="17"/>
        <v>0.24142857142857144</v>
      </c>
      <c r="X51" s="2">
        <f t="shared" si="34"/>
        <v>2.0740390258569254E-2</v>
      </c>
      <c r="Y51" s="2">
        <f t="shared" si="19"/>
        <v>0.3061977886694931</v>
      </c>
      <c r="AA51" s="2">
        <f t="shared" si="20"/>
        <v>1.2230000000000001</v>
      </c>
      <c r="AB51" s="2">
        <v>5</v>
      </c>
      <c r="AC51" s="2">
        <f t="shared" si="21"/>
        <v>0.11696560340951685</v>
      </c>
      <c r="AD51" s="36">
        <v>1.4207E-5</v>
      </c>
      <c r="AE51" s="37">
        <f t="shared" si="35"/>
        <v>41164.779126316906</v>
      </c>
      <c r="AF51" s="2">
        <f t="shared" si="23"/>
        <v>8.8016386907676259E-3</v>
      </c>
      <c r="AG51" s="47">
        <f t="shared" si="24"/>
        <v>3.4198088013920699E-2</v>
      </c>
      <c r="AH51" s="2">
        <f t="shared" si="25"/>
        <v>0.11696560340951685</v>
      </c>
      <c r="AI51" s="2">
        <f t="shared" si="36"/>
        <v>1.0684782411373157</v>
      </c>
      <c r="AJ51" s="2">
        <v>9.2999999999999999E-2</v>
      </c>
      <c r="AK51" s="2">
        <f t="shared" si="27"/>
        <v>4.1042857142857145E-2</v>
      </c>
      <c r="AL51" s="2">
        <f t="shared" si="37"/>
        <v>2.1309564870385791E-2</v>
      </c>
      <c r="AM51" s="2">
        <f t="shared" si="29"/>
        <v>0.31460071674038775</v>
      </c>
    </row>
    <row r="52" spans="1:39" ht="15" customHeight="1" x14ac:dyDescent="0.25">
      <c r="A52" s="2">
        <f t="shared" si="2"/>
        <v>1.2230000000000001</v>
      </c>
      <c r="B52" s="2">
        <v>6</v>
      </c>
      <c r="C52" s="2">
        <f t="shared" si="3"/>
        <v>0.24142857142857144</v>
      </c>
      <c r="D52" s="2">
        <f t="shared" si="4"/>
        <v>2.5</v>
      </c>
      <c r="E52" s="2">
        <f t="shared" si="30"/>
        <v>4.6144653509896605</v>
      </c>
      <c r="F52" s="2">
        <f t="shared" si="6"/>
        <v>2.3369999999999998E-2</v>
      </c>
      <c r="G52" s="2">
        <v>7</v>
      </c>
      <c r="H52" s="2">
        <v>0.8</v>
      </c>
      <c r="I52" s="2">
        <f t="shared" si="7"/>
        <v>3.1415899999999999</v>
      </c>
      <c r="J52" s="47">
        <f t="shared" si="31"/>
        <v>1.2337040344200212</v>
      </c>
      <c r="K52" s="47">
        <f t="shared" si="9"/>
        <v>18.213613268726494</v>
      </c>
      <c r="M52" s="2">
        <f t="shared" si="10"/>
        <v>1.2230000000000001</v>
      </c>
      <c r="N52" s="2">
        <v>6</v>
      </c>
      <c r="O52" s="2">
        <f t="shared" si="11"/>
        <v>0.18571428571428572</v>
      </c>
      <c r="P52" s="36">
        <v>1.4207E-5</v>
      </c>
      <c r="Q52" s="47">
        <f t="shared" si="32"/>
        <v>78432.161208257501</v>
      </c>
      <c r="R52" s="2">
        <f t="shared" si="13"/>
        <v>7.5607561216459347E-3</v>
      </c>
      <c r="S52" s="2">
        <f t="shared" si="14"/>
        <v>0.12</v>
      </c>
      <c r="T52" s="2">
        <f t="shared" si="15"/>
        <v>0.18571428571428572</v>
      </c>
      <c r="U52" s="2">
        <f t="shared" si="33"/>
        <v>1.2524416</v>
      </c>
      <c r="V52" s="2">
        <v>0.50700000000000001</v>
      </c>
      <c r="W52" s="2">
        <f t="shared" si="17"/>
        <v>0.24142857142857144</v>
      </c>
      <c r="X52" s="2">
        <f t="shared" si="34"/>
        <v>1.9885751537828459E-2</v>
      </c>
      <c r="Y52" s="2">
        <f t="shared" si="19"/>
        <v>0.29358045200708222</v>
      </c>
      <c r="AA52" s="2">
        <f t="shared" si="20"/>
        <v>1.2230000000000001</v>
      </c>
      <c r="AB52" s="2">
        <v>6</v>
      </c>
      <c r="AC52" s="2">
        <f t="shared" si="21"/>
        <v>0.11696560340951685</v>
      </c>
      <c r="AD52" s="36">
        <v>1.4207E-5</v>
      </c>
      <c r="AE52" s="37">
        <f t="shared" si="35"/>
        <v>49397.734951580285</v>
      </c>
      <c r="AF52" s="2">
        <f t="shared" si="23"/>
        <v>8.4236472281543455E-3</v>
      </c>
      <c r="AG52" s="47">
        <f t="shared" si="24"/>
        <v>3.4198088013920699E-2</v>
      </c>
      <c r="AH52" s="2">
        <f t="shared" si="25"/>
        <v>0.11696560340951685</v>
      </c>
      <c r="AI52" s="2">
        <f t="shared" si="36"/>
        <v>1.0684782411373157</v>
      </c>
      <c r="AJ52" s="2">
        <v>9.2999999999999999E-2</v>
      </c>
      <c r="AK52" s="2">
        <f t="shared" si="27"/>
        <v>4.1042857142857145E-2</v>
      </c>
      <c r="AL52" s="2">
        <f t="shared" si="37"/>
        <v>2.0394413286004266E-2</v>
      </c>
      <c r="AM52" s="2">
        <f t="shared" si="29"/>
        <v>0.30109000706031169</v>
      </c>
    </row>
    <row r="53" spans="1:39" ht="15" customHeight="1" x14ac:dyDescent="0.25">
      <c r="A53" s="2">
        <f t="shared" si="2"/>
        <v>1.2230000000000001</v>
      </c>
      <c r="B53" s="2">
        <v>7</v>
      </c>
      <c r="C53" s="2">
        <f t="shared" si="3"/>
        <v>0.24142857142857144</v>
      </c>
      <c r="D53" s="2">
        <f t="shared" si="4"/>
        <v>2.5</v>
      </c>
      <c r="E53" s="2">
        <f t="shared" si="30"/>
        <v>3.3902194415434241</v>
      </c>
      <c r="F53" s="2">
        <f t="shared" si="6"/>
        <v>2.3369999999999998E-2</v>
      </c>
      <c r="G53" s="2">
        <v>7</v>
      </c>
      <c r="H53" s="2">
        <v>0.8</v>
      </c>
      <c r="I53" s="2">
        <f t="shared" si="7"/>
        <v>3.1415899999999999</v>
      </c>
      <c r="J53" s="47">
        <f t="shared" si="31"/>
        <v>0.67667816685062376</v>
      </c>
      <c r="K53" s="47">
        <f t="shared" si="9"/>
        <v>9.9900414479896344</v>
      </c>
      <c r="M53" s="2">
        <f t="shared" si="10"/>
        <v>1.2230000000000001</v>
      </c>
      <c r="N53" s="2">
        <v>7</v>
      </c>
      <c r="O53" s="2">
        <f t="shared" si="11"/>
        <v>0.18571428571428572</v>
      </c>
      <c r="P53" s="36">
        <v>1.4207E-5</v>
      </c>
      <c r="Q53" s="47">
        <f t="shared" si="32"/>
        <v>91504.188076300416</v>
      </c>
      <c r="R53" s="2">
        <f t="shared" si="13"/>
        <v>7.3003418726785988E-3</v>
      </c>
      <c r="S53" s="2">
        <f t="shared" si="14"/>
        <v>0.12</v>
      </c>
      <c r="T53" s="2">
        <f t="shared" si="15"/>
        <v>0.18571428571428572</v>
      </c>
      <c r="U53" s="2">
        <f t="shared" si="33"/>
        <v>1.2524416</v>
      </c>
      <c r="V53" s="2">
        <v>0.50700000000000001</v>
      </c>
      <c r="W53" s="2">
        <f t="shared" si="17"/>
        <v>0.24142857142857144</v>
      </c>
      <c r="X53" s="2">
        <f t="shared" si="34"/>
        <v>1.9200828896685618E-2</v>
      </c>
      <c r="Y53" s="2">
        <f t="shared" si="19"/>
        <v>0.28346869444066147</v>
      </c>
      <c r="AA53" s="2">
        <f t="shared" si="20"/>
        <v>1.2230000000000001</v>
      </c>
      <c r="AB53" s="2">
        <v>7</v>
      </c>
      <c r="AC53" s="2">
        <f t="shared" si="21"/>
        <v>0.11696560340951685</v>
      </c>
      <c r="AD53" s="36">
        <v>1.4207E-5</v>
      </c>
      <c r="AE53" s="37">
        <f t="shared" si="35"/>
        <v>57630.690776843665</v>
      </c>
      <c r="AF53" s="2">
        <f t="shared" si="23"/>
        <v>8.1214123597829688E-3</v>
      </c>
      <c r="AG53" s="47">
        <f t="shared" si="24"/>
        <v>3.4198088013920699E-2</v>
      </c>
      <c r="AH53" s="2">
        <f t="shared" si="25"/>
        <v>0.11696560340951685</v>
      </c>
      <c r="AI53" s="2">
        <f t="shared" si="36"/>
        <v>1.0684782411373157</v>
      </c>
      <c r="AJ53" s="2">
        <v>9.2999999999999999E-2</v>
      </c>
      <c r="AK53" s="2">
        <f t="shared" si="27"/>
        <v>4.1042857142857145E-2</v>
      </c>
      <c r="AL53" s="2">
        <f t="shared" si="37"/>
        <v>1.9662675281306569E-2</v>
      </c>
      <c r="AM53" s="2">
        <f t="shared" si="29"/>
        <v>0.29028709756195792</v>
      </c>
    </row>
    <row r="54" spans="1:39" x14ac:dyDescent="0.25">
      <c r="A54" s="2">
        <f t="shared" si="2"/>
        <v>1.2230000000000001</v>
      </c>
      <c r="B54" s="2">
        <v>8</v>
      </c>
      <c r="C54" s="2">
        <f t="shared" si="3"/>
        <v>0.24142857142857144</v>
      </c>
      <c r="D54" s="2">
        <f t="shared" si="4"/>
        <v>2.5</v>
      </c>
      <c r="E54" s="2">
        <f t="shared" si="30"/>
        <v>2.5956367599316841</v>
      </c>
      <c r="F54" s="2">
        <f t="shared" si="6"/>
        <v>2.3369999999999998E-2</v>
      </c>
      <c r="G54" s="2">
        <v>7</v>
      </c>
      <c r="H54" s="2">
        <v>0.8</v>
      </c>
      <c r="I54" s="2">
        <f t="shared" si="7"/>
        <v>3.1415899999999999</v>
      </c>
      <c r="J54" s="47">
        <f t="shared" si="31"/>
        <v>0.40632725307820983</v>
      </c>
      <c r="K54" s="47">
        <f t="shared" si="9"/>
        <v>5.9987543540697112</v>
      </c>
      <c r="M54" s="2">
        <f t="shared" si="10"/>
        <v>1.2230000000000001</v>
      </c>
      <c r="N54" s="2">
        <v>8</v>
      </c>
      <c r="O54" s="2">
        <f t="shared" si="11"/>
        <v>0.18571428571428572</v>
      </c>
      <c r="P54" s="36">
        <v>1.4207E-5</v>
      </c>
      <c r="Q54" s="47">
        <f t="shared" si="32"/>
        <v>104576.21494434334</v>
      </c>
      <c r="R54" s="2">
        <f t="shared" si="13"/>
        <v>7.0847150570236793E-3</v>
      </c>
      <c r="S54" s="2">
        <f t="shared" si="14"/>
        <v>0.12</v>
      </c>
      <c r="T54" s="2">
        <f t="shared" si="15"/>
        <v>0.18571428571428572</v>
      </c>
      <c r="U54" s="2">
        <f t="shared" si="33"/>
        <v>1.2524416</v>
      </c>
      <c r="V54" s="2">
        <v>0.50700000000000001</v>
      </c>
      <c r="W54" s="2">
        <f t="shared" si="17"/>
        <v>0.24142857142857144</v>
      </c>
      <c r="X54" s="2">
        <f t="shared" si="34"/>
        <v>1.863370290928194E-2</v>
      </c>
      <c r="Y54" s="2">
        <f t="shared" si="19"/>
        <v>0.27509601094362546</v>
      </c>
      <c r="AA54" s="2">
        <f t="shared" si="20"/>
        <v>1.2230000000000001</v>
      </c>
      <c r="AB54" s="2">
        <v>8</v>
      </c>
      <c r="AC54" s="2">
        <f t="shared" si="21"/>
        <v>0.11696560340951685</v>
      </c>
      <c r="AD54" s="36">
        <v>1.4207E-5</v>
      </c>
      <c r="AE54" s="37">
        <f t="shared" si="35"/>
        <v>65863.646602107052</v>
      </c>
      <c r="AF54" s="2">
        <f t="shared" si="23"/>
        <v>7.8716339903617209E-3</v>
      </c>
      <c r="AG54" s="47">
        <f t="shared" si="24"/>
        <v>3.4198088013920699E-2</v>
      </c>
      <c r="AH54" s="2">
        <f t="shared" si="25"/>
        <v>0.11696560340951685</v>
      </c>
      <c r="AI54" s="2">
        <f t="shared" si="36"/>
        <v>1.0684782411373157</v>
      </c>
      <c r="AJ54" s="2">
        <v>9.2999999999999999E-2</v>
      </c>
      <c r="AK54" s="2">
        <f t="shared" si="27"/>
        <v>4.1042857142857145E-2</v>
      </c>
      <c r="AL54" s="2">
        <f t="shared" si="37"/>
        <v>1.9057939214148483E-2</v>
      </c>
      <c r="AM54" s="2">
        <f t="shared" si="29"/>
        <v>0.28135916302533626</v>
      </c>
    </row>
    <row r="55" spans="1:39" x14ac:dyDescent="0.25">
      <c r="A55" s="27">
        <f t="shared" si="2"/>
        <v>1.2230000000000001</v>
      </c>
      <c r="B55" s="27">
        <v>9</v>
      </c>
      <c r="C55" s="27">
        <f t="shared" si="3"/>
        <v>0.24142857142857144</v>
      </c>
      <c r="D55" s="27">
        <f t="shared" si="4"/>
        <v>2.5</v>
      </c>
      <c r="E55" s="27">
        <f t="shared" si="30"/>
        <v>2.0508734893287381</v>
      </c>
      <c r="F55" s="27">
        <f t="shared" si="6"/>
        <v>2.3369999999999998E-2</v>
      </c>
      <c r="G55" s="27">
        <v>7</v>
      </c>
      <c r="H55" s="27">
        <v>0.8</v>
      </c>
      <c r="I55" s="27">
        <f t="shared" si="7"/>
        <v>3.1415899999999999</v>
      </c>
      <c r="J55" s="48">
        <f t="shared" si="31"/>
        <v>0.26244832778667093</v>
      </c>
      <c r="K55" s="48">
        <f t="shared" si="9"/>
        <v>3.8746183946602613</v>
      </c>
      <c r="M55" s="27">
        <f t="shared" si="10"/>
        <v>1.2230000000000001</v>
      </c>
      <c r="N55" s="27">
        <v>9</v>
      </c>
      <c r="O55" s="27">
        <f t="shared" si="11"/>
        <v>0.18571428571428572</v>
      </c>
      <c r="P55" s="134">
        <v>1.4207E-5</v>
      </c>
      <c r="Q55" s="48">
        <f t="shared" si="32"/>
        <v>117648.24181238626</v>
      </c>
      <c r="R55" s="27">
        <f t="shared" si="13"/>
        <v>6.9017859391604687E-3</v>
      </c>
      <c r="S55" s="27">
        <f t="shared" si="14"/>
        <v>0.12</v>
      </c>
      <c r="T55" s="27">
        <f t="shared" si="15"/>
        <v>0.18571428571428572</v>
      </c>
      <c r="U55" s="27">
        <f t="shared" si="33"/>
        <v>1.2524416</v>
      </c>
      <c r="V55" s="27">
        <v>0.50700000000000001</v>
      </c>
      <c r="W55" s="27">
        <f t="shared" si="17"/>
        <v>0.24142857142857144</v>
      </c>
      <c r="X55" s="27">
        <f t="shared" si="34"/>
        <v>1.8152576031449246E-2</v>
      </c>
      <c r="Y55" s="27">
        <f t="shared" si="19"/>
        <v>0.26799296301515363</v>
      </c>
      <c r="AA55" s="27">
        <f t="shared" si="20"/>
        <v>1.2230000000000001</v>
      </c>
      <c r="AB55" s="27">
        <v>9</v>
      </c>
      <c r="AC55" s="27">
        <f t="shared" si="21"/>
        <v>0.11696560340951685</v>
      </c>
      <c r="AD55" s="134">
        <v>1.4207E-5</v>
      </c>
      <c r="AE55" s="71">
        <f t="shared" si="35"/>
        <v>74096.602427370439</v>
      </c>
      <c r="AF55" s="27">
        <f t="shared" si="23"/>
        <v>7.6600761255047507E-3</v>
      </c>
      <c r="AG55" s="48">
        <f t="shared" si="24"/>
        <v>3.4198088013920699E-2</v>
      </c>
      <c r="AH55" s="27">
        <f t="shared" si="25"/>
        <v>0.11696560340951685</v>
      </c>
      <c r="AI55" s="27">
        <f t="shared" si="36"/>
        <v>1.0684782411373157</v>
      </c>
      <c r="AJ55" s="27">
        <v>9.2999999999999999E-2</v>
      </c>
      <c r="AK55" s="27">
        <f t="shared" si="27"/>
        <v>4.1042857142857145E-2</v>
      </c>
      <c r="AL55" s="27">
        <f t="shared" si="37"/>
        <v>1.8545738452063264E-2</v>
      </c>
      <c r="AM55" s="27">
        <f t="shared" si="29"/>
        <v>0.27379736024582857</v>
      </c>
    </row>
    <row r="56" spans="1:39" ht="15" customHeight="1" x14ac:dyDescent="0.25">
      <c r="A56" s="2">
        <f t="shared" si="2"/>
        <v>1.2230000000000001</v>
      </c>
      <c r="B56" s="2">
        <v>10</v>
      </c>
      <c r="C56" s="2">
        <f t="shared" si="3"/>
        <v>0.24142857142857144</v>
      </c>
      <c r="D56" s="2">
        <f t="shared" si="4"/>
        <v>2.5</v>
      </c>
      <c r="E56" s="2">
        <f t="shared" si="30"/>
        <v>1.6612075263562778</v>
      </c>
      <c r="F56" s="2">
        <f t="shared" si="6"/>
        <v>2.3369999999999998E-2</v>
      </c>
      <c r="G56" s="2">
        <v>7</v>
      </c>
      <c r="H56" s="2">
        <v>0.8</v>
      </c>
      <c r="I56" s="2">
        <f t="shared" si="7"/>
        <v>3.1415899999999999</v>
      </c>
      <c r="J56" s="47">
        <f t="shared" si="31"/>
        <v>0.18022929086083478</v>
      </c>
      <c r="K56" s="47">
        <f t="shared" si="9"/>
        <v>2.660789388582383</v>
      </c>
      <c r="M56" s="2">
        <f t="shared" si="10"/>
        <v>1.2230000000000001</v>
      </c>
      <c r="N56" s="2">
        <v>10</v>
      </c>
      <c r="O56" s="2">
        <f t="shared" si="11"/>
        <v>0.18571428571428572</v>
      </c>
      <c r="P56" s="36">
        <v>1.4207E-5</v>
      </c>
      <c r="Q56" s="47">
        <f t="shared" si="32"/>
        <v>130720.26868042917</v>
      </c>
      <c r="R56" s="2">
        <f t="shared" si="13"/>
        <v>6.7436575716775631E-3</v>
      </c>
      <c r="S56" s="2">
        <f t="shared" si="14"/>
        <v>0.12</v>
      </c>
      <c r="T56" s="2">
        <f t="shared" si="15"/>
        <v>0.18571428571428572</v>
      </c>
      <c r="U56" s="2">
        <f t="shared" si="33"/>
        <v>1.2524416</v>
      </c>
      <c r="V56" s="2">
        <v>0.50700000000000001</v>
      </c>
      <c r="W56" s="2">
        <f t="shared" si="17"/>
        <v>0.24142857142857144</v>
      </c>
      <c r="X56" s="2">
        <f t="shared" si="34"/>
        <v>1.7736678285740319E-2</v>
      </c>
      <c r="Y56" s="2">
        <f t="shared" si="19"/>
        <v>0.26185291606034355</v>
      </c>
      <c r="AA56" s="2">
        <f t="shared" si="20"/>
        <v>1.2230000000000001</v>
      </c>
      <c r="AB56" s="2">
        <v>10</v>
      </c>
      <c r="AC56" s="2">
        <f t="shared" si="21"/>
        <v>0.11696560340951685</v>
      </c>
      <c r="AD56" s="36">
        <v>1.4207E-5</v>
      </c>
      <c r="AE56" s="37">
        <f t="shared" si="35"/>
        <v>82329.558252633811</v>
      </c>
      <c r="AF56" s="2">
        <f t="shared" si="23"/>
        <v>7.4774585360971235E-3</v>
      </c>
      <c r="AG56" s="47">
        <f t="shared" si="24"/>
        <v>3.4198088013920699E-2</v>
      </c>
      <c r="AH56" s="2">
        <f t="shared" si="25"/>
        <v>0.11696560340951685</v>
      </c>
      <c r="AI56" s="2">
        <f t="shared" si="36"/>
        <v>1.0684782411373157</v>
      </c>
      <c r="AJ56" s="2">
        <v>9.2999999999999999E-2</v>
      </c>
      <c r="AK56" s="2">
        <f t="shared" si="27"/>
        <v>4.1042857142857145E-2</v>
      </c>
      <c r="AL56" s="2">
        <f t="shared" si="37"/>
        <v>1.8103604719394002E-2</v>
      </c>
      <c r="AM56" s="2">
        <f t="shared" si="29"/>
        <v>0.26726998204552771</v>
      </c>
    </row>
    <row r="57" spans="1:39" ht="15" customHeight="1" x14ac:dyDescent="0.25">
      <c r="A57" s="2">
        <f t="shared" si="2"/>
        <v>1.2230000000000001</v>
      </c>
      <c r="B57" s="2">
        <v>11</v>
      </c>
      <c r="C57" s="2">
        <f t="shared" si="3"/>
        <v>0.24142857142857144</v>
      </c>
      <c r="D57" s="2">
        <f t="shared" si="4"/>
        <v>2.5</v>
      </c>
      <c r="E57" s="2">
        <f t="shared" si="30"/>
        <v>1.3728987821126264</v>
      </c>
      <c r="F57" s="2">
        <f t="shared" si="6"/>
        <v>2.3369999999999998E-2</v>
      </c>
      <c r="G57" s="2">
        <v>7</v>
      </c>
      <c r="H57" s="2">
        <v>0.8</v>
      </c>
      <c r="I57" s="2">
        <f t="shared" si="7"/>
        <v>3.1415899999999999</v>
      </c>
      <c r="J57" s="47">
        <f t="shared" si="31"/>
        <v>0.13050700625697342</v>
      </c>
      <c r="K57" s="47">
        <f t="shared" si="9"/>
        <v>1.9267215430167905</v>
      </c>
      <c r="M57" s="2">
        <f t="shared" si="10"/>
        <v>1.2230000000000001</v>
      </c>
      <c r="N57" s="2">
        <v>11</v>
      </c>
      <c r="O57" s="2">
        <f t="shared" si="11"/>
        <v>0.18571428571428572</v>
      </c>
      <c r="P57" s="36">
        <v>1.4207E-5</v>
      </c>
      <c r="Q57" s="47">
        <f t="shared" si="32"/>
        <v>143792.29554847209</v>
      </c>
      <c r="R57" s="2">
        <f t="shared" si="13"/>
        <v>6.6049111361575399E-3</v>
      </c>
      <c r="S57" s="2">
        <f t="shared" si="14"/>
        <v>0.12</v>
      </c>
      <c r="T57" s="2">
        <f t="shared" si="15"/>
        <v>0.18571428571428572</v>
      </c>
      <c r="U57" s="2">
        <f t="shared" si="33"/>
        <v>1.2524416</v>
      </c>
      <c r="V57" s="2">
        <v>0.50700000000000001</v>
      </c>
      <c r="W57" s="2">
        <f t="shared" si="17"/>
        <v>0.24142857142857144</v>
      </c>
      <c r="X57" s="2">
        <f t="shared" si="34"/>
        <v>1.7371757489576634E-2</v>
      </c>
      <c r="Y57" s="2">
        <f t="shared" si="19"/>
        <v>0.2564654600177233</v>
      </c>
      <c r="AA57" s="2">
        <f t="shared" si="20"/>
        <v>1.2230000000000001</v>
      </c>
      <c r="AB57" s="2">
        <v>11</v>
      </c>
      <c r="AC57" s="2">
        <f t="shared" si="21"/>
        <v>0.11696560340951685</v>
      </c>
      <c r="AD57" s="36">
        <v>1.4207E-5</v>
      </c>
      <c r="AE57" s="37">
        <f t="shared" si="35"/>
        <v>90562.514077897184</v>
      </c>
      <c r="AF57" s="2">
        <f t="shared" si="23"/>
        <v>7.3174242229285518E-3</v>
      </c>
      <c r="AG57" s="47">
        <f t="shared" si="24"/>
        <v>3.4198088013920699E-2</v>
      </c>
      <c r="AH57" s="2">
        <f t="shared" si="25"/>
        <v>0.11696560340951685</v>
      </c>
      <c r="AI57" s="2">
        <f t="shared" si="36"/>
        <v>1.0684782411373157</v>
      </c>
      <c r="AJ57" s="2">
        <v>9.2999999999999999E-2</v>
      </c>
      <c r="AK57" s="2">
        <f t="shared" si="27"/>
        <v>4.1042857142857145E-2</v>
      </c>
      <c r="AL57" s="2">
        <f t="shared" si="37"/>
        <v>1.7716147144984536E-2</v>
      </c>
      <c r="AM57" s="2">
        <f t="shared" si="29"/>
        <v>0.26154980749681567</v>
      </c>
    </row>
    <row r="58" spans="1:39" x14ac:dyDescent="0.25">
      <c r="A58" s="2">
        <f t="shared" si="2"/>
        <v>1.2230000000000001</v>
      </c>
      <c r="B58" s="2">
        <v>12</v>
      </c>
      <c r="C58" s="2">
        <f t="shared" si="3"/>
        <v>0.24142857142857144</v>
      </c>
      <c r="D58" s="2">
        <f t="shared" si="4"/>
        <v>2.5</v>
      </c>
      <c r="E58" s="2">
        <f t="shared" si="30"/>
        <v>1.1536163377474151</v>
      </c>
      <c r="F58" s="2">
        <f t="shared" si="6"/>
        <v>2.3369999999999998E-2</v>
      </c>
      <c r="G58" s="2">
        <v>7</v>
      </c>
      <c r="H58" s="2">
        <v>0.8</v>
      </c>
      <c r="I58" s="2">
        <f t="shared" si="7"/>
        <v>3.1415899999999999</v>
      </c>
      <c r="J58" s="47">
        <f t="shared" si="31"/>
        <v>9.9015877151251333E-2</v>
      </c>
      <c r="K58" s="47">
        <f t="shared" si="9"/>
        <v>1.4618067571971918</v>
      </c>
      <c r="M58" s="2">
        <f t="shared" si="10"/>
        <v>1.2230000000000001</v>
      </c>
      <c r="N58" s="2">
        <v>12</v>
      </c>
      <c r="O58" s="2">
        <f t="shared" si="11"/>
        <v>0.18571428571428572</v>
      </c>
      <c r="P58" s="36">
        <v>1.4207E-5</v>
      </c>
      <c r="Q58" s="47">
        <f t="shared" si="32"/>
        <v>156864.322416515</v>
      </c>
      <c r="R58" s="2">
        <f t="shared" si="13"/>
        <v>6.4816805285049656E-3</v>
      </c>
      <c r="S58" s="2">
        <f t="shared" si="14"/>
        <v>0.12</v>
      </c>
      <c r="T58" s="2">
        <f t="shared" si="15"/>
        <v>0.18571428571428572</v>
      </c>
      <c r="U58" s="2">
        <f t="shared" si="33"/>
        <v>1.2524416</v>
      </c>
      <c r="V58" s="2">
        <v>0.50700000000000001</v>
      </c>
      <c r="W58" s="2">
        <f t="shared" si="17"/>
        <v>0.24142857142857144</v>
      </c>
      <c r="X58" s="2">
        <f t="shared" si="34"/>
        <v>1.7047645296800168E-2</v>
      </c>
      <c r="Y58" s="2">
        <f t="shared" si="19"/>
        <v>0.25168047596140974</v>
      </c>
      <c r="AA58" s="2">
        <f t="shared" si="20"/>
        <v>1.2230000000000001</v>
      </c>
      <c r="AB58" s="2">
        <v>12</v>
      </c>
      <c r="AC58" s="2">
        <f t="shared" si="21"/>
        <v>0.11696560340951685</v>
      </c>
      <c r="AD58" s="36">
        <v>1.4207E-5</v>
      </c>
      <c r="AE58" s="37">
        <f t="shared" si="35"/>
        <v>98795.469903160571</v>
      </c>
      <c r="AF58" s="2">
        <f t="shared" si="23"/>
        <v>7.1754446153910433E-3</v>
      </c>
      <c r="AG58" s="47">
        <f t="shared" si="24"/>
        <v>3.4198088013920699E-2</v>
      </c>
      <c r="AH58" s="2">
        <f t="shared" si="25"/>
        <v>0.11696560340951685</v>
      </c>
      <c r="AI58" s="2">
        <f t="shared" si="36"/>
        <v>1.0684782411373157</v>
      </c>
      <c r="AJ58" s="2">
        <v>9.2999999999999999E-2</v>
      </c>
      <c r="AK58" s="2">
        <f t="shared" si="27"/>
        <v>4.1042857142857145E-2</v>
      </c>
      <c r="AL58" s="2">
        <f t="shared" si="37"/>
        <v>1.7372401649016152E-2</v>
      </c>
      <c r="AM58" s="2">
        <f t="shared" si="29"/>
        <v>0.25647496997358582</v>
      </c>
    </row>
    <row r="59" spans="1:39" x14ac:dyDescent="0.25">
      <c r="A59" s="2">
        <f t="shared" si="2"/>
        <v>1.2230000000000001</v>
      </c>
      <c r="B59" s="2">
        <v>13</v>
      </c>
      <c r="C59" s="2">
        <f t="shared" si="3"/>
        <v>0.24142857142857144</v>
      </c>
      <c r="D59" s="2">
        <f t="shared" si="4"/>
        <v>2.5</v>
      </c>
      <c r="E59" s="2">
        <f t="shared" si="30"/>
        <v>0.98296303334690993</v>
      </c>
      <c r="F59" s="2">
        <f t="shared" si="6"/>
        <v>2.3369999999999998E-2</v>
      </c>
      <c r="G59" s="2">
        <v>7</v>
      </c>
      <c r="H59" s="2">
        <v>0.8</v>
      </c>
      <c r="I59" s="2">
        <f t="shared" si="7"/>
        <v>3.1415899999999999</v>
      </c>
      <c r="J59" s="47">
        <f t="shared" si="31"/>
        <v>7.829079789252294E-2</v>
      </c>
      <c r="K59" s="47">
        <f t="shared" si="9"/>
        <v>1.1558350102865635</v>
      </c>
      <c r="M59" s="2">
        <f t="shared" si="10"/>
        <v>1.2230000000000001</v>
      </c>
      <c r="N59" s="2">
        <v>13</v>
      </c>
      <c r="O59" s="2">
        <f t="shared" si="11"/>
        <v>0.18571428571428572</v>
      </c>
      <c r="P59" s="36">
        <v>1.4207E-5</v>
      </c>
      <c r="Q59" s="47">
        <f t="shared" si="32"/>
        <v>169936.34928455795</v>
      </c>
      <c r="R59" s="2">
        <f t="shared" si="13"/>
        <v>6.3711188587000575E-3</v>
      </c>
      <c r="S59" s="2">
        <f t="shared" si="14"/>
        <v>0.12</v>
      </c>
      <c r="T59" s="2">
        <f t="shared" si="15"/>
        <v>0.18571428571428572</v>
      </c>
      <c r="U59" s="2">
        <f t="shared" si="33"/>
        <v>1.2524416</v>
      </c>
      <c r="V59" s="2">
        <v>0.50700000000000001</v>
      </c>
      <c r="W59" s="2">
        <f t="shared" si="17"/>
        <v>0.24142857142857144</v>
      </c>
      <c r="X59" s="2">
        <f t="shared" si="34"/>
        <v>1.6756854024078997E-2</v>
      </c>
      <c r="Y59" s="2">
        <f t="shared" si="19"/>
        <v>0.24738742054820115</v>
      </c>
      <c r="AA59" s="2">
        <f t="shared" si="20"/>
        <v>1.2230000000000001</v>
      </c>
      <c r="AB59" s="2">
        <v>13</v>
      </c>
      <c r="AC59" s="2">
        <f t="shared" si="21"/>
        <v>0.11696560340951685</v>
      </c>
      <c r="AD59" s="36">
        <v>1.4207E-5</v>
      </c>
      <c r="AE59" s="37">
        <f t="shared" si="35"/>
        <v>107028.42572842396</v>
      </c>
      <c r="AF59" s="2">
        <f t="shared" si="23"/>
        <v>7.0481895073509328E-3</v>
      </c>
      <c r="AG59" s="47">
        <f t="shared" si="24"/>
        <v>3.4198088013920699E-2</v>
      </c>
      <c r="AH59" s="2">
        <f t="shared" si="25"/>
        <v>0.11696560340951685</v>
      </c>
      <c r="AI59" s="2">
        <f t="shared" si="36"/>
        <v>1.0684782411373157</v>
      </c>
      <c r="AJ59" s="2">
        <v>9.2999999999999999E-2</v>
      </c>
      <c r="AK59" s="2">
        <f t="shared" si="27"/>
        <v>4.1042857142857145E-2</v>
      </c>
      <c r="AL59" s="2">
        <f t="shared" si="37"/>
        <v>1.7064305500657646E-2</v>
      </c>
      <c r="AM59" s="2">
        <f t="shared" si="29"/>
        <v>0.25192643650103053</v>
      </c>
    </row>
    <row r="60" spans="1:39" x14ac:dyDescent="0.25">
      <c r="A60" s="2">
        <f t="shared" si="2"/>
        <v>1.2230000000000001</v>
      </c>
      <c r="B60" s="2">
        <v>14</v>
      </c>
      <c r="C60" s="2">
        <f t="shared" si="3"/>
        <v>0.24142857142857144</v>
      </c>
      <c r="D60" s="2">
        <f t="shared" si="4"/>
        <v>2.5</v>
      </c>
      <c r="E60" s="2">
        <f t="shared" ref="E60:E61" si="38">(2*D60*9.81)/(A60*(B60*B60)*C60)</f>
        <v>0.84755486038585603</v>
      </c>
      <c r="F60" s="2">
        <f t="shared" si="6"/>
        <v>2.3369999999999998E-2</v>
      </c>
      <c r="G60" s="2">
        <v>7</v>
      </c>
      <c r="H60" s="2">
        <v>0.8</v>
      </c>
      <c r="I60" s="2">
        <f t="shared" si="7"/>
        <v>3.1415899999999999</v>
      </c>
      <c r="J60" s="47">
        <f t="shared" ref="J60:J61" si="39">(F60+((E60*E60)/(I60*G60*H60)))</f>
        <v>6.4201760428163987E-2</v>
      </c>
      <c r="K60" s="47">
        <f t="shared" si="9"/>
        <v>0.94783351840113794</v>
      </c>
      <c r="M60" s="2">
        <f t="shared" si="10"/>
        <v>1.2230000000000001</v>
      </c>
      <c r="N60" s="2">
        <v>14</v>
      </c>
      <c r="O60" s="2">
        <f t="shared" si="11"/>
        <v>0.18571428571428572</v>
      </c>
      <c r="P60" s="36">
        <v>1.4207E-5</v>
      </c>
      <c r="Q60" s="47">
        <f t="shared" si="32"/>
        <v>183008.37615260083</v>
      </c>
      <c r="R60" s="2">
        <f t="shared" si="13"/>
        <v>6.2710741706493382E-3</v>
      </c>
      <c r="S60" s="2">
        <f t="shared" si="14"/>
        <v>0.12</v>
      </c>
      <c r="T60" s="2">
        <f t="shared" si="15"/>
        <v>0.18571428571428572</v>
      </c>
      <c r="U60" s="2">
        <f t="shared" si="33"/>
        <v>1.2524416</v>
      </c>
      <c r="V60" s="2">
        <v>0.50700000000000001</v>
      </c>
      <c r="W60" s="2">
        <f t="shared" si="17"/>
        <v>0.24142857142857144</v>
      </c>
      <c r="X60" s="2">
        <f t="shared" si="34"/>
        <v>1.6493723752814132E-2</v>
      </c>
      <c r="Y60" s="2">
        <f t="shared" si="19"/>
        <v>0.24350273437842107</v>
      </c>
      <c r="AA60" s="2">
        <f t="shared" si="20"/>
        <v>1.2230000000000001</v>
      </c>
      <c r="AB60" s="2">
        <v>14</v>
      </c>
      <c r="AC60" s="2">
        <f t="shared" si="21"/>
        <v>0.11696560340951685</v>
      </c>
      <c r="AD60" s="36">
        <v>1.4207E-5</v>
      </c>
      <c r="AE60" s="37">
        <f t="shared" si="35"/>
        <v>115261.38155368733</v>
      </c>
      <c r="AF60" s="2">
        <f t="shared" si="23"/>
        <v>6.9331446649854665E-3</v>
      </c>
      <c r="AG60" s="47">
        <f t="shared" si="24"/>
        <v>3.4198088013920699E-2</v>
      </c>
      <c r="AH60" s="2">
        <f t="shared" si="25"/>
        <v>0.11696560340951685</v>
      </c>
      <c r="AI60" s="2">
        <f t="shared" si="36"/>
        <v>1.0684782411373157</v>
      </c>
      <c r="AJ60" s="2">
        <v>9.2999999999999999E-2</v>
      </c>
      <c r="AK60" s="2">
        <f t="shared" si="27"/>
        <v>4.1042857142857145E-2</v>
      </c>
      <c r="AL60" s="2">
        <f t="shared" si="37"/>
        <v>1.6785771511985546E-2</v>
      </c>
      <c r="AM60" s="2">
        <f t="shared" si="29"/>
        <v>0.24781433974983977</v>
      </c>
    </row>
    <row r="61" spans="1:39" x14ac:dyDescent="0.25">
      <c r="A61" s="2">
        <f t="shared" si="2"/>
        <v>1.2230000000000001</v>
      </c>
      <c r="B61" s="2">
        <v>15</v>
      </c>
      <c r="C61" s="2">
        <f t="shared" si="3"/>
        <v>0.24142857142857144</v>
      </c>
      <c r="D61" s="2">
        <f t="shared" si="4"/>
        <v>2.5</v>
      </c>
      <c r="E61" s="2">
        <f t="shared" si="38"/>
        <v>0.73831445615834568</v>
      </c>
      <c r="F61" s="2">
        <f t="shared" si="6"/>
        <v>2.3369999999999998E-2</v>
      </c>
      <c r="G61" s="2">
        <v>7</v>
      </c>
      <c r="H61" s="2">
        <v>0.8</v>
      </c>
      <c r="I61" s="2">
        <f t="shared" si="7"/>
        <v>3.1415899999999999</v>
      </c>
      <c r="J61" s="47">
        <f t="shared" si="39"/>
        <v>5.4354551281152547E-2</v>
      </c>
      <c r="K61" s="47">
        <f t="shared" si="9"/>
        <v>0.80245565290339838</v>
      </c>
      <c r="M61" s="2">
        <f t="shared" si="10"/>
        <v>1.2230000000000001</v>
      </c>
      <c r="N61" s="2">
        <v>15</v>
      </c>
      <c r="O61" s="2">
        <f t="shared" si="11"/>
        <v>0.18571428571428572</v>
      </c>
      <c r="P61" s="36">
        <v>1.4207E-5</v>
      </c>
      <c r="Q61" s="47">
        <f t="shared" si="32"/>
        <v>196080.40302064375</v>
      </c>
      <c r="R61" s="2">
        <f t="shared" si="13"/>
        <v>6.1798835727904598E-3</v>
      </c>
      <c r="S61" s="2">
        <f t="shared" si="14"/>
        <v>0.12</v>
      </c>
      <c r="T61" s="2">
        <f t="shared" si="15"/>
        <v>0.18571428571428572</v>
      </c>
      <c r="U61" s="2">
        <f t="shared" si="33"/>
        <v>1.2524416</v>
      </c>
      <c r="V61" s="2">
        <v>0.50700000000000001</v>
      </c>
      <c r="W61" s="2">
        <f t="shared" si="17"/>
        <v>0.24142857142857144</v>
      </c>
      <c r="X61" s="2">
        <f t="shared" si="34"/>
        <v>1.625388086641074E-2</v>
      </c>
      <c r="Y61" s="2">
        <f t="shared" si="19"/>
        <v>0.23996184818827407</v>
      </c>
      <c r="AA61" s="2">
        <f t="shared" si="20"/>
        <v>1.2230000000000001</v>
      </c>
      <c r="AB61" s="2">
        <v>15</v>
      </c>
      <c r="AC61" s="2">
        <f t="shared" si="21"/>
        <v>0.11696560340951685</v>
      </c>
      <c r="AD61" s="36">
        <v>1.4207E-5</v>
      </c>
      <c r="AE61" s="37">
        <f t="shared" si="35"/>
        <v>123494.33737895072</v>
      </c>
      <c r="AF61" s="2">
        <f t="shared" si="23"/>
        <v>6.8283693955543522E-3</v>
      </c>
      <c r="AG61" s="47">
        <f t="shared" si="24"/>
        <v>3.4198088013920699E-2</v>
      </c>
      <c r="AH61" s="2">
        <f t="shared" si="25"/>
        <v>0.11696560340951685</v>
      </c>
      <c r="AI61" s="2">
        <f t="shared" si="36"/>
        <v>1.0684782411373157</v>
      </c>
      <c r="AJ61" s="2">
        <v>9.2999999999999999E-2</v>
      </c>
      <c r="AK61" s="2">
        <f t="shared" si="27"/>
        <v>4.1042857142857145E-2</v>
      </c>
      <c r="AL61" s="2">
        <f t="shared" si="37"/>
        <v>1.6532101090011003E-2</v>
      </c>
      <c r="AM61" s="2">
        <f t="shared" si="29"/>
        <v>0.24406931271365032</v>
      </c>
    </row>
    <row r="62" spans="1:39" x14ac:dyDescent="0.25">
      <c r="P62" s="55"/>
      <c r="Q62" s="56"/>
      <c r="AC62" s="55"/>
      <c r="AD62" s="56"/>
    </row>
    <row r="63" spans="1:39" ht="15" customHeight="1" x14ac:dyDescent="0.25">
      <c r="A63" s="273" t="s">
        <v>145</v>
      </c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O63" s="273" t="s">
        <v>146</v>
      </c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  <c r="AA63" s="273"/>
      <c r="AC63" s="273" t="s">
        <v>150</v>
      </c>
      <c r="AD63" s="273"/>
      <c r="AE63" s="273"/>
      <c r="AF63" s="273"/>
      <c r="AG63" s="273"/>
      <c r="AH63" s="273"/>
      <c r="AI63" s="273"/>
      <c r="AJ63" s="273"/>
    </row>
    <row r="64" spans="1:39" ht="15" customHeight="1" x14ac:dyDescent="0.25">
      <c r="A64" s="273"/>
      <c r="B64" s="273"/>
      <c r="C64" s="273"/>
      <c r="D64" s="273"/>
      <c r="E64" s="273"/>
      <c r="F64" s="273"/>
      <c r="G64" s="273"/>
      <c r="H64" s="273"/>
      <c r="I64" s="273"/>
      <c r="J64" s="273"/>
      <c r="K64" s="273"/>
      <c r="L64" s="273"/>
      <c r="M64" s="273"/>
      <c r="N64" s="58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  <c r="AA64" s="273"/>
      <c r="AB64" s="58"/>
      <c r="AC64" s="273"/>
      <c r="AD64" s="273"/>
      <c r="AE64" s="273"/>
      <c r="AF64" s="273"/>
      <c r="AG64" s="273"/>
      <c r="AH64" s="273"/>
      <c r="AI64" s="273"/>
      <c r="AJ64" s="273"/>
      <c r="AK64" s="58"/>
      <c r="AL64" s="58"/>
      <c r="AM64" s="58"/>
    </row>
    <row r="65" spans="1:40" ht="15" customHeight="1" x14ac:dyDescent="0.25">
      <c r="A65" s="131" t="s">
        <v>13</v>
      </c>
      <c r="B65" s="131" t="s">
        <v>133</v>
      </c>
      <c r="C65" s="131" t="s">
        <v>136</v>
      </c>
      <c r="D65" s="131" t="s">
        <v>137</v>
      </c>
      <c r="E65" s="131" t="s">
        <v>138</v>
      </c>
      <c r="F65" s="131" t="s">
        <v>139</v>
      </c>
      <c r="G65" s="131" t="s">
        <v>159</v>
      </c>
      <c r="H65" s="131" t="s">
        <v>123</v>
      </c>
      <c r="I65" s="131" t="s">
        <v>140</v>
      </c>
      <c r="J65" s="131" t="s">
        <v>142</v>
      </c>
      <c r="K65" s="131" t="s">
        <v>141</v>
      </c>
      <c r="L65" s="131" t="s">
        <v>143</v>
      </c>
      <c r="M65" s="28" t="s">
        <v>416</v>
      </c>
      <c r="N65" s="58"/>
      <c r="O65" s="131" t="s">
        <v>13</v>
      </c>
      <c r="P65" s="131" t="s">
        <v>133</v>
      </c>
      <c r="Q65" s="131" t="s">
        <v>149</v>
      </c>
      <c r="R65" s="131" t="s">
        <v>137</v>
      </c>
      <c r="S65" s="131" t="s">
        <v>138</v>
      </c>
      <c r="T65" s="131" t="s">
        <v>139</v>
      </c>
      <c r="U65" s="131" t="s">
        <v>147</v>
      </c>
      <c r="V65" s="131" t="s">
        <v>148</v>
      </c>
      <c r="W65" s="131" t="s">
        <v>140</v>
      </c>
      <c r="X65" s="131" t="s">
        <v>142</v>
      </c>
      <c r="Y65" s="131" t="s">
        <v>141</v>
      </c>
      <c r="Z65" s="131" t="s">
        <v>143</v>
      </c>
      <c r="AA65" s="28" t="s">
        <v>416</v>
      </c>
      <c r="AB65" s="58"/>
      <c r="AC65" s="131" t="s">
        <v>23</v>
      </c>
      <c r="AD65" s="131" t="s">
        <v>151</v>
      </c>
      <c r="AE65" s="131" t="s">
        <v>152</v>
      </c>
      <c r="AF65" s="131" t="s">
        <v>153</v>
      </c>
      <c r="AG65" s="131" t="s">
        <v>154</v>
      </c>
      <c r="AH65" s="63" t="s">
        <v>222</v>
      </c>
      <c r="AI65" s="63" t="s">
        <v>417</v>
      </c>
      <c r="AJ65" s="131" t="s">
        <v>155</v>
      </c>
      <c r="AK65" s="133" t="s">
        <v>416</v>
      </c>
      <c r="AL65" s="58"/>
      <c r="AM65" s="58"/>
      <c r="AN65" s="58"/>
    </row>
    <row r="66" spans="1:40" ht="15" customHeight="1" x14ac:dyDescent="0.25">
      <c r="A66" s="2">
        <f t="shared" ref="A66:A80" si="40">rho</f>
        <v>1.2230000000000001</v>
      </c>
      <c r="B66" s="2">
        <v>1</v>
      </c>
      <c r="C66" s="2">
        <f t="shared" ref="C66:C80" si="41">Cvt</f>
        <v>8.7437052187491413E-2</v>
      </c>
      <c r="D66" s="36">
        <v>1.4207E-5</v>
      </c>
      <c r="E66" s="37">
        <f t="shared" ref="E66" si="42">(B66*C66)/D66</f>
        <v>6154.5049755396221</v>
      </c>
      <c r="F66" s="2">
        <f t="shared" ref="F66:F80" si="43">(0.455)/((LOG10(E66))^2.58)</f>
        <v>1.4633924333127733E-2</v>
      </c>
      <c r="G66" s="2">
        <f t="shared" ref="G66:G80" si="44">t_c_VT</f>
        <v>4.5747196410770956E-2</v>
      </c>
      <c r="H66" s="2">
        <f t="shared" ref="H66:H80" si="45">Cvt</f>
        <v>8.7437052187491413E-2</v>
      </c>
      <c r="I66" s="2">
        <f t="shared" ref="I66" si="46">1+(2*(G66)+(60*(G66)^4))</f>
        <v>1.0917571830335981</v>
      </c>
      <c r="J66" s="2">
        <f t="shared" ref="J66:J80" si="47">0.056</f>
        <v>5.6000000000000001E-2</v>
      </c>
      <c r="K66" s="2">
        <f t="shared" ref="K66:K80" si="48">Svt</f>
        <v>2.2935714285714288E-2</v>
      </c>
      <c r="L66" s="2">
        <f t="shared" ref="L66" si="49">(F66*I66*J66)/K66</f>
        <v>3.9008802657188688E-2</v>
      </c>
      <c r="M66" s="2">
        <f t="shared" ref="M66:M80" si="50">0.5*rho*Vstall^2*Sw*L66</f>
        <v>0.5759008853433113</v>
      </c>
      <c r="O66" s="2">
        <f t="shared" ref="O66:O80" si="51">rho</f>
        <v>1.2230000000000001</v>
      </c>
      <c r="P66" s="2">
        <v>1</v>
      </c>
      <c r="Q66" s="2">
        <f t="shared" ref="Q66:Q80" si="52">Fl/2</f>
        <v>0.45499999999999996</v>
      </c>
      <c r="R66" s="36">
        <v>1.4207E-5</v>
      </c>
      <c r="S66" s="37">
        <f t="shared" ref="S66" si="53">(P66*Q66)/R66</f>
        <v>32026.465826705142</v>
      </c>
      <c r="T66" s="2">
        <f t="shared" ref="T66:T80" si="54">(0.455)/((LOG10(S66))^2.58)</f>
        <v>9.3616463248787692E-3</v>
      </c>
      <c r="U66" s="2">
        <f t="shared" ref="U66:U80" si="55">2*0.078</f>
        <v>0.156</v>
      </c>
      <c r="V66" s="2">
        <f t="shared" ref="V66:V80" si="56">Fl/2</f>
        <v>0.45499999999999996</v>
      </c>
      <c r="W66" s="2">
        <f t="shared" ref="W66" si="57">1+(1.5*((U66/V66)^(3/2))+(7*(U66/V66)^3))</f>
        <v>1.583257328632282</v>
      </c>
      <c r="X66" s="2">
        <v>0.24199999999999999</v>
      </c>
      <c r="Y66" s="2">
        <v>5.9549999999999999E-2</v>
      </c>
      <c r="Z66" s="73">
        <f t="shared" ref="Z66" si="58">(T66*W66*X66)/Y66</f>
        <v>6.0233394236213655E-2</v>
      </c>
      <c r="AA66" s="73">
        <f t="shared" ref="AA66:AA80" si="59">0.5*rho*Vstall^2*Sw*Z66</f>
        <v>0.88924711103573517</v>
      </c>
      <c r="AC66" s="47">
        <f t="shared" ref="AC66:AC80" si="60">J47</f>
        <v>1568.6162786083476</v>
      </c>
      <c r="AD66" s="2">
        <v>3.1084821678888621E-2</v>
      </c>
      <c r="AE66" s="73">
        <v>3.4539984969571245E-2</v>
      </c>
      <c r="AF66" s="73">
        <v>4.0425210242751572E-2</v>
      </c>
      <c r="AG66" s="2">
        <v>5.4783049446282484E-2</v>
      </c>
      <c r="AH66" s="73">
        <f>AD66+AE66+AF66+AG66</f>
        <v>0.16083306633749392</v>
      </c>
      <c r="AI66" s="73">
        <f t="shared" ref="AI66:AI80" si="61">0.5*rho*Vstall^2*Sw*AH66</f>
        <v>2.3744359987212578</v>
      </c>
      <c r="AJ66" s="37">
        <f t="shared" ref="AJ66:AJ80" si="62">AC66+AD66+AE66+AF66+AG66</f>
        <v>1568.7771116746851</v>
      </c>
      <c r="AK66" s="132">
        <f t="shared" ref="AK66:AK80" si="63">0.5*rho*Vstall^2*Sw*AJ66</f>
        <v>23160.416777193263</v>
      </c>
      <c r="AL66" s="58"/>
      <c r="AM66" s="58"/>
      <c r="AN66" s="58"/>
    </row>
    <row r="67" spans="1:40" x14ac:dyDescent="0.25">
      <c r="A67" s="2">
        <f t="shared" si="40"/>
        <v>1.2230000000000001</v>
      </c>
      <c r="B67" s="2">
        <v>2</v>
      </c>
      <c r="C67" s="2">
        <f t="shared" si="41"/>
        <v>8.7437052187491413E-2</v>
      </c>
      <c r="D67" s="36">
        <v>1.4207E-5</v>
      </c>
      <c r="E67" s="37">
        <f t="shared" ref="E67:E80" si="64">(B67*C67)/D67</f>
        <v>12309.009951079244</v>
      </c>
      <c r="F67" s="2">
        <f t="shared" si="43"/>
        <v>1.2014456735779054E-2</v>
      </c>
      <c r="G67" s="2">
        <f t="shared" si="44"/>
        <v>4.5747196410770956E-2</v>
      </c>
      <c r="H67" s="2">
        <f t="shared" si="45"/>
        <v>8.7437052187491413E-2</v>
      </c>
      <c r="I67" s="2">
        <f t="shared" ref="I67:I80" si="65">1+(2*(G67)+(60*(G67)^4))</f>
        <v>1.0917571830335981</v>
      </c>
      <c r="J67" s="2">
        <f t="shared" si="47"/>
        <v>5.6000000000000001E-2</v>
      </c>
      <c r="K67" s="2">
        <f t="shared" si="48"/>
        <v>2.2935714285714288E-2</v>
      </c>
      <c r="L67" s="2">
        <f t="shared" ref="L67:L80" si="66">(F67*I67*J67)/K67</f>
        <v>3.2026239931990066E-2</v>
      </c>
      <c r="M67" s="2">
        <f t="shared" si="50"/>
        <v>0.47281481805880227</v>
      </c>
      <c r="O67" s="2">
        <f t="shared" si="51"/>
        <v>1.2230000000000001</v>
      </c>
      <c r="P67" s="2">
        <v>2</v>
      </c>
      <c r="Q67" s="2">
        <f t="shared" si="52"/>
        <v>0.45499999999999996</v>
      </c>
      <c r="R67" s="36">
        <v>1.4207E-5</v>
      </c>
      <c r="S67" s="37">
        <f t="shared" ref="S67:S80" si="67">(P67*Q67)/R67</f>
        <v>64052.931653410284</v>
      </c>
      <c r="T67" s="2">
        <f t="shared" si="54"/>
        <v>7.9228898848814257E-3</v>
      </c>
      <c r="U67" s="2">
        <f t="shared" si="55"/>
        <v>0.156</v>
      </c>
      <c r="V67" s="2">
        <f t="shared" si="56"/>
        <v>0.45499999999999996</v>
      </c>
      <c r="W67" s="2">
        <f t="shared" ref="W67:W80" si="68">1+(1.5*((U67/V67)^(3/2))+(7*(U67/V67)^3))</f>
        <v>1.583257328632282</v>
      </c>
      <c r="X67" s="2">
        <v>0.24199999999999999</v>
      </c>
      <c r="Y67" s="2">
        <v>5.9549999999999999E-2</v>
      </c>
      <c r="Z67" s="73">
        <f t="shared" ref="Z67:Z80" si="69">(T67*W67*X67)/Y67</f>
        <v>5.0976348963103151E-2</v>
      </c>
      <c r="AA67" s="73">
        <f t="shared" si="59"/>
        <v>0.75258204558120723</v>
      </c>
      <c r="AC67" s="47">
        <f t="shared" si="60"/>
        <v>98.060426788021715</v>
      </c>
      <c r="AD67" s="2">
        <v>2.5909849328381852E-2</v>
      </c>
      <c r="AE67" s="73">
        <v>2.8504807247099077E-2</v>
      </c>
      <c r="AF67" s="73">
        <v>3.3156362978692747E-2</v>
      </c>
      <c r="AG67" s="2">
        <v>4.6431206489902246E-2</v>
      </c>
      <c r="AH67" s="73">
        <f t="shared" ref="AH67:AH80" si="70">AD67+AE67+AF67+AG67</f>
        <v>0.13400222604407591</v>
      </c>
      <c r="AI67" s="73">
        <f t="shared" si="61"/>
        <v>1.9783227210265657</v>
      </c>
      <c r="AJ67" s="37">
        <f t="shared" si="62"/>
        <v>98.19442901406579</v>
      </c>
      <c r="AK67" s="132">
        <f t="shared" si="63"/>
        <v>1449.6794249735869</v>
      </c>
      <c r="AN67" s="57"/>
    </row>
    <row r="68" spans="1:40" x14ac:dyDescent="0.25">
      <c r="A68" s="2">
        <f t="shared" si="40"/>
        <v>1.2230000000000001</v>
      </c>
      <c r="B68" s="2">
        <v>3</v>
      </c>
      <c r="C68" s="2">
        <f t="shared" si="41"/>
        <v>8.7437052187491413E-2</v>
      </c>
      <c r="D68" s="36">
        <v>1.4207E-5</v>
      </c>
      <c r="E68" s="37">
        <f t="shared" si="64"/>
        <v>18463.514926618867</v>
      </c>
      <c r="F68" s="2">
        <f t="shared" si="43"/>
        <v>1.0776432930647237E-2</v>
      </c>
      <c r="G68" s="2">
        <f t="shared" si="44"/>
        <v>4.5747196410770956E-2</v>
      </c>
      <c r="H68" s="2">
        <f t="shared" si="45"/>
        <v>8.7437052187491413E-2</v>
      </c>
      <c r="I68" s="2">
        <f t="shared" si="65"/>
        <v>1.0917571830335981</v>
      </c>
      <c r="J68" s="2">
        <f t="shared" si="47"/>
        <v>5.6000000000000001E-2</v>
      </c>
      <c r="K68" s="2">
        <f t="shared" si="48"/>
        <v>2.2935714285714288E-2</v>
      </c>
      <c r="L68" s="2">
        <f t="shared" si="66"/>
        <v>2.8726111736714171E-2</v>
      </c>
      <c r="M68" s="2">
        <f t="shared" si="50"/>
        <v>0.42409384689473162</v>
      </c>
      <c r="O68" s="2">
        <f t="shared" si="51"/>
        <v>1.2230000000000001</v>
      </c>
      <c r="P68" s="2">
        <v>3</v>
      </c>
      <c r="Q68" s="2">
        <f t="shared" si="52"/>
        <v>0.45499999999999996</v>
      </c>
      <c r="R68" s="36">
        <v>1.4207E-5</v>
      </c>
      <c r="S68" s="37">
        <f t="shared" si="67"/>
        <v>96079.397480115425</v>
      </c>
      <c r="T68" s="2">
        <f t="shared" si="54"/>
        <v>7.2205129012383983E-3</v>
      </c>
      <c r="U68" s="2">
        <f t="shared" si="55"/>
        <v>0.156</v>
      </c>
      <c r="V68" s="2">
        <f t="shared" si="56"/>
        <v>0.45499999999999996</v>
      </c>
      <c r="W68" s="2">
        <f t="shared" si="68"/>
        <v>1.583257328632282</v>
      </c>
      <c r="X68" s="2">
        <v>0.24199999999999999</v>
      </c>
      <c r="Y68" s="2">
        <v>5.9549999999999999E-2</v>
      </c>
      <c r="Z68" s="73">
        <f t="shared" si="69"/>
        <v>4.6457213301485327E-2</v>
      </c>
      <c r="AA68" s="73">
        <f t="shared" si="59"/>
        <v>0.6858644318317213</v>
      </c>
      <c r="AC68" s="47">
        <f t="shared" si="60"/>
        <v>19.388714550720341</v>
      </c>
      <c r="AD68" s="2">
        <v>2.3424272529011841E-2</v>
      </c>
      <c r="AE68" s="73">
        <v>2.5636641557903767E-2</v>
      </c>
      <c r="AF68" s="73">
        <v>2.972453684751478E-2</v>
      </c>
      <c r="AG68" s="2">
        <v>4.2347622723841974E-2</v>
      </c>
      <c r="AH68" s="73">
        <f t="shared" si="70"/>
        <v>0.12113307365827236</v>
      </c>
      <c r="AI68" s="73">
        <f t="shared" si="61"/>
        <v>1.7883308282290957</v>
      </c>
      <c r="AJ68" s="37">
        <f t="shared" si="62"/>
        <v>19.509847624378612</v>
      </c>
      <c r="AK68" s="132">
        <f t="shared" si="63"/>
        <v>288.03084828142448</v>
      </c>
      <c r="AN68" s="57"/>
    </row>
    <row r="69" spans="1:40" x14ac:dyDescent="0.25">
      <c r="A69" s="2">
        <f t="shared" si="40"/>
        <v>1.2230000000000001</v>
      </c>
      <c r="B69" s="2">
        <v>4</v>
      </c>
      <c r="C69" s="2">
        <f t="shared" si="41"/>
        <v>8.7437052187491413E-2</v>
      </c>
      <c r="D69" s="36">
        <v>1.4207E-5</v>
      </c>
      <c r="E69" s="37">
        <f t="shared" si="64"/>
        <v>24618.019902158489</v>
      </c>
      <c r="F69" s="2">
        <f t="shared" si="43"/>
        <v>1.0003066153019305E-2</v>
      </c>
      <c r="G69" s="2">
        <f t="shared" si="44"/>
        <v>4.5747196410770956E-2</v>
      </c>
      <c r="H69" s="2">
        <f t="shared" si="45"/>
        <v>8.7437052187491413E-2</v>
      </c>
      <c r="I69" s="2">
        <f t="shared" si="65"/>
        <v>1.0917571830335981</v>
      </c>
      <c r="J69" s="2">
        <f t="shared" si="47"/>
        <v>5.6000000000000001E-2</v>
      </c>
      <c r="K69" s="2">
        <f t="shared" si="48"/>
        <v>2.2935714285714288E-2</v>
      </c>
      <c r="L69" s="2">
        <f t="shared" si="66"/>
        <v>2.6664592808273321E-2</v>
      </c>
      <c r="M69" s="2">
        <f t="shared" si="50"/>
        <v>0.39365890669739917</v>
      </c>
      <c r="O69" s="2">
        <f t="shared" si="51"/>
        <v>1.2230000000000001</v>
      </c>
      <c r="P69" s="2">
        <v>4</v>
      </c>
      <c r="Q69" s="2">
        <f t="shared" si="52"/>
        <v>0.45499999999999996</v>
      </c>
      <c r="R69" s="36">
        <v>1.4207E-5</v>
      </c>
      <c r="S69" s="37">
        <f t="shared" si="67"/>
        <v>128105.86330682057</v>
      </c>
      <c r="T69" s="2">
        <f t="shared" si="54"/>
        <v>6.7735860079476901E-3</v>
      </c>
      <c r="U69" s="2">
        <f t="shared" si="55"/>
        <v>0.156</v>
      </c>
      <c r="V69" s="2">
        <f t="shared" si="56"/>
        <v>0.45499999999999996</v>
      </c>
      <c r="W69" s="2">
        <f t="shared" si="68"/>
        <v>1.583257328632282</v>
      </c>
      <c r="X69" s="2">
        <v>0.24199999999999999</v>
      </c>
      <c r="Y69" s="2">
        <v>5.9549999999999999E-2</v>
      </c>
      <c r="Z69" s="73">
        <f t="shared" si="69"/>
        <v>4.3581658850469038E-2</v>
      </c>
      <c r="AA69" s="73">
        <f t="shared" si="59"/>
        <v>0.6434115944876353</v>
      </c>
      <c r="AC69" s="47">
        <f t="shared" si="60"/>
        <v>6.1506860492513571</v>
      </c>
      <c r="AD69" s="2">
        <v>2.1857325161622317E-2</v>
      </c>
      <c r="AE69" s="73">
        <v>2.3839357378523988E-2</v>
      </c>
      <c r="AF69" s="73">
        <v>2.7582019877139964E-2</v>
      </c>
      <c r="AG69" s="2">
        <v>3.974688774676851E-2</v>
      </c>
      <c r="AH69" s="73">
        <f t="shared" si="70"/>
        <v>0.11302559016405478</v>
      </c>
      <c r="AI69" s="73">
        <f t="shared" si="61"/>
        <v>1.6686371538741422</v>
      </c>
      <c r="AJ69" s="37">
        <f t="shared" si="62"/>
        <v>6.263711639415412</v>
      </c>
      <c r="AK69" s="132">
        <f t="shared" si="63"/>
        <v>92.473411972560953</v>
      </c>
      <c r="AN69" s="57"/>
    </row>
    <row r="70" spans="1:40" x14ac:dyDescent="0.25">
      <c r="A70" s="2">
        <f t="shared" si="40"/>
        <v>1.2230000000000001</v>
      </c>
      <c r="B70" s="2">
        <v>5</v>
      </c>
      <c r="C70" s="2">
        <f t="shared" si="41"/>
        <v>8.7437052187491413E-2</v>
      </c>
      <c r="D70" s="36">
        <v>1.4207E-5</v>
      </c>
      <c r="E70" s="37">
        <f t="shared" si="64"/>
        <v>30772.524877698113</v>
      </c>
      <c r="F70" s="2">
        <f t="shared" si="43"/>
        <v>9.4552784137239346E-3</v>
      </c>
      <c r="G70" s="2">
        <f t="shared" si="44"/>
        <v>4.5747196410770956E-2</v>
      </c>
      <c r="H70" s="2">
        <f t="shared" si="45"/>
        <v>8.7437052187491413E-2</v>
      </c>
      <c r="I70" s="2">
        <f t="shared" si="65"/>
        <v>1.0917571830335981</v>
      </c>
      <c r="J70" s="2">
        <f t="shared" si="47"/>
        <v>5.6000000000000001E-2</v>
      </c>
      <c r="K70" s="2">
        <f t="shared" si="48"/>
        <v>2.2935714285714288E-2</v>
      </c>
      <c r="L70" s="2">
        <f t="shared" si="66"/>
        <v>2.5204386828403157E-2</v>
      </c>
      <c r="M70" s="2">
        <f t="shared" si="50"/>
        <v>0.37210136431444024</v>
      </c>
      <c r="O70" s="2">
        <f t="shared" si="51"/>
        <v>1.2230000000000001</v>
      </c>
      <c r="P70" s="2">
        <v>5</v>
      </c>
      <c r="Q70" s="2">
        <f t="shared" si="52"/>
        <v>0.45499999999999996</v>
      </c>
      <c r="R70" s="36">
        <v>1.4207E-5</v>
      </c>
      <c r="S70" s="37">
        <f t="shared" si="67"/>
        <v>160132.32913352572</v>
      </c>
      <c r="T70" s="2">
        <f t="shared" si="54"/>
        <v>6.4529464354862462E-3</v>
      </c>
      <c r="U70" s="2">
        <f t="shared" si="55"/>
        <v>0.156</v>
      </c>
      <c r="V70" s="2">
        <f t="shared" si="56"/>
        <v>0.45499999999999996</v>
      </c>
      <c r="W70" s="2">
        <f t="shared" si="68"/>
        <v>1.583257328632282</v>
      </c>
      <c r="X70" s="2">
        <v>0.24199999999999999</v>
      </c>
      <c r="Y70" s="2">
        <v>5.9549999999999999E-2</v>
      </c>
      <c r="Z70" s="73">
        <f t="shared" si="69"/>
        <v>4.1518644600029374E-2</v>
      </c>
      <c r="AA70" s="73">
        <f t="shared" si="59"/>
        <v>0.61295457831759081</v>
      </c>
      <c r="AC70" s="47">
        <f t="shared" si="60"/>
        <v>2.5331186537733563</v>
      </c>
      <c r="AD70" s="2">
        <v>2.0740390258569254E-2</v>
      </c>
      <c r="AE70" s="73">
        <v>2.2563564771827114E-2</v>
      </c>
      <c r="AF70" s="73">
        <v>2.6065062508222069E-2</v>
      </c>
      <c r="AG70" s="2">
        <v>3.7879874523771027E-2</v>
      </c>
      <c r="AH70" s="73">
        <f t="shared" si="70"/>
        <v>0.10724889206238947</v>
      </c>
      <c r="AI70" s="73">
        <f t="shared" si="61"/>
        <v>1.5833536966927924</v>
      </c>
      <c r="AJ70" s="37">
        <f t="shared" si="62"/>
        <v>2.6403675458357458</v>
      </c>
      <c r="AK70" s="132">
        <f t="shared" si="63"/>
        <v>38.980689067582347</v>
      </c>
      <c r="AN70" s="57"/>
    </row>
    <row r="71" spans="1:40" x14ac:dyDescent="0.25">
      <c r="A71" s="2">
        <f t="shared" si="40"/>
        <v>1.2230000000000001</v>
      </c>
      <c r="B71" s="2">
        <v>6</v>
      </c>
      <c r="C71" s="2">
        <f t="shared" si="41"/>
        <v>8.7437052187491413E-2</v>
      </c>
      <c r="D71" s="36">
        <v>1.4207E-5</v>
      </c>
      <c r="E71" s="37">
        <f t="shared" si="64"/>
        <v>36927.029853237735</v>
      </c>
      <c r="F71" s="2">
        <f t="shared" si="43"/>
        <v>9.03813657000835E-3</v>
      </c>
      <c r="G71" s="2">
        <f t="shared" si="44"/>
        <v>4.5747196410770956E-2</v>
      </c>
      <c r="H71" s="2">
        <f t="shared" si="45"/>
        <v>8.7437052187491413E-2</v>
      </c>
      <c r="I71" s="2">
        <f t="shared" si="65"/>
        <v>1.0917571830335981</v>
      </c>
      <c r="J71" s="2">
        <f t="shared" si="47"/>
        <v>5.6000000000000001E-2</v>
      </c>
      <c r="K71" s="2">
        <f t="shared" si="48"/>
        <v>2.2935714285714288E-2</v>
      </c>
      <c r="L71" s="2">
        <f t="shared" si="66"/>
        <v>2.4092436028936424E-2</v>
      </c>
      <c r="M71" s="2">
        <f t="shared" si="50"/>
        <v>0.35568523753662734</v>
      </c>
      <c r="O71" s="2">
        <f t="shared" si="51"/>
        <v>1.2230000000000001</v>
      </c>
      <c r="P71" s="2">
        <v>6</v>
      </c>
      <c r="Q71" s="2">
        <f t="shared" si="52"/>
        <v>0.45499999999999996</v>
      </c>
      <c r="R71" s="36">
        <v>1.4207E-5</v>
      </c>
      <c r="S71" s="37">
        <f t="shared" si="67"/>
        <v>192158.79496023085</v>
      </c>
      <c r="T71" s="2">
        <f t="shared" si="54"/>
        <v>6.2063947210454981E-3</v>
      </c>
      <c r="U71" s="2">
        <f t="shared" si="55"/>
        <v>0.156</v>
      </c>
      <c r="V71" s="2">
        <f t="shared" si="56"/>
        <v>0.45499999999999996</v>
      </c>
      <c r="W71" s="2">
        <f t="shared" si="68"/>
        <v>1.583257328632282</v>
      </c>
      <c r="X71" s="2">
        <v>0.24199999999999999</v>
      </c>
      <c r="Y71" s="2">
        <v>5.9549999999999999E-2</v>
      </c>
      <c r="Z71" s="73">
        <f t="shared" si="69"/>
        <v>3.9932316074024483E-2</v>
      </c>
      <c r="AA71" s="73">
        <f t="shared" si="59"/>
        <v>0.5895350437422785</v>
      </c>
      <c r="AC71" s="47">
        <f t="shared" si="60"/>
        <v>1.2337040344200212</v>
      </c>
      <c r="AD71" s="2">
        <v>1.9885751537828459E-2</v>
      </c>
      <c r="AE71" s="73">
        <v>2.1590456650567844E-2</v>
      </c>
      <c r="AF71" s="73">
        <v>2.4910253172178768E-2</v>
      </c>
      <c r="AG71" s="2">
        <v>3.6443576224498647E-2</v>
      </c>
      <c r="AH71" s="73">
        <f t="shared" si="70"/>
        <v>0.10283003758507371</v>
      </c>
      <c r="AI71" s="73">
        <f t="shared" si="61"/>
        <v>1.5181165698818666</v>
      </c>
      <c r="AJ71" s="37">
        <f t="shared" si="62"/>
        <v>1.3365340720050949</v>
      </c>
      <c r="AK71" s="132">
        <f t="shared" si="63"/>
        <v>19.731729838608363</v>
      </c>
      <c r="AN71" s="57"/>
    </row>
    <row r="72" spans="1:40" x14ac:dyDescent="0.25">
      <c r="A72" s="2">
        <f t="shared" si="40"/>
        <v>1.2230000000000001</v>
      </c>
      <c r="B72" s="2">
        <v>7</v>
      </c>
      <c r="C72" s="2">
        <f t="shared" si="41"/>
        <v>8.7437052187491413E-2</v>
      </c>
      <c r="D72" s="36">
        <v>1.4207E-5</v>
      </c>
      <c r="E72" s="37">
        <f t="shared" si="64"/>
        <v>43081.534828777352</v>
      </c>
      <c r="F72" s="2">
        <f t="shared" si="43"/>
        <v>8.7051135411465343E-3</v>
      </c>
      <c r="G72" s="2">
        <f t="shared" si="44"/>
        <v>4.5747196410770956E-2</v>
      </c>
      <c r="H72" s="2">
        <f t="shared" si="45"/>
        <v>8.7437052187491413E-2</v>
      </c>
      <c r="I72" s="2">
        <f t="shared" si="65"/>
        <v>1.0917571830335981</v>
      </c>
      <c r="J72" s="2">
        <f t="shared" si="47"/>
        <v>5.6000000000000001E-2</v>
      </c>
      <c r="K72" s="2">
        <f t="shared" si="48"/>
        <v>2.2935714285714288E-2</v>
      </c>
      <c r="L72" s="2">
        <f t="shared" si="66"/>
        <v>2.3204715871482713E-2</v>
      </c>
      <c r="M72" s="2">
        <f t="shared" si="50"/>
        <v>0.34257950780922486</v>
      </c>
      <c r="O72" s="2">
        <f t="shared" si="51"/>
        <v>1.2230000000000001</v>
      </c>
      <c r="P72" s="2">
        <v>7</v>
      </c>
      <c r="Q72" s="2">
        <f t="shared" si="52"/>
        <v>0.45499999999999996</v>
      </c>
      <c r="R72" s="36">
        <v>1.4207E-5</v>
      </c>
      <c r="S72" s="37">
        <f t="shared" si="67"/>
        <v>224185.26078693601</v>
      </c>
      <c r="T72" s="2">
        <f t="shared" si="54"/>
        <v>6.0080219013146242E-3</v>
      </c>
      <c r="U72" s="2">
        <f t="shared" si="55"/>
        <v>0.156</v>
      </c>
      <c r="V72" s="2">
        <f t="shared" si="56"/>
        <v>0.45499999999999996</v>
      </c>
      <c r="W72" s="2">
        <f t="shared" si="68"/>
        <v>1.583257328632282</v>
      </c>
      <c r="X72" s="2">
        <v>0.24199999999999999</v>
      </c>
      <c r="Y72" s="2">
        <v>5.9549999999999999E-2</v>
      </c>
      <c r="Z72" s="73">
        <f t="shared" si="69"/>
        <v>3.8655973447744615E-2</v>
      </c>
      <c r="AA72" s="73">
        <f t="shared" si="59"/>
        <v>0.57069194171385662</v>
      </c>
      <c r="AC72" s="47">
        <f t="shared" si="60"/>
        <v>0.67667816685062376</v>
      </c>
      <c r="AD72" s="2">
        <v>1.9200828896685618E-2</v>
      </c>
      <c r="AE72" s="73">
        <v>2.0812564441856207E-2</v>
      </c>
      <c r="AF72" s="73">
        <v>2.3988545527657355E-2</v>
      </c>
      <c r="AG72" s="2">
        <v>3.5287504720218209E-2</v>
      </c>
      <c r="AH72" s="73">
        <f t="shared" si="70"/>
        <v>9.9289443586417392E-2</v>
      </c>
      <c r="AI72" s="73">
        <f t="shared" si="61"/>
        <v>1.4658455161818467</v>
      </c>
      <c r="AJ72" s="37">
        <f t="shared" si="62"/>
        <v>0.77596761043704121</v>
      </c>
      <c r="AK72" s="132">
        <f t="shared" si="63"/>
        <v>11.455886964171482</v>
      </c>
      <c r="AN72" s="57"/>
    </row>
    <row r="73" spans="1:40" x14ac:dyDescent="0.25">
      <c r="A73" s="2">
        <f t="shared" si="40"/>
        <v>1.2230000000000001</v>
      </c>
      <c r="B73" s="2">
        <v>8</v>
      </c>
      <c r="C73" s="2">
        <f t="shared" si="41"/>
        <v>8.7437052187491413E-2</v>
      </c>
      <c r="D73" s="36">
        <v>1.4207E-5</v>
      </c>
      <c r="E73" s="37">
        <f t="shared" si="64"/>
        <v>49236.039804316977</v>
      </c>
      <c r="F73" s="2">
        <f t="shared" si="43"/>
        <v>8.4302439140540308E-3</v>
      </c>
      <c r="G73" s="2">
        <f t="shared" si="44"/>
        <v>4.5747196410770956E-2</v>
      </c>
      <c r="H73" s="2">
        <f t="shared" si="45"/>
        <v>8.7437052187491413E-2</v>
      </c>
      <c r="I73" s="2">
        <f t="shared" si="65"/>
        <v>1.0917571830335981</v>
      </c>
      <c r="J73" s="2">
        <f t="shared" si="47"/>
        <v>5.6000000000000001E-2</v>
      </c>
      <c r="K73" s="2">
        <f t="shared" si="48"/>
        <v>2.2935714285714288E-2</v>
      </c>
      <c r="L73" s="2">
        <f t="shared" si="66"/>
        <v>2.2472011861565586E-2</v>
      </c>
      <c r="M73" s="2">
        <f t="shared" si="50"/>
        <v>0.33176233683081474</v>
      </c>
      <c r="O73" s="2">
        <f t="shared" si="51"/>
        <v>1.2230000000000001</v>
      </c>
      <c r="P73" s="2">
        <v>8</v>
      </c>
      <c r="Q73" s="2">
        <f t="shared" si="52"/>
        <v>0.45499999999999996</v>
      </c>
      <c r="R73" s="36">
        <v>1.4207E-5</v>
      </c>
      <c r="S73" s="37">
        <f t="shared" si="67"/>
        <v>256211.72661364113</v>
      </c>
      <c r="T73" s="2">
        <f t="shared" si="54"/>
        <v>5.8432256037496888E-3</v>
      </c>
      <c r="U73" s="2">
        <f t="shared" si="55"/>
        <v>0.156</v>
      </c>
      <c r="V73" s="2">
        <f t="shared" si="56"/>
        <v>0.45499999999999996</v>
      </c>
      <c r="W73" s="2">
        <f t="shared" si="68"/>
        <v>1.583257328632282</v>
      </c>
      <c r="X73" s="2">
        <v>0.24199999999999999</v>
      </c>
      <c r="Y73" s="2">
        <v>5.9549999999999999E-2</v>
      </c>
      <c r="Z73" s="73">
        <f t="shared" si="69"/>
        <v>3.7595664179969991E-2</v>
      </c>
      <c r="AA73" s="73">
        <f t="shared" si="59"/>
        <v>0.55503821731181846</v>
      </c>
      <c r="AC73" s="47">
        <f t="shared" si="60"/>
        <v>0.40632725307820983</v>
      </c>
      <c r="AD73" s="2">
        <v>1.863370290928194E-2</v>
      </c>
      <c r="AE73" s="73">
        <v>2.0169812896637919E-2</v>
      </c>
      <c r="AF73" s="73">
        <v>2.3227945369657308E-2</v>
      </c>
      <c r="AG73" s="2">
        <v>3.4326803822804619E-2</v>
      </c>
      <c r="AH73" s="73">
        <f t="shared" si="70"/>
        <v>9.6358264998381779E-2</v>
      </c>
      <c r="AI73" s="73">
        <f t="shared" si="61"/>
        <v>1.4225714798371811</v>
      </c>
      <c r="AJ73" s="37">
        <f t="shared" si="62"/>
        <v>0.50268551807659168</v>
      </c>
      <c r="AK73" s="132">
        <f t="shared" si="63"/>
        <v>7.4213258339068933</v>
      </c>
      <c r="AN73" s="57"/>
    </row>
    <row r="74" spans="1:40" x14ac:dyDescent="0.25">
      <c r="A74" s="27">
        <f t="shared" si="40"/>
        <v>1.2230000000000001</v>
      </c>
      <c r="B74" s="27">
        <v>9</v>
      </c>
      <c r="C74" s="27">
        <f t="shared" si="41"/>
        <v>8.7437052187491413E-2</v>
      </c>
      <c r="D74" s="134">
        <v>1.4207E-5</v>
      </c>
      <c r="E74" s="71">
        <f t="shared" si="64"/>
        <v>55390.544779856602</v>
      </c>
      <c r="F74" s="27">
        <f t="shared" si="43"/>
        <v>8.1976887615039448E-3</v>
      </c>
      <c r="G74" s="27">
        <f t="shared" si="44"/>
        <v>4.5747196410770956E-2</v>
      </c>
      <c r="H74" s="27">
        <f t="shared" si="45"/>
        <v>8.7437052187491413E-2</v>
      </c>
      <c r="I74" s="27">
        <f t="shared" si="65"/>
        <v>1.0917571830335981</v>
      </c>
      <c r="J74" s="27">
        <f t="shared" si="47"/>
        <v>5.6000000000000001E-2</v>
      </c>
      <c r="K74" s="27">
        <f t="shared" si="48"/>
        <v>2.2935714285714288E-2</v>
      </c>
      <c r="L74" s="27">
        <f t="shared" si="66"/>
        <v>2.1852103090259277E-2</v>
      </c>
      <c r="M74" s="27">
        <f t="shared" si="50"/>
        <v>0.32261040224402998</v>
      </c>
      <c r="O74" s="27">
        <f t="shared" si="51"/>
        <v>1.2230000000000001</v>
      </c>
      <c r="P74" s="27">
        <v>9</v>
      </c>
      <c r="Q74" s="27">
        <f t="shared" si="52"/>
        <v>0.45499999999999996</v>
      </c>
      <c r="R74" s="134">
        <v>1.4207E-5</v>
      </c>
      <c r="S74" s="71">
        <f t="shared" si="67"/>
        <v>288238.19244034629</v>
      </c>
      <c r="T74" s="27">
        <f t="shared" si="54"/>
        <v>5.7030262500521465E-3</v>
      </c>
      <c r="U74" s="27">
        <f t="shared" si="55"/>
        <v>0.156</v>
      </c>
      <c r="V74" s="27">
        <f t="shared" si="56"/>
        <v>0.45499999999999996</v>
      </c>
      <c r="W74" s="27">
        <f t="shared" si="68"/>
        <v>1.583257328632282</v>
      </c>
      <c r="X74" s="27">
        <v>0.24199999999999999</v>
      </c>
      <c r="Y74" s="27">
        <v>5.9549999999999999E-2</v>
      </c>
      <c r="Z74" s="135">
        <f t="shared" si="69"/>
        <v>3.669361312507332E-2</v>
      </c>
      <c r="AA74" s="135">
        <f t="shared" si="59"/>
        <v>0.54172091542728784</v>
      </c>
      <c r="AC74" s="47">
        <f t="shared" si="60"/>
        <v>0.26244832778667093</v>
      </c>
      <c r="AD74" s="2">
        <v>1.8152576031449246E-2</v>
      </c>
      <c r="AE74" s="73">
        <v>1.96255061357219E-2</v>
      </c>
      <c r="AF74" s="73">
        <v>2.2584547506571483E-2</v>
      </c>
      <c r="AG74" s="2">
        <v>3.3509271619645148E-2</v>
      </c>
      <c r="AH74" s="73">
        <f t="shared" si="70"/>
        <v>9.3871901293387766E-2</v>
      </c>
      <c r="AI74" s="73">
        <f t="shared" si="61"/>
        <v>1.385864404473317</v>
      </c>
      <c r="AJ74" s="37">
        <f t="shared" si="62"/>
        <v>0.35632022908005867</v>
      </c>
      <c r="AK74" s="132">
        <f t="shared" si="63"/>
        <v>5.2604827991335776</v>
      </c>
      <c r="AN74" s="57"/>
    </row>
    <row r="75" spans="1:40" x14ac:dyDescent="0.25">
      <c r="A75" s="2">
        <f t="shared" si="40"/>
        <v>1.2230000000000001</v>
      </c>
      <c r="B75" s="2">
        <v>10</v>
      </c>
      <c r="C75" s="2">
        <f t="shared" si="41"/>
        <v>8.7437052187491413E-2</v>
      </c>
      <c r="D75" s="36">
        <v>1.4207E-5</v>
      </c>
      <c r="E75" s="37">
        <f t="shared" si="64"/>
        <v>61545.049755396227</v>
      </c>
      <c r="F75" s="2">
        <f t="shared" si="43"/>
        <v>7.9971369284097208E-3</v>
      </c>
      <c r="G75" s="2">
        <f t="shared" si="44"/>
        <v>4.5747196410770956E-2</v>
      </c>
      <c r="H75" s="2">
        <f t="shared" si="45"/>
        <v>8.7437052187491413E-2</v>
      </c>
      <c r="I75" s="2">
        <f t="shared" si="65"/>
        <v>1.0917571830335981</v>
      </c>
      <c r="J75" s="2">
        <f t="shared" si="47"/>
        <v>5.6000000000000001E-2</v>
      </c>
      <c r="K75" s="2">
        <f t="shared" si="48"/>
        <v>2.2935714285714288E-2</v>
      </c>
      <c r="L75" s="2">
        <f t="shared" si="66"/>
        <v>2.1317503709968651E-2</v>
      </c>
      <c r="M75" s="2">
        <f t="shared" si="50"/>
        <v>0.31471792066444937</v>
      </c>
      <c r="O75" s="2">
        <f t="shared" si="51"/>
        <v>1.2230000000000001</v>
      </c>
      <c r="P75" s="2">
        <v>10</v>
      </c>
      <c r="Q75" s="2">
        <f t="shared" si="52"/>
        <v>0.45499999999999996</v>
      </c>
      <c r="R75" s="36">
        <v>1.4207E-5</v>
      </c>
      <c r="S75" s="37">
        <f t="shared" si="67"/>
        <v>320264.65826705145</v>
      </c>
      <c r="T75" s="2">
        <f t="shared" si="54"/>
        <v>5.5815382192114602E-3</v>
      </c>
      <c r="U75" s="2">
        <f t="shared" si="55"/>
        <v>0.156</v>
      </c>
      <c r="V75" s="2">
        <f t="shared" si="56"/>
        <v>0.45499999999999996</v>
      </c>
      <c r="W75" s="2">
        <f t="shared" si="68"/>
        <v>1.583257328632282</v>
      </c>
      <c r="X75" s="2">
        <v>0.24199999999999999</v>
      </c>
      <c r="Y75" s="2">
        <v>5.9549999999999999E-2</v>
      </c>
      <c r="Z75" s="73">
        <f t="shared" si="69"/>
        <v>3.5911951844283259E-2</v>
      </c>
      <c r="AA75" s="73">
        <f t="shared" si="59"/>
        <v>0.53018097077424109</v>
      </c>
      <c r="AC75" s="47">
        <f t="shared" si="60"/>
        <v>0.18022929086083478</v>
      </c>
      <c r="AD75" s="2">
        <v>1.7736678285740319E-2</v>
      </c>
      <c r="AE75" s="73">
        <v>1.9155727701978226E-2</v>
      </c>
      <c r="AF75" s="73">
        <v>2.2029775837859828E-2</v>
      </c>
      <c r="AG75" s="2">
        <v>3.280068126914186E-2</v>
      </c>
      <c r="AH75" s="73">
        <f t="shared" si="70"/>
        <v>9.1722863094720233E-2</v>
      </c>
      <c r="AI75" s="73">
        <f t="shared" si="61"/>
        <v>1.3541373860327459</v>
      </c>
      <c r="AJ75" s="37">
        <f t="shared" si="62"/>
        <v>0.27195215395555505</v>
      </c>
      <c r="AK75" s="132">
        <f t="shared" si="63"/>
        <v>4.0149267746151294</v>
      </c>
      <c r="AN75" s="57"/>
    </row>
    <row r="76" spans="1:40" x14ac:dyDescent="0.25">
      <c r="A76" s="2">
        <f t="shared" si="40"/>
        <v>1.2230000000000001</v>
      </c>
      <c r="B76" s="2">
        <v>11</v>
      </c>
      <c r="C76" s="2">
        <f t="shared" si="41"/>
        <v>8.7437052187491413E-2</v>
      </c>
      <c r="D76" s="36">
        <v>1.4207E-5</v>
      </c>
      <c r="E76" s="37">
        <f t="shared" si="64"/>
        <v>67699.554730935852</v>
      </c>
      <c r="F76" s="2">
        <f t="shared" si="43"/>
        <v>7.8215334836801726E-3</v>
      </c>
      <c r="G76" s="2">
        <f t="shared" si="44"/>
        <v>4.5747196410770956E-2</v>
      </c>
      <c r="H76" s="2">
        <f t="shared" si="45"/>
        <v>8.7437052187491413E-2</v>
      </c>
      <c r="I76" s="2">
        <f t="shared" si="65"/>
        <v>1.0917571830335981</v>
      </c>
      <c r="J76" s="2">
        <f t="shared" si="47"/>
        <v>5.6000000000000001E-2</v>
      </c>
      <c r="K76" s="2">
        <f t="shared" si="48"/>
        <v>2.2935714285714288E-2</v>
      </c>
      <c r="L76" s="2">
        <f t="shared" si="66"/>
        <v>2.0849407800392943E-2</v>
      </c>
      <c r="M76" s="2">
        <f t="shared" si="50"/>
        <v>0.30780725357427263</v>
      </c>
      <c r="O76" s="2">
        <f t="shared" si="51"/>
        <v>1.2230000000000001</v>
      </c>
      <c r="P76" s="2">
        <v>11</v>
      </c>
      <c r="Q76" s="2">
        <f t="shared" si="52"/>
        <v>0.45499999999999996</v>
      </c>
      <c r="R76" s="36">
        <v>1.4207E-5</v>
      </c>
      <c r="S76" s="37">
        <f t="shared" si="67"/>
        <v>352291.1240937566</v>
      </c>
      <c r="T76" s="2">
        <f t="shared" si="54"/>
        <v>5.47471082900615E-3</v>
      </c>
      <c r="U76" s="2">
        <f t="shared" si="55"/>
        <v>0.156</v>
      </c>
      <c r="V76" s="2">
        <f t="shared" si="56"/>
        <v>0.45499999999999996</v>
      </c>
      <c r="W76" s="2">
        <f t="shared" si="68"/>
        <v>1.583257328632282</v>
      </c>
      <c r="X76" s="2">
        <v>0.24199999999999999</v>
      </c>
      <c r="Y76" s="2">
        <v>5.9549999999999999E-2</v>
      </c>
      <c r="Z76" s="73">
        <f t="shared" si="69"/>
        <v>3.5224618005109884E-2</v>
      </c>
      <c r="AA76" s="73">
        <f t="shared" si="59"/>
        <v>0.5200336158301534</v>
      </c>
      <c r="AC76" s="47">
        <f t="shared" si="60"/>
        <v>0.13050700625697342</v>
      </c>
      <c r="AD76" s="2">
        <v>1.7371757489576634E-2</v>
      </c>
      <c r="AE76" s="73">
        <v>1.8744097684067762E-2</v>
      </c>
      <c r="AF76" s="73">
        <v>2.1544082152267215E-2</v>
      </c>
      <c r="AG76" s="2">
        <v>3.2177469951175326E-2</v>
      </c>
      <c r="AH76" s="73">
        <f t="shared" si="70"/>
        <v>8.9837407277086945E-2</v>
      </c>
      <c r="AI76" s="73">
        <f t="shared" si="61"/>
        <v>1.3263017284199479</v>
      </c>
      <c r="AJ76" s="37">
        <f t="shared" si="62"/>
        <v>0.22034441353406037</v>
      </c>
      <c r="AK76" s="132">
        <f t="shared" si="63"/>
        <v>3.2530232714367386</v>
      </c>
      <c r="AN76" s="57"/>
    </row>
    <row r="77" spans="1:40" x14ac:dyDescent="0.25">
      <c r="A77" s="2">
        <f t="shared" si="40"/>
        <v>1.2230000000000001</v>
      </c>
      <c r="B77" s="2">
        <v>12</v>
      </c>
      <c r="C77" s="2">
        <f t="shared" si="41"/>
        <v>8.7437052187491413E-2</v>
      </c>
      <c r="D77" s="36">
        <v>1.4207E-5</v>
      </c>
      <c r="E77" s="37">
        <f t="shared" si="64"/>
        <v>73854.059706475469</v>
      </c>
      <c r="F77" s="2">
        <f t="shared" si="43"/>
        <v>7.6658578207384701E-3</v>
      </c>
      <c r="G77" s="2">
        <f t="shared" si="44"/>
        <v>4.5747196410770956E-2</v>
      </c>
      <c r="H77" s="2">
        <f t="shared" si="45"/>
        <v>8.7437052187491413E-2</v>
      </c>
      <c r="I77" s="2">
        <f t="shared" si="65"/>
        <v>1.0917571830335981</v>
      </c>
      <c r="J77" s="2">
        <f t="shared" si="47"/>
        <v>5.6000000000000001E-2</v>
      </c>
      <c r="K77" s="2">
        <f t="shared" si="48"/>
        <v>2.2935714285714288E-2</v>
      </c>
      <c r="L77" s="2">
        <f t="shared" si="66"/>
        <v>2.0434432222005351E-2</v>
      </c>
      <c r="M77" s="2">
        <f t="shared" si="50"/>
        <v>0.30168082090497289</v>
      </c>
      <c r="O77" s="2">
        <f t="shared" si="51"/>
        <v>1.2230000000000001</v>
      </c>
      <c r="P77" s="2">
        <v>12</v>
      </c>
      <c r="Q77" s="2">
        <f t="shared" si="52"/>
        <v>0.45499999999999996</v>
      </c>
      <c r="R77" s="36">
        <v>1.4207E-5</v>
      </c>
      <c r="S77" s="37">
        <f t="shared" si="67"/>
        <v>384317.5899204617</v>
      </c>
      <c r="T77" s="2">
        <f t="shared" si="54"/>
        <v>5.3796465279120284E-3</v>
      </c>
      <c r="U77" s="2">
        <f t="shared" si="55"/>
        <v>0.156</v>
      </c>
      <c r="V77" s="2">
        <f t="shared" si="56"/>
        <v>0.45499999999999996</v>
      </c>
      <c r="W77" s="2">
        <f t="shared" si="68"/>
        <v>1.583257328632282</v>
      </c>
      <c r="X77" s="2">
        <v>0.24199999999999999</v>
      </c>
      <c r="Y77" s="2">
        <v>5.9549999999999999E-2</v>
      </c>
      <c r="Z77" s="73">
        <f t="shared" si="69"/>
        <v>3.4612968587167739E-2</v>
      </c>
      <c r="AA77" s="73">
        <f t="shared" si="59"/>
        <v>0.51100361702685282</v>
      </c>
      <c r="AC77" s="47">
        <f t="shared" si="60"/>
        <v>9.9015877151251333E-2</v>
      </c>
      <c r="AD77" s="2">
        <v>1.7047645296800168E-2</v>
      </c>
      <c r="AE77" s="73">
        <v>1.8378949290484056E-2</v>
      </c>
      <c r="AF77" s="73">
        <v>2.1113557348602634E-2</v>
      </c>
      <c r="AG77" s="2">
        <v>3.1622778355270664E-2</v>
      </c>
      <c r="AH77" s="73">
        <f t="shared" si="70"/>
        <v>8.8162930291157529E-2</v>
      </c>
      <c r="AI77" s="73">
        <f t="shared" si="61"/>
        <v>1.3015808266491771</v>
      </c>
      <c r="AJ77" s="37">
        <f t="shared" si="62"/>
        <v>0.18717880744240883</v>
      </c>
      <c r="AK77" s="132">
        <f t="shared" si="63"/>
        <v>2.7633875838463684</v>
      </c>
      <c r="AN77" s="57"/>
    </row>
    <row r="78" spans="1:40" x14ac:dyDescent="0.25">
      <c r="A78" s="2">
        <f t="shared" si="40"/>
        <v>1.2230000000000001</v>
      </c>
      <c r="B78" s="2">
        <v>13</v>
      </c>
      <c r="C78" s="2">
        <f t="shared" si="41"/>
        <v>8.7437052187491413E-2</v>
      </c>
      <c r="D78" s="36">
        <v>1.4207E-5</v>
      </c>
      <c r="E78" s="37">
        <f t="shared" si="64"/>
        <v>80008.564682015087</v>
      </c>
      <c r="F78" s="2">
        <f t="shared" si="43"/>
        <v>7.5264212680834809E-3</v>
      </c>
      <c r="G78" s="2">
        <f t="shared" si="44"/>
        <v>4.5747196410770956E-2</v>
      </c>
      <c r="H78" s="2">
        <f t="shared" si="45"/>
        <v>8.7437052187491413E-2</v>
      </c>
      <c r="I78" s="2">
        <f t="shared" si="65"/>
        <v>1.0917571830335981</v>
      </c>
      <c r="J78" s="2">
        <f t="shared" si="47"/>
        <v>5.6000000000000001E-2</v>
      </c>
      <c r="K78" s="2">
        <f t="shared" si="48"/>
        <v>2.2935714285714288E-2</v>
      </c>
      <c r="L78" s="2">
        <f t="shared" si="66"/>
        <v>2.0062744297297149E-2</v>
      </c>
      <c r="M78" s="2">
        <f t="shared" si="50"/>
        <v>0.29619345932681829</v>
      </c>
      <c r="O78" s="2">
        <f t="shared" si="51"/>
        <v>1.2230000000000001</v>
      </c>
      <c r="P78" s="2">
        <v>13</v>
      </c>
      <c r="Q78" s="2">
        <f t="shared" si="52"/>
        <v>0.45499999999999996</v>
      </c>
      <c r="R78" s="36">
        <v>1.4207E-5</v>
      </c>
      <c r="S78" s="37">
        <f t="shared" si="67"/>
        <v>416344.05574716686</v>
      </c>
      <c r="T78" s="2">
        <f t="shared" si="54"/>
        <v>5.2942066728080221E-3</v>
      </c>
      <c r="U78" s="2">
        <f t="shared" si="55"/>
        <v>0.156</v>
      </c>
      <c r="V78" s="2">
        <f t="shared" si="56"/>
        <v>0.45499999999999996</v>
      </c>
      <c r="W78" s="2">
        <f t="shared" si="68"/>
        <v>1.583257328632282</v>
      </c>
      <c r="X78" s="2">
        <v>0.24199999999999999</v>
      </c>
      <c r="Y78" s="2">
        <v>5.9549999999999999E-2</v>
      </c>
      <c r="Z78" s="73">
        <f t="shared" si="69"/>
        <v>3.4063243432278248E-2</v>
      </c>
      <c r="AA78" s="73">
        <f t="shared" si="59"/>
        <v>0.50288782823480682</v>
      </c>
      <c r="AC78" s="47">
        <f t="shared" si="60"/>
        <v>7.829079789252294E-2</v>
      </c>
      <c r="AD78" s="2">
        <v>1.6756854024078997E-2</v>
      </c>
      <c r="AE78" s="73">
        <v>1.8051704246328671E-2</v>
      </c>
      <c r="AF78" s="73">
        <v>2.0727983814692E-2</v>
      </c>
      <c r="AG78" s="2">
        <v>3.1124160057343354E-2</v>
      </c>
      <c r="AH78" s="73">
        <f t="shared" si="70"/>
        <v>8.6660702142443022E-2</v>
      </c>
      <c r="AI78" s="73">
        <f t="shared" si="61"/>
        <v>1.2794028959796515</v>
      </c>
      <c r="AJ78" s="37">
        <f t="shared" si="62"/>
        <v>0.16495150003496598</v>
      </c>
      <c r="AK78" s="132">
        <f t="shared" si="63"/>
        <v>2.4352379062662153</v>
      </c>
      <c r="AN78" s="57"/>
    </row>
    <row r="79" spans="1:40" x14ac:dyDescent="0.25">
      <c r="A79" s="2">
        <f t="shared" si="40"/>
        <v>1.2230000000000001</v>
      </c>
      <c r="B79" s="2">
        <v>14</v>
      </c>
      <c r="C79" s="2">
        <f t="shared" si="41"/>
        <v>8.7437052187491413E-2</v>
      </c>
      <c r="D79" s="36">
        <v>1.4207E-5</v>
      </c>
      <c r="E79" s="37">
        <f t="shared" si="64"/>
        <v>86163.069657554704</v>
      </c>
      <c r="F79" s="2">
        <f t="shared" si="43"/>
        <v>7.4004412412507275E-3</v>
      </c>
      <c r="G79" s="2">
        <f t="shared" si="44"/>
        <v>4.5747196410770956E-2</v>
      </c>
      <c r="H79" s="2">
        <f t="shared" si="45"/>
        <v>8.7437052187491413E-2</v>
      </c>
      <c r="I79" s="2">
        <f t="shared" si="65"/>
        <v>1.0917571830335981</v>
      </c>
      <c r="J79" s="2">
        <f t="shared" si="47"/>
        <v>5.6000000000000001E-2</v>
      </c>
      <c r="K79" s="2">
        <f t="shared" si="48"/>
        <v>2.2935714285714288E-2</v>
      </c>
      <c r="L79" s="2">
        <f t="shared" si="66"/>
        <v>1.9726926652378664E-2</v>
      </c>
      <c r="M79" s="2">
        <f t="shared" si="50"/>
        <v>0.29123566350001351</v>
      </c>
      <c r="O79" s="2">
        <f t="shared" si="51"/>
        <v>1.2230000000000001</v>
      </c>
      <c r="P79" s="2">
        <v>14</v>
      </c>
      <c r="Q79" s="2">
        <f t="shared" si="52"/>
        <v>0.45499999999999996</v>
      </c>
      <c r="R79" s="36">
        <v>1.4207E-5</v>
      </c>
      <c r="S79" s="37">
        <f t="shared" si="67"/>
        <v>448370.52157387201</v>
      </c>
      <c r="T79" s="2">
        <f t="shared" si="54"/>
        <v>5.2167712810212491E-3</v>
      </c>
      <c r="U79" s="2">
        <f t="shared" si="55"/>
        <v>0.156</v>
      </c>
      <c r="V79" s="2">
        <f t="shared" si="56"/>
        <v>0.45499999999999996</v>
      </c>
      <c r="W79" s="2">
        <f t="shared" si="68"/>
        <v>1.583257328632282</v>
      </c>
      <c r="X79" s="2">
        <v>0.24199999999999999</v>
      </c>
      <c r="Y79" s="2">
        <v>5.9549999999999999E-2</v>
      </c>
      <c r="Z79" s="73">
        <f t="shared" si="69"/>
        <v>3.3565019474710751E-2</v>
      </c>
      <c r="AA79" s="73">
        <f t="shared" si="59"/>
        <v>0.49553237001211009</v>
      </c>
      <c r="AC79" s="47">
        <f t="shared" si="60"/>
        <v>6.4201760428163987E-2</v>
      </c>
      <c r="AD79" s="2">
        <v>1.6493723752814132E-2</v>
      </c>
      <c r="AE79" s="73">
        <v>1.7755886962956904E-2</v>
      </c>
      <c r="AF79" s="73">
        <v>2.0379654809431127E-2</v>
      </c>
      <c r="AG79" s="2">
        <v>3.0672185211335936E-2</v>
      </c>
      <c r="AH79" s="73">
        <f t="shared" si="70"/>
        <v>8.5301450736538109E-2</v>
      </c>
      <c r="AI79" s="73">
        <f t="shared" si="61"/>
        <v>1.2593357820273468</v>
      </c>
      <c r="AJ79" s="37">
        <f t="shared" si="62"/>
        <v>0.14950321116470208</v>
      </c>
      <c r="AK79" s="132">
        <f t="shared" si="63"/>
        <v>2.2071693004284842</v>
      </c>
      <c r="AN79" s="57"/>
    </row>
    <row r="80" spans="1:40" x14ac:dyDescent="0.25">
      <c r="A80" s="2">
        <f t="shared" si="40"/>
        <v>1.2230000000000001</v>
      </c>
      <c r="B80" s="2">
        <v>15</v>
      </c>
      <c r="C80" s="2">
        <f t="shared" si="41"/>
        <v>8.7437052187491413E-2</v>
      </c>
      <c r="D80" s="36">
        <v>1.4207E-5</v>
      </c>
      <c r="E80" s="37">
        <f t="shared" si="64"/>
        <v>92317.574633094337</v>
      </c>
      <c r="F80" s="2">
        <f t="shared" si="43"/>
        <v>7.2857715098268083E-3</v>
      </c>
      <c r="G80" s="2">
        <f t="shared" si="44"/>
        <v>4.5747196410770956E-2</v>
      </c>
      <c r="H80" s="2">
        <f t="shared" si="45"/>
        <v>8.7437052187491413E-2</v>
      </c>
      <c r="I80" s="2">
        <f t="shared" si="65"/>
        <v>1.0917571830335981</v>
      </c>
      <c r="J80" s="2">
        <f t="shared" si="47"/>
        <v>5.6000000000000001E-2</v>
      </c>
      <c r="K80" s="2">
        <f t="shared" si="48"/>
        <v>2.2935714285714288E-2</v>
      </c>
      <c r="L80" s="2">
        <f t="shared" si="66"/>
        <v>1.9421258205416535E-2</v>
      </c>
      <c r="M80" s="2">
        <f t="shared" si="50"/>
        <v>0.28672297105020911</v>
      </c>
      <c r="O80" s="2">
        <f t="shared" si="51"/>
        <v>1.2230000000000001</v>
      </c>
      <c r="P80" s="2">
        <v>15</v>
      </c>
      <c r="Q80" s="2">
        <f t="shared" si="52"/>
        <v>0.45499999999999996</v>
      </c>
      <c r="R80" s="36">
        <v>1.4207E-5</v>
      </c>
      <c r="S80" s="37">
        <f t="shared" si="67"/>
        <v>480396.98740057711</v>
      </c>
      <c r="T80" s="2">
        <f t="shared" si="54"/>
        <v>5.1460861521048706E-3</v>
      </c>
      <c r="U80" s="2">
        <f t="shared" si="55"/>
        <v>0.156</v>
      </c>
      <c r="V80" s="2">
        <f t="shared" si="56"/>
        <v>0.45499999999999996</v>
      </c>
      <c r="W80" s="2">
        <f t="shared" si="68"/>
        <v>1.583257328632282</v>
      </c>
      <c r="X80" s="2">
        <v>0.24199999999999999</v>
      </c>
      <c r="Y80" s="2">
        <v>5.9549999999999999E-2</v>
      </c>
      <c r="Z80" s="73">
        <f t="shared" si="69"/>
        <v>3.3110227113527103E-2</v>
      </c>
      <c r="AA80" s="73">
        <f t="shared" si="59"/>
        <v>0.48881810795811265</v>
      </c>
      <c r="AC80" s="47">
        <f t="shared" si="60"/>
        <v>5.4354551281152547E-2</v>
      </c>
      <c r="AD80" s="2">
        <v>1.625388086641074E-2</v>
      </c>
      <c r="AE80" s="73">
        <v>1.7486499624717874E-2</v>
      </c>
      <c r="AF80" s="73">
        <v>2.0062626767493864E-2</v>
      </c>
      <c r="AG80" s="2">
        <v>3.0259551828938715E-2</v>
      </c>
      <c r="AH80" s="73">
        <f t="shared" si="70"/>
        <v>8.4062559087561189E-2</v>
      </c>
      <c r="AI80" s="73">
        <f t="shared" si="61"/>
        <v>1.2410455821521973</v>
      </c>
      <c r="AJ80" s="37">
        <f t="shared" si="62"/>
        <v>0.13841711036871374</v>
      </c>
      <c r="AK80" s="132">
        <f t="shared" si="63"/>
        <v>2.0435012350555954</v>
      </c>
      <c r="AN80" s="57"/>
    </row>
    <row r="81" spans="4:37" x14ac:dyDescent="0.25">
      <c r="D81" s="55"/>
      <c r="E81" s="56"/>
      <c r="P81" s="55"/>
      <c r="Q81" s="56"/>
      <c r="AC81" s="55"/>
      <c r="AD81" s="56"/>
      <c r="AK81" s="57"/>
    </row>
    <row r="82" spans="4:37" x14ac:dyDescent="0.25">
      <c r="D82" s="55"/>
      <c r="E82" s="56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AC82" s="55"/>
      <c r="AD82" s="56"/>
      <c r="AK82" s="57"/>
    </row>
    <row r="83" spans="4:37" x14ac:dyDescent="0.25">
      <c r="D83" s="55"/>
      <c r="E83" s="56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</row>
    <row r="84" spans="4:37" x14ac:dyDescent="0.25">
      <c r="D84" s="55"/>
      <c r="E84" s="56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</row>
    <row r="85" spans="4:37" x14ac:dyDescent="0.25"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</row>
    <row r="86" spans="4:37" x14ac:dyDescent="0.25"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</row>
    <row r="87" spans="4:37" x14ac:dyDescent="0.25"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</row>
    <row r="88" spans="4:37" x14ac:dyDescent="0.25"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</row>
    <row r="89" spans="4:37" x14ac:dyDescent="0.25"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</row>
    <row r="90" spans="4:37" x14ac:dyDescent="0.25"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</row>
    <row r="91" spans="4:37" x14ac:dyDescent="0.25"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</row>
    <row r="92" spans="4:37" x14ac:dyDescent="0.25"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</row>
    <row r="93" spans="4:37" x14ac:dyDescent="0.25"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</row>
    <row r="94" spans="4:37" x14ac:dyDescent="0.25"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</row>
    <row r="95" spans="4:37" x14ac:dyDescent="0.25"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</row>
    <row r="96" spans="4:37" x14ac:dyDescent="0.25"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</row>
    <row r="97" spans="7:17" x14ac:dyDescent="0.25"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</row>
    <row r="98" spans="7:17" x14ac:dyDescent="0.25"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</row>
    <row r="99" spans="7:17" x14ac:dyDescent="0.25"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</row>
    <row r="100" spans="7:17" x14ac:dyDescent="0.25"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</row>
    <row r="101" spans="7:17" x14ac:dyDescent="0.25"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</row>
    <row r="102" spans="7:17" x14ac:dyDescent="0.25"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</row>
  </sheetData>
  <mergeCells count="51">
    <mergeCell ref="Y39:AA39"/>
    <mergeCell ref="Y40:AA40"/>
    <mergeCell ref="AM24:AS37"/>
    <mergeCell ref="Y34:AA34"/>
    <mergeCell ref="Y35:AA35"/>
    <mergeCell ref="Y36:AA36"/>
    <mergeCell ref="Y37:AA37"/>
    <mergeCell ref="Y38:AA38"/>
    <mergeCell ref="AF24:AL37"/>
    <mergeCell ref="G82:Q102"/>
    <mergeCell ref="AB5:AH5"/>
    <mergeCell ref="AB6:AH20"/>
    <mergeCell ref="L28:W29"/>
    <mergeCell ref="L33:W34"/>
    <mergeCell ref="L38:W39"/>
    <mergeCell ref="L23:W24"/>
    <mergeCell ref="X5:Z5"/>
    <mergeCell ref="T6:V9"/>
    <mergeCell ref="X6:Z14"/>
    <mergeCell ref="K5:N5"/>
    <mergeCell ref="O5:R5"/>
    <mergeCell ref="K6:R19"/>
    <mergeCell ref="T5:V5"/>
    <mergeCell ref="T16:X21"/>
    <mergeCell ref="A44:K45"/>
    <mergeCell ref="A28:F29"/>
    <mergeCell ref="A1:F3"/>
    <mergeCell ref="A6:E19"/>
    <mergeCell ref="A5:E5"/>
    <mergeCell ref="G5:I5"/>
    <mergeCell ref="G6:I9"/>
    <mergeCell ref="A23:J24"/>
    <mergeCell ref="G11:I11"/>
    <mergeCell ref="G12:I21"/>
    <mergeCell ref="H28:I28"/>
    <mergeCell ref="M44:Y45"/>
    <mergeCell ref="AA44:AM45"/>
    <mergeCell ref="A63:M64"/>
    <mergeCell ref="O63:AA64"/>
    <mergeCell ref="AC63:AJ64"/>
    <mergeCell ref="H32:I32"/>
    <mergeCell ref="K2:L2"/>
    <mergeCell ref="K3:T3"/>
    <mergeCell ref="Y27:AA27"/>
    <mergeCell ref="Y28:AA28"/>
    <mergeCell ref="Y29:AA29"/>
    <mergeCell ref="Y30:AA30"/>
    <mergeCell ref="Y31:AA31"/>
    <mergeCell ref="Y25:AA25"/>
    <mergeCell ref="Y26:AA26"/>
    <mergeCell ref="T15:V15"/>
  </mergeCells>
  <hyperlinks>
    <hyperlink ref="K3" r:id="rId1" xr:uid="{01C4FCAE-D60A-40AF-8B97-FC509B9E49B1}"/>
  </hyperlinks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44F7-5B57-428E-B683-530D415620A2}">
  <dimension ref="A1:L28"/>
  <sheetViews>
    <sheetView tabSelected="1" topLeftCell="B19" zoomScale="115" zoomScaleNormal="115" workbookViewId="0">
      <selection activeCell="J30" sqref="J30"/>
    </sheetView>
  </sheetViews>
  <sheetFormatPr defaultRowHeight="15" x14ac:dyDescent="0.25"/>
  <cols>
    <col min="1" max="1" width="15.7109375" customWidth="1"/>
    <col min="2" max="2" width="14" customWidth="1"/>
    <col min="8" max="8" width="12.28515625" customWidth="1"/>
    <col min="9" max="9" width="14.28515625" customWidth="1"/>
    <col min="10" max="10" width="13.5703125" customWidth="1"/>
    <col min="11" max="11" width="12.5703125" customWidth="1"/>
    <col min="12" max="12" width="17.140625" customWidth="1"/>
  </cols>
  <sheetData>
    <row r="1" spans="1:12" x14ac:dyDescent="0.25">
      <c r="A1" s="278" t="s">
        <v>334</v>
      </c>
      <c r="B1" s="279"/>
      <c r="C1" s="279"/>
      <c r="D1" s="279"/>
      <c r="E1" s="279"/>
      <c r="F1" s="280"/>
    </row>
    <row r="2" spans="1:12" x14ac:dyDescent="0.25">
      <c r="A2" s="281"/>
      <c r="B2" s="282"/>
      <c r="C2" s="282"/>
      <c r="D2" s="282"/>
      <c r="E2" s="282"/>
      <c r="F2" s="283"/>
    </row>
    <row r="3" spans="1:12" ht="15.75" thickBot="1" x14ac:dyDescent="0.3">
      <c r="A3" s="284"/>
      <c r="B3" s="285"/>
      <c r="C3" s="285"/>
      <c r="D3" s="285"/>
      <c r="E3" s="285"/>
      <c r="F3" s="286"/>
    </row>
    <row r="5" spans="1:12" x14ac:dyDescent="0.25">
      <c r="A5" s="96" t="s">
        <v>349</v>
      </c>
      <c r="B5" s="96" t="s">
        <v>350</v>
      </c>
      <c r="C5" s="95" t="s">
        <v>351</v>
      </c>
      <c r="D5" s="95" t="s">
        <v>22</v>
      </c>
      <c r="E5" s="96" t="s">
        <v>133</v>
      </c>
      <c r="F5" s="96" t="s">
        <v>352</v>
      </c>
      <c r="G5" s="96" t="s">
        <v>353</v>
      </c>
      <c r="H5" s="96" t="s">
        <v>354</v>
      </c>
      <c r="I5" s="96" t="s">
        <v>355</v>
      </c>
      <c r="J5" s="96" t="s">
        <v>356</v>
      </c>
      <c r="K5" s="96" t="s">
        <v>357</v>
      </c>
      <c r="L5" s="96" t="s">
        <v>358</v>
      </c>
    </row>
    <row r="6" spans="1:12" x14ac:dyDescent="0.25">
      <c r="A6" s="94">
        <v>-10</v>
      </c>
      <c r="B6" s="94">
        <f>A6*0.0174533</f>
        <v>-0.17453300000000002</v>
      </c>
      <c r="C6" s="2">
        <f>pie</f>
        <v>3.1415899999999999</v>
      </c>
      <c r="D6" s="2">
        <f>2*C6*B6</f>
        <v>-1.09662225494</v>
      </c>
      <c r="E6" s="94">
        <v>11</v>
      </c>
      <c r="F6" s="94">
        <f t="shared" ref="F6:F26" si="0">b*(Cw/4)</f>
        <v>6.0357142857142859E-2</v>
      </c>
      <c r="G6" s="94">
        <f t="shared" ref="G6:G26" si="1">b*(Cw/8)</f>
        <v>3.017857142857143E-2</v>
      </c>
      <c r="H6" s="2">
        <f>0.5*1.225*E6*E6*F6*D6</f>
        <v>-4.9054312324648892</v>
      </c>
      <c r="I6" s="2">
        <f>0.5*1.225*E6*E6*G6*D6</f>
        <v>-2.4527156162324446</v>
      </c>
      <c r="J6" s="97">
        <f t="shared" ref="J6:J26" si="2">Cw/4</f>
        <v>4.642857142857143E-2</v>
      </c>
      <c r="K6" s="97">
        <f>Cw/8</f>
        <v>2.3214285714285715E-2</v>
      </c>
      <c r="L6" s="47">
        <f>H6*J6</f>
        <v>-0.22775216436444129</v>
      </c>
    </row>
    <row r="7" spans="1:12" x14ac:dyDescent="0.25">
      <c r="A7" s="94">
        <v>-9</v>
      </c>
      <c r="B7" s="94">
        <f t="shared" ref="B7:B26" si="3">A7*0.0174533</f>
        <v>-0.15707970000000002</v>
      </c>
      <c r="C7" s="2">
        <v>3.1415926535900001</v>
      </c>
      <c r="D7" s="2">
        <f t="shared" ref="D7:D26" si="4">2*C7*B7</f>
        <v>-0.98696086309624242</v>
      </c>
      <c r="E7" s="94">
        <v>11</v>
      </c>
      <c r="F7" s="94">
        <f t="shared" si="0"/>
        <v>6.0357142857142859E-2</v>
      </c>
      <c r="G7" s="94">
        <f t="shared" si="1"/>
        <v>3.017857142857143E-2</v>
      </c>
      <c r="H7" s="2">
        <f t="shared" ref="H7:H26" si="5">0.5*1.225*E7*E7*F7*D7</f>
        <v>-4.4148918383182956</v>
      </c>
      <c r="I7" s="2">
        <f t="shared" ref="I7:I26" si="6">0.5*1.225*E7*E7*G7*D7</f>
        <v>-2.2074459191591478</v>
      </c>
      <c r="J7" s="97">
        <f t="shared" si="2"/>
        <v>4.642857142857143E-2</v>
      </c>
      <c r="K7" s="97">
        <f t="shared" ref="K7:K26" si="7">Cw/8</f>
        <v>2.3214285714285715E-2</v>
      </c>
      <c r="L7" s="47">
        <f t="shared" ref="L7:L26" si="8">H7*J7</f>
        <v>-0.20497712106477803</v>
      </c>
    </row>
    <row r="8" spans="1:12" x14ac:dyDescent="0.25">
      <c r="A8" s="94">
        <v>-8</v>
      </c>
      <c r="B8" s="94">
        <f t="shared" si="3"/>
        <v>-0.13962640000000001</v>
      </c>
      <c r="C8" s="2">
        <v>3.1415926535900001</v>
      </c>
      <c r="D8" s="2">
        <f t="shared" si="4"/>
        <v>-0.8772985449744376</v>
      </c>
      <c r="E8" s="94">
        <v>11</v>
      </c>
      <c r="F8" s="94">
        <f t="shared" si="0"/>
        <v>6.0357142857142859E-2</v>
      </c>
      <c r="G8" s="94">
        <f t="shared" si="1"/>
        <v>3.017857142857143E-2</v>
      </c>
      <c r="H8" s="2">
        <f t="shared" si="5"/>
        <v>-3.9243483007273734</v>
      </c>
      <c r="I8" s="2">
        <f t="shared" si="6"/>
        <v>-1.9621741503636867</v>
      </c>
      <c r="J8" s="97">
        <f t="shared" si="2"/>
        <v>4.642857142857143E-2</v>
      </c>
      <c r="K8" s="97">
        <f t="shared" si="7"/>
        <v>2.3214285714285715E-2</v>
      </c>
      <c r="L8" s="47">
        <f t="shared" si="8"/>
        <v>-0.18220188539091378</v>
      </c>
    </row>
    <row r="9" spans="1:12" x14ac:dyDescent="0.25">
      <c r="A9" s="94">
        <v>-7</v>
      </c>
      <c r="B9" s="94">
        <f t="shared" si="3"/>
        <v>-0.12217310000000001</v>
      </c>
      <c r="C9" s="2">
        <v>3.1415926535900001</v>
      </c>
      <c r="D9" s="2">
        <f t="shared" si="4"/>
        <v>-0.76763622685263289</v>
      </c>
      <c r="E9" s="94">
        <v>11</v>
      </c>
      <c r="F9" s="94">
        <f t="shared" si="0"/>
        <v>6.0357142857142859E-2</v>
      </c>
      <c r="G9" s="94">
        <f t="shared" si="1"/>
        <v>3.017857142857143E-2</v>
      </c>
      <c r="H9" s="2">
        <f t="shared" si="5"/>
        <v>-3.4338047631364517</v>
      </c>
      <c r="I9" s="2">
        <f t="shared" si="6"/>
        <v>-1.7169023815682258</v>
      </c>
      <c r="J9" s="97">
        <f t="shared" si="2"/>
        <v>4.642857142857143E-2</v>
      </c>
      <c r="K9" s="97">
        <f t="shared" si="7"/>
        <v>2.3214285714285715E-2</v>
      </c>
      <c r="L9" s="47">
        <f t="shared" si="8"/>
        <v>-0.15942664971704953</v>
      </c>
    </row>
    <row r="10" spans="1:12" x14ac:dyDescent="0.25">
      <c r="A10" s="94">
        <v>-6</v>
      </c>
      <c r="B10" s="94">
        <f t="shared" si="3"/>
        <v>-0.1047198</v>
      </c>
      <c r="C10" s="2">
        <v>3.1415926535900001</v>
      </c>
      <c r="D10" s="2">
        <f t="shared" si="4"/>
        <v>-0.65797390873082817</v>
      </c>
      <c r="E10" s="94">
        <v>11</v>
      </c>
      <c r="F10" s="94">
        <f t="shared" si="0"/>
        <v>6.0357142857142859E-2</v>
      </c>
      <c r="G10" s="94">
        <f t="shared" si="1"/>
        <v>3.017857142857143E-2</v>
      </c>
      <c r="H10" s="2">
        <f t="shared" si="5"/>
        <v>-2.9432612255455299</v>
      </c>
      <c r="I10" s="2">
        <f t="shared" si="6"/>
        <v>-1.471630612772765</v>
      </c>
      <c r="J10" s="97">
        <f t="shared" si="2"/>
        <v>4.642857142857143E-2</v>
      </c>
      <c r="K10" s="97">
        <f t="shared" si="7"/>
        <v>2.3214285714285715E-2</v>
      </c>
      <c r="L10" s="47">
        <f t="shared" si="8"/>
        <v>-0.13665141404318532</v>
      </c>
    </row>
    <row r="11" spans="1:12" x14ac:dyDescent="0.25">
      <c r="A11" s="94">
        <v>-5</v>
      </c>
      <c r="B11" s="94">
        <f t="shared" si="3"/>
        <v>-8.7266500000000011E-2</v>
      </c>
      <c r="C11" s="2">
        <v>3.1415926535900001</v>
      </c>
      <c r="D11" s="2">
        <f t="shared" si="4"/>
        <v>-0.54831159060902357</v>
      </c>
      <c r="E11" s="94">
        <v>11</v>
      </c>
      <c r="F11" s="94">
        <f t="shared" si="0"/>
        <v>6.0357142857142859E-2</v>
      </c>
      <c r="G11" s="94">
        <f t="shared" si="1"/>
        <v>3.017857142857143E-2</v>
      </c>
      <c r="H11" s="2">
        <f t="shared" si="5"/>
        <v>-2.4527176879546086</v>
      </c>
      <c r="I11" s="2">
        <f t="shared" si="6"/>
        <v>-1.2263588439773043</v>
      </c>
      <c r="J11" s="97">
        <f t="shared" si="2"/>
        <v>4.642857142857143E-2</v>
      </c>
      <c r="K11" s="97">
        <f t="shared" si="7"/>
        <v>2.3214285714285715E-2</v>
      </c>
      <c r="L11" s="47">
        <f t="shared" si="8"/>
        <v>-0.11387617836932112</v>
      </c>
    </row>
    <row r="12" spans="1:12" x14ac:dyDescent="0.25">
      <c r="A12" s="94">
        <v>-4</v>
      </c>
      <c r="B12" s="94">
        <f t="shared" si="3"/>
        <v>-6.9813200000000006E-2</v>
      </c>
      <c r="C12" s="2">
        <v>3.1415926535900001</v>
      </c>
      <c r="D12" s="2">
        <f t="shared" si="4"/>
        <v>-0.4386492724872188</v>
      </c>
      <c r="E12" s="94">
        <v>11</v>
      </c>
      <c r="F12" s="94">
        <f t="shared" si="0"/>
        <v>6.0357142857142859E-2</v>
      </c>
      <c r="G12" s="94">
        <f t="shared" si="1"/>
        <v>3.017857142857143E-2</v>
      </c>
      <c r="H12" s="2">
        <f t="shared" si="5"/>
        <v>-1.9621741503636867</v>
      </c>
      <c r="I12" s="2">
        <f t="shared" si="6"/>
        <v>-0.98108707518184335</v>
      </c>
      <c r="J12" s="97">
        <f t="shared" si="2"/>
        <v>4.642857142857143E-2</v>
      </c>
      <c r="K12" s="97">
        <f t="shared" si="7"/>
        <v>2.3214285714285715E-2</v>
      </c>
      <c r="L12" s="47">
        <f t="shared" si="8"/>
        <v>-9.1100942695456891E-2</v>
      </c>
    </row>
    <row r="13" spans="1:12" x14ac:dyDescent="0.25">
      <c r="A13" s="94">
        <v>-3</v>
      </c>
      <c r="B13" s="94">
        <f t="shared" si="3"/>
        <v>-5.2359900000000001E-2</v>
      </c>
      <c r="C13" s="2">
        <v>3.1415926535900001</v>
      </c>
      <c r="D13" s="2">
        <f t="shared" si="4"/>
        <v>-0.32898695436541409</v>
      </c>
      <c r="E13" s="94">
        <v>11</v>
      </c>
      <c r="F13" s="94">
        <f t="shared" si="0"/>
        <v>6.0357142857142859E-2</v>
      </c>
      <c r="G13" s="94">
        <f t="shared" si="1"/>
        <v>3.017857142857143E-2</v>
      </c>
      <c r="H13" s="2">
        <f t="shared" si="5"/>
        <v>-1.471630612772765</v>
      </c>
      <c r="I13" s="2">
        <f t="shared" si="6"/>
        <v>-0.73581530638638248</v>
      </c>
      <c r="J13" s="97">
        <f t="shared" si="2"/>
        <v>4.642857142857143E-2</v>
      </c>
      <c r="K13" s="97">
        <f t="shared" si="7"/>
        <v>2.3214285714285715E-2</v>
      </c>
      <c r="L13" s="47">
        <f t="shared" si="8"/>
        <v>-6.8325707021592658E-2</v>
      </c>
    </row>
    <row r="14" spans="1:12" x14ac:dyDescent="0.25">
      <c r="A14" s="94">
        <v>-2</v>
      </c>
      <c r="B14" s="94">
        <f t="shared" si="3"/>
        <v>-3.4906600000000003E-2</v>
      </c>
      <c r="C14" s="2">
        <v>3.1415926535900001</v>
      </c>
      <c r="D14" s="2">
        <f t="shared" si="4"/>
        <v>-0.2193246362436094</v>
      </c>
      <c r="E14" s="94">
        <v>11</v>
      </c>
      <c r="F14" s="94">
        <f t="shared" si="0"/>
        <v>6.0357142857142859E-2</v>
      </c>
      <c r="G14" s="94">
        <f t="shared" si="1"/>
        <v>3.017857142857143E-2</v>
      </c>
      <c r="H14" s="2">
        <f t="shared" si="5"/>
        <v>-0.98108707518184335</v>
      </c>
      <c r="I14" s="2">
        <f t="shared" si="6"/>
        <v>-0.49054353759092167</v>
      </c>
      <c r="J14" s="97">
        <f t="shared" si="2"/>
        <v>4.642857142857143E-2</v>
      </c>
      <c r="K14" s="97">
        <f t="shared" si="7"/>
        <v>2.3214285714285715E-2</v>
      </c>
      <c r="L14" s="47">
        <f t="shared" si="8"/>
        <v>-4.5550471347728445E-2</v>
      </c>
    </row>
    <row r="15" spans="1:12" x14ac:dyDescent="0.25">
      <c r="A15" s="94">
        <v>-1</v>
      </c>
      <c r="B15" s="94">
        <f t="shared" si="3"/>
        <v>-1.7453300000000001E-2</v>
      </c>
      <c r="C15" s="2">
        <v>3.1415926535900001</v>
      </c>
      <c r="D15" s="2">
        <f t="shared" si="4"/>
        <v>-0.1096623181218047</v>
      </c>
      <c r="E15" s="94">
        <v>11</v>
      </c>
      <c r="F15" s="94">
        <f t="shared" si="0"/>
        <v>6.0357142857142859E-2</v>
      </c>
      <c r="G15" s="94">
        <f t="shared" si="1"/>
        <v>3.017857142857143E-2</v>
      </c>
      <c r="H15" s="2">
        <f t="shared" si="5"/>
        <v>-0.49054353759092167</v>
      </c>
      <c r="I15" s="2">
        <f t="shared" si="6"/>
        <v>-0.24527176879546084</v>
      </c>
      <c r="J15" s="97">
        <f t="shared" si="2"/>
        <v>4.642857142857143E-2</v>
      </c>
      <c r="K15" s="97">
        <f t="shared" si="7"/>
        <v>2.3214285714285715E-2</v>
      </c>
      <c r="L15" s="47">
        <f t="shared" si="8"/>
        <v>-2.2775235673864223E-2</v>
      </c>
    </row>
    <row r="16" spans="1:12" x14ac:dyDescent="0.25">
      <c r="A16" s="94">
        <v>0</v>
      </c>
      <c r="B16" s="94">
        <f t="shared" si="3"/>
        <v>0</v>
      </c>
      <c r="C16" s="2">
        <v>3.1415926535900001</v>
      </c>
      <c r="D16" s="2">
        <f t="shared" si="4"/>
        <v>0</v>
      </c>
      <c r="E16" s="94">
        <v>11</v>
      </c>
      <c r="F16" s="94">
        <f t="shared" si="0"/>
        <v>6.0357142857142859E-2</v>
      </c>
      <c r="G16" s="94">
        <f t="shared" si="1"/>
        <v>3.017857142857143E-2</v>
      </c>
      <c r="H16" s="2">
        <f t="shared" si="5"/>
        <v>0</v>
      </c>
      <c r="I16" s="2">
        <f t="shared" si="6"/>
        <v>0</v>
      </c>
      <c r="J16" s="97">
        <f t="shared" si="2"/>
        <v>4.642857142857143E-2</v>
      </c>
      <c r="K16" s="97">
        <f t="shared" si="7"/>
        <v>2.3214285714285715E-2</v>
      </c>
      <c r="L16" s="47">
        <f t="shared" si="8"/>
        <v>0</v>
      </c>
    </row>
    <row r="17" spans="1:12" x14ac:dyDescent="0.25">
      <c r="A17" s="94">
        <v>1</v>
      </c>
      <c r="B17" s="94">
        <f t="shared" si="3"/>
        <v>1.7453300000000001E-2</v>
      </c>
      <c r="C17" s="2">
        <v>3.1415926535900001</v>
      </c>
      <c r="D17" s="2">
        <f t="shared" si="4"/>
        <v>0.1096623181218047</v>
      </c>
      <c r="E17" s="94">
        <v>11</v>
      </c>
      <c r="F17" s="94">
        <f t="shared" si="0"/>
        <v>6.0357142857142859E-2</v>
      </c>
      <c r="G17" s="94">
        <f t="shared" si="1"/>
        <v>3.017857142857143E-2</v>
      </c>
      <c r="H17" s="2">
        <f t="shared" si="5"/>
        <v>0.49054353759092167</v>
      </c>
      <c r="I17" s="2">
        <f t="shared" si="6"/>
        <v>0.24527176879546084</v>
      </c>
      <c r="J17" s="97">
        <f t="shared" si="2"/>
        <v>4.642857142857143E-2</v>
      </c>
      <c r="K17" s="97">
        <f t="shared" si="7"/>
        <v>2.3214285714285715E-2</v>
      </c>
      <c r="L17" s="47">
        <f t="shared" si="8"/>
        <v>2.2775235673864223E-2</v>
      </c>
    </row>
    <row r="18" spans="1:12" x14ac:dyDescent="0.25">
      <c r="A18" s="94">
        <v>2</v>
      </c>
      <c r="B18" s="94">
        <f t="shared" si="3"/>
        <v>3.4906600000000003E-2</v>
      </c>
      <c r="C18" s="2">
        <v>3.1415926535900001</v>
      </c>
      <c r="D18" s="2">
        <f t="shared" si="4"/>
        <v>0.2193246362436094</v>
      </c>
      <c r="E18" s="94">
        <v>11</v>
      </c>
      <c r="F18" s="94">
        <f t="shared" si="0"/>
        <v>6.0357142857142859E-2</v>
      </c>
      <c r="G18" s="94">
        <f t="shared" si="1"/>
        <v>3.017857142857143E-2</v>
      </c>
      <c r="H18" s="2">
        <f t="shared" si="5"/>
        <v>0.98108707518184335</v>
      </c>
      <c r="I18" s="2">
        <f t="shared" si="6"/>
        <v>0.49054353759092167</v>
      </c>
      <c r="J18" s="97">
        <f t="shared" si="2"/>
        <v>4.642857142857143E-2</v>
      </c>
      <c r="K18" s="97">
        <f t="shared" si="7"/>
        <v>2.3214285714285715E-2</v>
      </c>
      <c r="L18" s="47">
        <f t="shared" si="8"/>
        <v>4.5550471347728445E-2</v>
      </c>
    </row>
    <row r="19" spans="1:12" x14ac:dyDescent="0.25">
      <c r="A19" s="94">
        <v>3</v>
      </c>
      <c r="B19" s="94">
        <f t="shared" si="3"/>
        <v>5.2359900000000001E-2</v>
      </c>
      <c r="C19" s="2">
        <v>3.1415926535900001</v>
      </c>
      <c r="D19" s="2">
        <f t="shared" si="4"/>
        <v>0.32898695436541409</v>
      </c>
      <c r="E19" s="94">
        <v>11</v>
      </c>
      <c r="F19" s="94">
        <f t="shared" si="0"/>
        <v>6.0357142857142859E-2</v>
      </c>
      <c r="G19" s="94">
        <f t="shared" si="1"/>
        <v>3.017857142857143E-2</v>
      </c>
      <c r="H19" s="2">
        <f t="shared" si="5"/>
        <v>1.471630612772765</v>
      </c>
      <c r="I19" s="2">
        <f t="shared" si="6"/>
        <v>0.73581530638638248</v>
      </c>
      <c r="J19" s="97">
        <f t="shared" si="2"/>
        <v>4.642857142857143E-2</v>
      </c>
      <c r="K19" s="97">
        <f t="shared" si="7"/>
        <v>2.3214285714285715E-2</v>
      </c>
      <c r="L19" s="47">
        <f t="shared" si="8"/>
        <v>6.8325707021592658E-2</v>
      </c>
    </row>
    <row r="20" spans="1:12" x14ac:dyDescent="0.25">
      <c r="A20" s="94">
        <v>4</v>
      </c>
      <c r="B20" s="94">
        <f t="shared" si="3"/>
        <v>6.9813200000000006E-2</v>
      </c>
      <c r="C20" s="2">
        <v>3.1415926535900001</v>
      </c>
      <c r="D20" s="2">
        <f t="shared" si="4"/>
        <v>0.4386492724872188</v>
      </c>
      <c r="E20" s="94">
        <v>11</v>
      </c>
      <c r="F20" s="94">
        <f t="shared" si="0"/>
        <v>6.0357142857142859E-2</v>
      </c>
      <c r="G20" s="94">
        <f t="shared" si="1"/>
        <v>3.017857142857143E-2</v>
      </c>
      <c r="H20" s="2">
        <f t="shared" si="5"/>
        <v>1.9621741503636867</v>
      </c>
      <c r="I20" s="2">
        <f t="shared" si="6"/>
        <v>0.98108707518184335</v>
      </c>
      <c r="J20" s="97">
        <f t="shared" si="2"/>
        <v>4.642857142857143E-2</v>
      </c>
      <c r="K20" s="97">
        <f t="shared" si="7"/>
        <v>2.3214285714285715E-2</v>
      </c>
      <c r="L20" s="47">
        <f t="shared" si="8"/>
        <v>9.1100942695456891E-2</v>
      </c>
    </row>
    <row r="21" spans="1:12" x14ac:dyDescent="0.25">
      <c r="A21" s="94">
        <v>5</v>
      </c>
      <c r="B21" s="94">
        <f t="shared" si="3"/>
        <v>8.7266500000000011E-2</v>
      </c>
      <c r="C21" s="2">
        <v>3.1415926535900001</v>
      </c>
      <c r="D21" s="2">
        <f t="shared" si="4"/>
        <v>0.54831159060902357</v>
      </c>
      <c r="E21" s="94">
        <v>11</v>
      </c>
      <c r="F21" s="94">
        <f t="shared" si="0"/>
        <v>6.0357142857142859E-2</v>
      </c>
      <c r="G21" s="94">
        <f t="shared" si="1"/>
        <v>3.017857142857143E-2</v>
      </c>
      <c r="H21" s="2">
        <f t="shared" si="5"/>
        <v>2.4527176879546086</v>
      </c>
      <c r="I21" s="2">
        <f t="shared" si="6"/>
        <v>1.2263588439773043</v>
      </c>
      <c r="J21" s="97">
        <f t="shared" si="2"/>
        <v>4.642857142857143E-2</v>
      </c>
      <c r="K21" s="97">
        <f t="shared" si="7"/>
        <v>2.3214285714285715E-2</v>
      </c>
      <c r="L21" s="47">
        <f t="shared" si="8"/>
        <v>0.11387617836932112</v>
      </c>
    </row>
    <row r="22" spans="1:12" x14ac:dyDescent="0.25">
      <c r="A22" s="94">
        <v>6</v>
      </c>
      <c r="B22" s="94">
        <f t="shared" si="3"/>
        <v>0.1047198</v>
      </c>
      <c r="C22" s="2">
        <v>3.1415926535900001</v>
      </c>
      <c r="D22" s="2">
        <f t="shared" si="4"/>
        <v>0.65797390873082817</v>
      </c>
      <c r="E22" s="94">
        <v>11</v>
      </c>
      <c r="F22" s="94">
        <f t="shared" si="0"/>
        <v>6.0357142857142859E-2</v>
      </c>
      <c r="G22" s="94">
        <f t="shared" si="1"/>
        <v>3.017857142857143E-2</v>
      </c>
      <c r="H22" s="2">
        <f t="shared" si="5"/>
        <v>2.9432612255455299</v>
      </c>
      <c r="I22" s="2">
        <f t="shared" si="6"/>
        <v>1.471630612772765</v>
      </c>
      <c r="J22" s="97">
        <f t="shared" si="2"/>
        <v>4.642857142857143E-2</v>
      </c>
      <c r="K22" s="97">
        <f t="shared" si="7"/>
        <v>2.3214285714285715E-2</v>
      </c>
      <c r="L22" s="47">
        <f t="shared" si="8"/>
        <v>0.13665141404318532</v>
      </c>
    </row>
    <row r="23" spans="1:12" x14ac:dyDescent="0.25">
      <c r="A23" s="94">
        <v>7</v>
      </c>
      <c r="B23" s="94">
        <f t="shared" si="3"/>
        <v>0.12217310000000001</v>
      </c>
      <c r="C23" s="2">
        <v>3.1415926535900001</v>
      </c>
      <c r="D23" s="2">
        <f t="shared" si="4"/>
        <v>0.76763622685263289</v>
      </c>
      <c r="E23" s="94">
        <v>11</v>
      </c>
      <c r="F23" s="94">
        <f t="shared" si="0"/>
        <v>6.0357142857142859E-2</v>
      </c>
      <c r="G23" s="94">
        <f t="shared" si="1"/>
        <v>3.017857142857143E-2</v>
      </c>
      <c r="H23" s="2">
        <f t="shared" si="5"/>
        <v>3.4338047631364517</v>
      </c>
      <c r="I23" s="2">
        <f t="shared" si="6"/>
        <v>1.7169023815682258</v>
      </c>
      <c r="J23" s="97">
        <f t="shared" si="2"/>
        <v>4.642857142857143E-2</v>
      </c>
      <c r="K23" s="97">
        <f t="shared" si="7"/>
        <v>2.3214285714285715E-2</v>
      </c>
      <c r="L23" s="47">
        <f t="shared" si="8"/>
        <v>0.15942664971704953</v>
      </c>
    </row>
    <row r="24" spans="1:12" x14ac:dyDescent="0.25">
      <c r="A24" s="94">
        <v>8</v>
      </c>
      <c r="B24" s="94">
        <f t="shared" si="3"/>
        <v>0.13962640000000001</v>
      </c>
      <c r="C24" s="2">
        <v>3.1415926535900001</v>
      </c>
      <c r="D24" s="2">
        <f t="shared" si="4"/>
        <v>0.8772985449744376</v>
      </c>
      <c r="E24" s="94">
        <v>11</v>
      </c>
      <c r="F24" s="94">
        <f t="shared" si="0"/>
        <v>6.0357142857142859E-2</v>
      </c>
      <c r="G24" s="94">
        <f t="shared" si="1"/>
        <v>3.017857142857143E-2</v>
      </c>
      <c r="H24" s="2">
        <f t="shared" si="5"/>
        <v>3.9243483007273734</v>
      </c>
      <c r="I24" s="2">
        <f t="shared" si="6"/>
        <v>1.9621741503636867</v>
      </c>
      <c r="J24" s="97">
        <f t="shared" si="2"/>
        <v>4.642857142857143E-2</v>
      </c>
      <c r="K24" s="97">
        <f t="shared" si="7"/>
        <v>2.3214285714285715E-2</v>
      </c>
      <c r="L24" s="47">
        <f t="shared" si="8"/>
        <v>0.18220188539091378</v>
      </c>
    </row>
    <row r="25" spans="1:12" x14ac:dyDescent="0.25">
      <c r="A25" s="94">
        <v>9</v>
      </c>
      <c r="B25" s="94">
        <f t="shared" si="3"/>
        <v>0.15707970000000002</v>
      </c>
      <c r="C25" s="2">
        <v>3.1415926535900001</v>
      </c>
      <c r="D25" s="2">
        <f t="shared" si="4"/>
        <v>0.98696086309624242</v>
      </c>
      <c r="E25" s="94">
        <v>11</v>
      </c>
      <c r="F25" s="94">
        <f t="shared" si="0"/>
        <v>6.0357142857142859E-2</v>
      </c>
      <c r="G25" s="94">
        <f t="shared" si="1"/>
        <v>3.017857142857143E-2</v>
      </c>
      <c r="H25" s="2">
        <f t="shared" si="5"/>
        <v>4.4148918383182956</v>
      </c>
      <c r="I25" s="2">
        <f t="shared" si="6"/>
        <v>2.2074459191591478</v>
      </c>
      <c r="J25" s="97">
        <f t="shared" si="2"/>
        <v>4.642857142857143E-2</v>
      </c>
      <c r="K25" s="97">
        <f t="shared" si="7"/>
        <v>2.3214285714285715E-2</v>
      </c>
      <c r="L25" s="47">
        <f t="shared" si="8"/>
        <v>0.20497712106477803</v>
      </c>
    </row>
    <row r="26" spans="1:12" x14ac:dyDescent="0.25">
      <c r="A26" s="115">
        <v>10</v>
      </c>
      <c r="B26" s="115">
        <f t="shared" si="3"/>
        <v>0.17453300000000002</v>
      </c>
      <c r="C26" s="27">
        <v>3.1415926535900001</v>
      </c>
      <c r="D26" s="27">
        <f t="shared" si="4"/>
        <v>1.0966231812180471</v>
      </c>
      <c r="E26" s="115">
        <v>11</v>
      </c>
      <c r="F26" s="115">
        <f t="shared" si="0"/>
        <v>6.0357142857142859E-2</v>
      </c>
      <c r="G26" s="115">
        <f t="shared" si="1"/>
        <v>3.017857142857143E-2</v>
      </c>
      <c r="H26" s="27">
        <f t="shared" si="5"/>
        <v>4.9054353759092173</v>
      </c>
      <c r="I26" s="27">
        <f t="shared" si="6"/>
        <v>2.4527176879546086</v>
      </c>
      <c r="J26" s="123">
        <f t="shared" si="2"/>
        <v>4.642857142857143E-2</v>
      </c>
      <c r="K26" s="123">
        <f t="shared" si="7"/>
        <v>2.3214285714285715E-2</v>
      </c>
      <c r="L26" s="48">
        <f t="shared" si="8"/>
        <v>0.22775235673864225</v>
      </c>
    </row>
    <row r="28" spans="1:12" x14ac:dyDescent="0.25">
      <c r="F28" s="180" t="s">
        <v>409</v>
      </c>
      <c r="G28" s="180"/>
      <c r="H28" s="180"/>
      <c r="I28" s="180"/>
      <c r="J28" s="123">
        <f>L26</f>
        <v>0.22775235673864225</v>
      </c>
      <c r="K28" s="27" t="s">
        <v>410</v>
      </c>
    </row>
  </sheetData>
  <mergeCells count="2">
    <mergeCell ref="A1:F3"/>
    <mergeCell ref="F28:I28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7"/>
  <sheetViews>
    <sheetView topLeftCell="A4" zoomScale="85" zoomScaleNormal="85" workbookViewId="0">
      <selection activeCell="E10" sqref="E10"/>
    </sheetView>
  </sheetViews>
  <sheetFormatPr defaultRowHeight="15" x14ac:dyDescent="0.25"/>
  <cols>
    <col min="5" max="5" width="11.7109375" customWidth="1"/>
    <col min="6" max="6" width="13.85546875" customWidth="1"/>
  </cols>
  <sheetData>
    <row r="1" spans="1:18" x14ac:dyDescent="0.25">
      <c r="A1" s="182" t="s">
        <v>295</v>
      </c>
      <c r="B1" s="183"/>
      <c r="C1" s="183"/>
      <c r="D1" s="183"/>
      <c r="E1" s="183"/>
      <c r="F1" s="184"/>
      <c r="H1" s="289" t="s">
        <v>370</v>
      </c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x14ac:dyDescent="0.25">
      <c r="A2" s="185"/>
      <c r="B2" s="186"/>
      <c r="C2" s="186"/>
      <c r="D2" s="186"/>
      <c r="E2" s="186"/>
      <c r="F2" s="187"/>
    </row>
    <row r="3" spans="1:18" ht="15.75" thickBot="1" x14ac:dyDescent="0.3">
      <c r="A3" s="188"/>
      <c r="B3" s="189"/>
      <c r="C3" s="189"/>
      <c r="D3" s="189"/>
      <c r="E3" s="189"/>
      <c r="F3" s="190"/>
    </row>
    <row r="5" spans="1:18" x14ac:dyDescent="0.25">
      <c r="B5" s="156"/>
      <c r="C5" s="156"/>
      <c r="D5" s="156"/>
      <c r="E5" s="156"/>
    </row>
    <row r="6" spans="1:18" x14ac:dyDescent="0.25">
      <c r="B6" s="156"/>
      <c r="C6" s="156"/>
      <c r="D6" s="156"/>
      <c r="E6" s="156"/>
      <c r="H6" s="142"/>
      <c r="I6" s="142"/>
      <c r="J6" s="142"/>
      <c r="K6" s="142"/>
      <c r="L6" s="142"/>
      <c r="M6" s="142"/>
      <c r="N6" s="142"/>
      <c r="O6" s="142"/>
    </row>
    <row r="7" spans="1:18" x14ac:dyDescent="0.25">
      <c r="H7" s="142"/>
      <c r="I7" s="142"/>
      <c r="J7" s="142"/>
      <c r="K7" s="142"/>
      <c r="L7" s="142"/>
      <c r="M7" s="142"/>
      <c r="N7" s="142"/>
      <c r="O7" s="142"/>
    </row>
    <row r="8" spans="1:18" x14ac:dyDescent="0.25">
      <c r="A8" s="75" t="s">
        <v>133</v>
      </c>
      <c r="B8" s="287" t="s">
        <v>23</v>
      </c>
      <c r="C8" s="75" t="s">
        <v>13</v>
      </c>
      <c r="D8" s="75" t="s">
        <v>217</v>
      </c>
      <c r="E8" s="75" t="s">
        <v>226</v>
      </c>
      <c r="F8" s="75" t="s">
        <v>227</v>
      </c>
      <c r="H8" s="142"/>
      <c r="I8" s="142"/>
      <c r="J8" s="142"/>
      <c r="K8" s="142"/>
      <c r="L8" s="142"/>
      <c r="M8" s="142"/>
      <c r="N8" s="142"/>
      <c r="O8" s="142"/>
    </row>
    <row r="9" spans="1:18" x14ac:dyDescent="0.25">
      <c r="A9" s="75" t="s">
        <v>75</v>
      </c>
      <c r="B9" s="288"/>
      <c r="C9" s="75" t="s">
        <v>228</v>
      </c>
      <c r="D9" s="75" t="s">
        <v>218</v>
      </c>
      <c r="E9" s="75" t="s">
        <v>229</v>
      </c>
      <c r="F9" s="75" t="s">
        <v>230</v>
      </c>
      <c r="H9" s="142"/>
      <c r="I9" s="142"/>
      <c r="J9" s="142"/>
      <c r="K9" s="142"/>
      <c r="L9" s="142"/>
      <c r="M9" s="142"/>
      <c r="N9" s="142"/>
      <c r="O9" s="142"/>
    </row>
    <row r="10" spans="1:18" x14ac:dyDescent="0.25">
      <c r="A10" s="2">
        <v>2</v>
      </c>
      <c r="B10" s="2">
        <f t="shared" ref="B10:B36" si="0">Cd</f>
        <v>0.19119295032500863</v>
      </c>
      <c r="C10" s="2">
        <f t="shared" ref="C10:C36" si="1">rho</f>
        <v>1.2230000000000001</v>
      </c>
      <c r="D10" s="2">
        <f t="shared" ref="D10:D36" si="2">Sw</f>
        <v>0.24142857142857144</v>
      </c>
      <c r="E10" s="2">
        <f t="shared" ref="E10:E36" si="3">0.5*rho*(A10^2)*Sw*Cd</f>
        <v>0.1129059923537859</v>
      </c>
      <c r="F10" s="47">
        <f>A10*E10</f>
        <v>0.2258119847075718</v>
      </c>
      <c r="H10" s="142"/>
      <c r="I10" s="142"/>
      <c r="J10" s="142"/>
      <c r="K10" s="142"/>
      <c r="L10" s="142"/>
      <c r="M10" s="142"/>
      <c r="N10" s="142"/>
      <c r="O10" s="142"/>
    </row>
    <row r="11" spans="1:18" x14ac:dyDescent="0.25">
      <c r="A11" s="2">
        <v>2.5</v>
      </c>
      <c r="B11" s="2">
        <f t="shared" si="0"/>
        <v>0.19119295032500863</v>
      </c>
      <c r="C11" s="2">
        <f t="shared" si="1"/>
        <v>1.2230000000000001</v>
      </c>
      <c r="D11" s="2">
        <f t="shared" si="2"/>
        <v>0.24142857142857144</v>
      </c>
      <c r="E11" s="2">
        <f t="shared" si="3"/>
        <v>0.17641561305279047</v>
      </c>
      <c r="F11" s="47">
        <f t="shared" ref="F11:F36" si="4">A11*E11</f>
        <v>0.44103903263197619</v>
      </c>
      <c r="H11" s="142"/>
      <c r="I11" s="142"/>
      <c r="J11" s="142"/>
      <c r="K11" s="142"/>
      <c r="L11" s="142"/>
      <c r="M11" s="142"/>
      <c r="N11" s="142"/>
      <c r="O11" s="142"/>
    </row>
    <row r="12" spans="1:18" x14ac:dyDescent="0.25">
      <c r="A12" s="2">
        <v>3</v>
      </c>
      <c r="B12" s="2">
        <f t="shared" si="0"/>
        <v>0.19119295032500863</v>
      </c>
      <c r="C12" s="2">
        <f t="shared" si="1"/>
        <v>1.2230000000000001</v>
      </c>
      <c r="D12" s="2">
        <f t="shared" si="2"/>
        <v>0.24142857142857144</v>
      </c>
      <c r="E12" s="2">
        <f t="shared" si="3"/>
        <v>0.25403848279601826</v>
      </c>
      <c r="F12" s="47">
        <f t="shared" si="4"/>
        <v>0.76211544838805478</v>
      </c>
      <c r="H12" s="142"/>
      <c r="I12" s="142"/>
      <c r="J12" s="142"/>
      <c r="K12" s="142"/>
      <c r="L12" s="142"/>
      <c r="M12" s="142"/>
      <c r="N12" s="142"/>
      <c r="O12" s="142"/>
    </row>
    <row r="13" spans="1:18" x14ac:dyDescent="0.25">
      <c r="A13" s="2">
        <v>3.5</v>
      </c>
      <c r="B13" s="2">
        <f t="shared" si="0"/>
        <v>0.19119295032500863</v>
      </c>
      <c r="C13" s="2">
        <f t="shared" si="1"/>
        <v>1.2230000000000001</v>
      </c>
      <c r="D13" s="2">
        <f t="shared" si="2"/>
        <v>0.24142857142857144</v>
      </c>
      <c r="E13" s="2">
        <f t="shared" si="3"/>
        <v>0.34577460158346929</v>
      </c>
      <c r="F13" s="47">
        <f t="shared" si="4"/>
        <v>1.2102111055421425</v>
      </c>
      <c r="H13" s="142"/>
      <c r="I13" s="142"/>
      <c r="J13" s="142"/>
      <c r="K13" s="142"/>
      <c r="L13" s="142"/>
      <c r="M13" s="142"/>
      <c r="N13" s="142"/>
      <c r="O13" s="142"/>
    </row>
    <row r="14" spans="1:18" x14ac:dyDescent="0.25">
      <c r="A14" s="2">
        <v>4</v>
      </c>
      <c r="B14" s="2">
        <f t="shared" si="0"/>
        <v>0.19119295032500863</v>
      </c>
      <c r="C14" s="2">
        <f t="shared" si="1"/>
        <v>1.2230000000000001</v>
      </c>
      <c r="D14" s="2">
        <f t="shared" si="2"/>
        <v>0.24142857142857144</v>
      </c>
      <c r="E14" s="2">
        <f t="shared" si="3"/>
        <v>0.4516239694151436</v>
      </c>
      <c r="F14" s="47">
        <f t="shared" si="4"/>
        <v>1.8064958776605744</v>
      </c>
      <c r="H14" s="142"/>
      <c r="I14" s="142"/>
      <c r="J14" s="142"/>
      <c r="K14" s="142"/>
      <c r="L14" s="142"/>
      <c r="M14" s="142"/>
      <c r="N14" s="142"/>
      <c r="O14" s="142"/>
    </row>
    <row r="15" spans="1:18" x14ac:dyDescent="0.25">
      <c r="A15" s="2">
        <v>4.5</v>
      </c>
      <c r="B15" s="2">
        <f t="shared" si="0"/>
        <v>0.19119295032500863</v>
      </c>
      <c r="C15" s="2">
        <f t="shared" si="1"/>
        <v>1.2230000000000001</v>
      </c>
      <c r="D15" s="2">
        <f t="shared" si="2"/>
        <v>0.24142857142857144</v>
      </c>
      <c r="E15" s="2">
        <f t="shared" si="3"/>
        <v>0.57158658629104109</v>
      </c>
      <c r="F15" s="47">
        <f t="shared" si="4"/>
        <v>2.5721396383096851</v>
      </c>
      <c r="H15" s="142"/>
      <c r="I15" s="142"/>
      <c r="J15" s="142"/>
      <c r="K15" s="142"/>
      <c r="L15" s="142"/>
      <c r="M15" s="142"/>
      <c r="N15" s="142"/>
      <c r="O15" s="142"/>
    </row>
    <row r="16" spans="1:18" x14ac:dyDescent="0.25">
      <c r="A16" s="2">
        <v>5</v>
      </c>
      <c r="B16" s="2">
        <f t="shared" si="0"/>
        <v>0.19119295032500863</v>
      </c>
      <c r="C16" s="2">
        <f t="shared" si="1"/>
        <v>1.2230000000000001</v>
      </c>
      <c r="D16" s="2">
        <f t="shared" si="2"/>
        <v>0.24142857142857144</v>
      </c>
      <c r="E16" s="2">
        <f t="shared" si="3"/>
        <v>0.70566245221116186</v>
      </c>
      <c r="F16" s="47">
        <f t="shared" si="4"/>
        <v>3.5283122610558095</v>
      </c>
      <c r="H16" s="142"/>
      <c r="I16" s="142"/>
      <c r="J16" s="142"/>
      <c r="K16" s="142"/>
      <c r="L16" s="142"/>
      <c r="M16" s="142"/>
      <c r="N16" s="142"/>
      <c r="O16" s="142"/>
    </row>
    <row r="17" spans="1:15" x14ac:dyDescent="0.25">
      <c r="A17" s="2">
        <v>5.5</v>
      </c>
      <c r="B17" s="2">
        <f t="shared" si="0"/>
        <v>0.19119295032500863</v>
      </c>
      <c r="C17" s="2">
        <f t="shared" si="1"/>
        <v>1.2230000000000001</v>
      </c>
      <c r="D17" s="2">
        <f t="shared" si="2"/>
        <v>0.24142857142857144</v>
      </c>
      <c r="E17" s="2">
        <f t="shared" si="3"/>
        <v>0.85385156717550581</v>
      </c>
      <c r="F17" s="47">
        <f t="shared" si="4"/>
        <v>4.6961836194652822</v>
      </c>
      <c r="H17" s="142"/>
      <c r="I17" s="142"/>
      <c r="J17" s="142"/>
      <c r="K17" s="142"/>
      <c r="L17" s="142"/>
      <c r="M17" s="142"/>
      <c r="N17" s="142"/>
      <c r="O17" s="142"/>
    </row>
    <row r="18" spans="1:15" x14ac:dyDescent="0.25">
      <c r="A18" s="2">
        <v>6</v>
      </c>
      <c r="B18" s="2">
        <f t="shared" si="0"/>
        <v>0.19119295032500863</v>
      </c>
      <c r="C18" s="2">
        <f t="shared" si="1"/>
        <v>1.2230000000000001</v>
      </c>
      <c r="D18" s="2">
        <f t="shared" si="2"/>
        <v>0.24142857142857144</v>
      </c>
      <c r="E18" s="2">
        <f t="shared" si="3"/>
        <v>1.016153931184073</v>
      </c>
      <c r="F18" s="47">
        <f t="shared" si="4"/>
        <v>6.0969235871044383</v>
      </c>
      <c r="H18" s="142"/>
      <c r="I18" s="142"/>
      <c r="J18" s="142"/>
      <c r="K18" s="142"/>
      <c r="L18" s="142"/>
      <c r="M18" s="142"/>
      <c r="N18" s="142"/>
      <c r="O18" s="142"/>
    </row>
    <row r="19" spans="1:15" x14ac:dyDescent="0.25">
      <c r="A19" s="2">
        <v>6.5</v>
      </c>
      <c r="B19" s="2">
        <f t="shared" si="0"/>
        <v>0.19119295032500863</v>
      </c>
      <c r="C19" s="2">
        <f t="shared" si="1"/>
        <v>1.2230000000000001</v>
      </c>
      <c r="D19" s="2">
        <f t="shared" si="2"/>
        <v>0.24142857142857144</v>
      </c>
      <c r="E19" s="2">
        <f t="shared" si="3"/>
        <v>1.1925695442368636</v>
      </c>
      <c r="F19" s="47">
        <f t="shared" si="4"/>
        <v>7.7517020375396131</v>
      </c>
      <c r="H19" s="142"/>
      <c r="I19" s="142"/>
      <c r="J19" s="142"/>
      <c r="K19" s="142"/>
      <c r="L19" s="142"/>
      <c r="M19" s="142"/>
      <c r="N19" s="142"/>
      <c r="O19" s="142"/>
    </row>
    <row r="20" spans="1:15" x14ac:dyDescent="0.25">
      <c r="A20" s="2">
        <v>7</v>
      </c>
      <c r="B20" s="2">
        <f t="shared" si="0"/>
        <v>0.19119295032500863</v>
      </c>
      <c r="C20" s="2">
        <f t="shared" si="1"/>
        <v>1.2230000000000001</v>
      </c>
      <c r="D20" s="2">
        <f t="shared" si="2"/>
        <v>0.24142857142857144</v>
      </c>
      <c r="E20" s="2">
        <f t="shared" si="3"/>
        <v>1.3830984063338772</v>
      </c>
      <c r="F20" s="47">
        <f t="shared" si="4"/>
        <v>9.6816888443371401</v>
      </c>
      <c r="H20" s="142"/>
      <c r="I20" s="142"/>
      <c r="J20" s="142"/>
      <c r="K20" s="142"/>
      <c r="L20" s="142"/>
      <c r="M20" s="142"/>
      <c r="N20" s="142"/>
      <c r="O20" s="142"/>
    </row>
    <row r="21" spans="1:15" x14ac:dyDescent="0.25">
      <c r="A21" s="2">
        <v>7.5</v>
      </c>
      <c r="B21" s="2">
        <f t="shared" si="0"/>
        <v>0.19119295032500863</v>
      </c>
      <c r="C21" s="2">
        <f t="shared" si="1"/>
        <v>1.2230000000000001</v>
      </c>
      <c r="D21" s="2">
        <f t="shared" si="2"/>
        <v>0.24142857142857144</v>
      </c>
      <c r="E21" s="2">
        <f t="shared" si="3"/>
        <v>1.587740517475114</v>
      </c>
      <c r="F21" s="47">
        <f t="shared" si="4"/>
        <v>11.908053881063354</v>
      </c>
    </row>
    <row r="22" spans="1:15" x14ac:dyDescent="0.25">
      <c r="A22" s="2">
        <v>8</v>
      </c>
      <c r="B22" s="2">
        <f t="shared" si="0"/>
        <v>0.19119295032500863</v>
      </c>
      <c r="C22" s="2">
        <f t="shared" si="1"/>
        <v>1.2230000000000001</v>
      </c>
      <c r="D22" s="2">
        <f t="shared" si="2"/>
        <v>0.24142857142857144</v>
      </c>
      <c r="E22" s="2">
        <f t="shared" si="3"/>
        <v>1.8064958776605744</v>
      </c>
      <c r="F22" s="47">
        <f t="shared" si="4"/>
        <v>14.451967021284595</v>
      </c>
      <c r="H22" s="142"/>
      <c r="I22" s="142"/>
      <c r="J22" s="142"/>
      <c r="K22" s="142"/>
      <c r="L22" s="142"/>
      <c r="M22" s="142"/>
      <c r="N22" s="142"/>
      <c r="O22" s="142"/>
    </row>
    <row r="23" spans="1:15" x14ac:dyDescent="0.25">
      <c r="A23" s="2">
        <v>8.5</v>
      </c>
      <c r="B23" s="2">
        <f t="shared" si="0"/>
        <v>0.19119295032500863</v>
      </c>
      <c r="C23" s="2">
        <f t="shared" si="1"/>
        <v>1.2230000000000001</v>
      </c>
      <c r="D23" s="2">
        <f t="shared" si="2"/>
        <v>0.24142857142857144</v>
      </c>
      <c r="E23" s="2">
        <f t="shared" si="3"/>
        <v>2.0393644868902574</v>
      </c>
      <c r="F23" s="47">
        <f t="shared" si="4"/>
        <v>17.334598138567188</v>
      </c>
      <c r="H23" s="142"/>
      <c r="I23" s="142"/>
      <c r="J23" s="142"/>
      <c r="K23" s="142"/>
      <c r="L23" s="142"/>
      <c r="M23" s="142"/>
      <c r="N23" s="142"/>
      <c r="O23" s="142"/>
    </row>
    <row r="24" spans="1:15" x14ac:dyDescent="0.25">
      <c r="A24" s="2">
        <v>9</v>
      </c>
      <c r="B24" s="2">
        <f t="shared" si="0"/>
        <v>0.19119295032500863</v>
      </c>
      <c r="C24" s="2">
        <f t="shared" si="1"/>
        <v>1.2230000000000001</v>
      </c>
      <c r="D24" s="2">
        <f t="shared" si="2"/>
        <v>0.24142857142857144</v>
      </c>
      <c r="E24" s="2">
        <f t="shared" si="3"/>
        <v>2.2863463451641644</v>
      </c>
      <c r="F24" s="47">
        <f t="shared" si="4"/>
        <v>20.57711710647748</v>
      </c>
      <c r="H24" s="142"/>
      <c r="I24" s="142"/>
      <c r="J24" s="142"/>
      <c r="K24" s="142"/>
      <c r="L24" s="142"/>
      <c r="M24" s="142"/>
      <c r="N24" s="142"/>
      <c r="O24" s="142"/>
    </row>
    <row r="25" spans="1:15" x14ac:dyDescent="0.25">
      <c r="A25" s="2">
        <v>9.5</v>
      </c>
      <c r="B25" s="2">
        <f t="shared" si="0"/>
        <v>0.19119295032500863</v>
      </c>
      <c r="C25" s="2">
        <f t="shared" si="1"/>
        <v>1.2230000000000001</v>
      </c>
      <c r="D25" s="2">
        <f t="shared" si="2"/>
        <v>0.24142857142857144</v>
      </c>
      <c r="E25" s="2">
        <f t="shared" si="3"/>
        <v>2.5474414524822944</v>
      </c>
      <c r="F25" s="47">
        <f t="shared" si="4"/>
        <v>24.200693798581796</v>
      </c>
      <c r="H25" s="142"/>
      <c r="I25" s="142"/>
      <c r="J25" s="142"/>
      <c r="K25" s="142"/>
      <c r="L25" s="142"/>
      <c r="M25" s="142"/>
      <c r="N25" s="142"/>
      <c r="O25" s="142"/>
    </row>
    <row r="26" spans="1:15" x14ac:dyDescent="0.25">
      <c r="A26" s="2">
        <v>10</v>
      </c>
      <c r="B26" s="2">
        <f t="shared" si="0"/>
        <v>0.19119295032500863</v>
      </c>
      <c r="C26" s="2">
        <f t="shared" si="1"/>
        <v>1.2230000000000001</v>
      </c>
      <c r="D26" s="2">
        <f t="shared" si="2"/>
        <v>0.24142857142857144</v>
      </c>
      <c r="E26" s="2">
        <f t="shared" si="3"/>
        <v>2.8226498088446474</v>
      </c>
      <c r="F26" s="47">
        <f t="shared" si="4"/>
        <v>28.226498088446476</v>
      </c>
      <c r="H26" s="142"/>
      <c r="I26" s="142"/>
      <c r="J26" s="142"/>
      <c r="K26" s="142"/>
      <c r="L26" s="142"/>
      <c r="M26" s="142"/>
      <c r="N26" s="142"/>
      <c r="O26" s="142"/>
    </row>
    <row r="27" spans="1:15" x14ac:dyDescent="0.25">
      <c r="A27" s="2">
        <v>10.5</v>
      </c>
      <c r="B27" s="2">
        <f t="shared" si="0"/>
        <v>0.19119295032500863</v>
      </c>
      <c r="C27" s="2">
        <f t="shared" si="1"/>
        <v>1.2230000000000001</v>
      </c>
      <c r="D27" s="2">
        <f t="shared" si="2"/>
        <v>0.24142857142857144</v>
      </c>
      <c r="E27" s="2">
        <f t="shared" si="3"/>
        <v>3.111971414251224</v>
      </c>
      <c r="F27" s="47">
        <f t="shared" si="4"/>
        <v>32.675699849637851</v>
      </c>
      <c r="H27" s="142"/>
      <c r="I27" s="142"/>
      <c r="J27" s="142"/>
      <c r="K27" s="142"/>
      <c r="L27" s="142"/>
      <c r="M27" s="142"/>
      <c r="N27" s="142"/>
      <c r="O27" s="142"/>
    </row>
    <row r="28" spans="1:15" x14ac:dyDescent="0.25">
      <c r="A28" s="27">
        <v>11</v>
      </c>
      <c r="B28" s="27">
        <f t="shared" si="0"/>
        <v>0.19119295032500863</v>
      </c>
      <c r="C28" s="27">
        <f t="shared" si="1"/>
        <v>1.2230000000000001</v>
      </c>
      <c r="D28" s="27">
        <f t="shared" si="2"/>
        <v>0.24142857142857144</v>
      </c>
      <c r="E28" s="27">
        <f t="shared" si="3"/>
        <v>3.4154062687020232</v>
      </c>
      <c r="F28" s="48">
        <f t="shared" si="4"/>
        <v>37.569468955722257</v>
      </c>
      <c r="H28" s="142"/>
      <c r="I28" s="142"/>
      <c r="J28" s="142"/>
      <c r="K28" s="142"/>
      <c r="L28" s="142"/>
      <c r="M28" s="142"/>
      <c r="N28" s="142"/>
      <c r="O28" s="142"/>
    </row>
    <row r="29" spans="1:15" x14ac:dyDescent="0.25">
      <c r="A29" s="2">
        <v>11.5</v>
      </c>
      <c r="B29" s="2">
        <f t="shared" si="0"/>
        <v>0.19119295032500863</v>
      </c>
      <c r="C29" s="2">
        <f t="shared" si="1"/>
        <v>1.2230000000000001</v>
      </c>
      <c r="D29" s="2">
        <f t="shared" si="2"/>
        <v>0.24142857142857144</v>
      </c>
      <c r="E29" s="2">
        <f t="shared" si="3"/>
        <v>3.7329543721970464</v>
      </c>
      <c r="F29" s="47">
        <f t="shared" si="4"/>
        <v>42.92897528026603</v>
      </c>
      <c r="H29" s="142"/>
      <c r="I29" s="142"/>
      <c r="J29" s="142"/>
      <c r="K29" s="142"/>
      <c r="L29" s="142"/>
      <c r="M29" s="142"/>
      <c r="N29" s="142"/>
      <c r="O29" s="142"/>
    </row>
    <row r="30" spans="1:15" x14ac:dyDescent="0.25">
      <c r="A30" s="2">
        <v>12</v>
      </c>
      <c r="B30" s="2">
        <f t="shared" si="0"/>
        <v>0.19119295032500863</v>
      </c>
      <c r="C30" s="2">
        <f t="shared" si="1"/>
        <v>1.2230000000000001</v>
      </c>
      <c r="D30" s="2">
        <f t="shared" si="2"/>
        <v>0.24142857142857144</v>
      </c>
      <c r="E30" s="2">
        <f t="shared" si="3"/>
        <v>4.0646157247362922</v>
      </c>
      <c r="F30" s="47">
        <f t="shared" si="4"/>
        <v>48.775388696835506</v>
      </c>
      <c r="H30" s="142"/>
      <c r="I30" s="142"/>
      <c r="J30" s="142"/>
      <c r="K30" s="142"/>
      <c r="L30" s="142"/>
      <c r="M30" s="142"/>
      <c r="N30" s="142"/>
      <c r="O30" s="142"/>
    </row>
    <row r="31" spans="1:15" x14ac:dyDescent="0.25">
      <c r="A31" s="2">
        <v>12.5</v>
      </c>
      <c r="B31" s="2">
        <f t="shared" si="0"/>
        <v>0.19119295032500863</v>
      </c>
      <c r="C31" s="2">
        <f t="shared" si="1"/>
        <v>1.2230000000000001</v>
      </c>
      <c r="D31" s="2">
        <f t="shared" si="2"/>
        <v>0.24142857142857144</v>
      </c>
      <c r="E31" s="2">
        <f t="shared" si="3"/>
        <v>4.410390326319761</v>
      </c>
      <c r="F31" s="47">
        <f t="shared" si="4"/>
        <v>55.129879078997014</v>
      </c>
      <c r="H31" s="142"/>
      <c r="I31" s="142"/>
      <c r="J31" s="142"/>
      <c r="K31" s="142"/>
      <c r="L31" s="142"/>
      <c r="M31" s="142"/>
      <c r="N31" s="142"/>
      <c r="O31" s="142"/>
    </row>
    <row r="32" spans="1:15" x14ac:dyDescent="0.25">
      <c r="A32" s="2">
        <v>13</v>
      </c>
      <c r="B32" s="2">
        <f t="shared" si="0"/>
        <v>0.19119295032500863</v>
      </c>
      <c r="C32" s="2">
        <f t="shared" si="1"/>
        <v>1.2230000000000001</v>
      </c>
      <c r="D32" s="2">
        <f t="shared" si="2"/>
        <v>0.24142857142857144</v>
      </c>
      <c r="E32" s="2">
        <f t="shared" si="3"/>
        <v>4.7702781769474543</v>
      </c>
      <c r="F32" s="47">
        <f t="shared" si="4"/>
        <v>62.013616300316905</v>
      </c>
      <c r="H32" s="142"/>
      <c r="I32" s="142"/>
      <c r="J32" s="142"/>
      <c r="K32" s="142"/>
      <c r="L32" s="142"/>
      <c r="M32" s="142"/>
      <c r="N32" s="142"/>
      <c r="O32" s="142"/>
    </row>
    <row r="33" spans="1:15" x14ac:dyDescent="0.25">
      <c r="A33" s="2">
        <v>13.5</v>
      </c>
      <c r="B33" s="2">
        <f t="shared" si="0"/>
        <v>0.19119295032500863</v>
      </c>
      <c r="C33" s="2">
        <f t="shared" si="1"/>
        <v>1.2230000000000001</v>
      </c>
      <c r="D33" s="2">
        <f t="shared" si="2"/>
        <v>0.24142857142857144</v>
      </c>
      <c r="E33" s="2">
        <f t="shared" si="3"/>
        <v>5.1442792766193701</v>
      </c>
      <c r="F33" s="47">
        <f t="shared" si="4"/>
        <v>69.447770234361499</v>
      </c>
      <c r="H33" s="142"/>
      <c r="I33" s="142"/>
      <c r="J33" s="142"/>
      <c r="K33" s="142"/>
      <c r="L33" s="142"/>
      <c r="M33" s="142"/>
      <c r="N33" s="142"/>
      <c r="O33" s="142"/>
    </row>
    <row r="34" spans="1:15" x14ac:dyDescent="0.25">
      <c r="A34" s="2">
        <v>14</v>
      </c>
      <c r="B34" s="2">
        <f t="shared" si="0"/>
        <v>0.19119295032500863</v>
      </c>
      <c r="C34" s="2">
        <f t="shared" si="1"/>
        <v>1.2230000000000001</v>
      </c>
      <c r="D34" s="2">
        <f t="shared" si="2"/>
        <v>0.24142857142857144</v>
      </c>
      <c r="E34" s="2">
        <f t="shared" si="3"/>
        <v>5.5323936253355086</v>
      </c>
      <c r="F34" s="47">
        <f t="shared" si="4"/>
        <v>77.45351075469712</v>
      </c>
      <c r="H34" s="142"/>
      <c r="I34" s="142"/>
      <c r="J34" s="142"/>
      <c r="K34" s="142"/>
      <c r="L34" s="142"/>
      <c r="M34" s="142"/>
      <c r="N34" s="142"/>
      <c r="O34" s="142"/>
    </row>
    <row r="35" spans="1:15" x14ac:dyDescent="0.25">
      <c r="A35" s="2">
        <v>14.5</v>
      </c>
      <c r="B35" s="2">
        <f t="shared" si="0"/>
        <v>0.19119295032500863</v>
      </c>
      <c r="C35" s="2">
        <f t="shared" si="1"/>
        <v>1.2230000000000001</v>
      </c>
      <c r="D35" s="2">
        <f t="shared" si="2"/>
        <v>0.24142857142857144</v>
      </c>
      <c r="E35" s="2">
        <f t="shared" si="3"/>
        <v>5.9346212230958715</v>
      </c>
      <c r="F35" s="47">
        <f t="shared" si="4"/>
        <v>86.05200773489014</v>
      </c>
      <c r="H35" s="142"/>
      <c r="I35" s="142"/>
      <c r="J35" s="142"/>
      <c r="K35" s="142"/>
      <c r="L35" s="142"/>
      <c r="M35" s="142"/>
      <c r="N35" s="142"/>
      <c r="O35" s="142"/>
    </row>
    <row r="36" spans="1:15" x14ac:dyDescent="0.25">
      <c r="A36" s="2">
        <v>15</v>
      </c>
      <c r="B36" s="2">
        <f t="shared" si="0"/>
        <v>0.19119295032500863</v>
      </c>
      <c r="C36" s="2">
        <f t="shared" si="1"/>
        <v>1.2230000000000001</v>
      </c>
      <c r="D36" s="2">
        <f t="shared" si="2"/>
        <v>0.24142857142857144</v>
      </c>
      <c r="E36" s="2">
        <f t="shared" si="3"/>
        <v>6.3509620699004561</v>
      </c>
      <c r="F36" s="47">
        <f t="shared" si="4"/>
        <v>95.264431048506836</v>
      </c>
      <c r="H36" s="142"/>
      <c r="I36" s="142"/>
      <c r="J36" s="142"/>
      <c r="K36" s="142"/>
      <c r="L36" s="142"/>
      <c r="M36" s="142"/>
      <c r="N36" s="142"/>
      <c r="O36" s="142"/>
    </row>
    <row r="77" spans="7:7" x14ac:dyDescent="0.25">
      <c r="G77" t="s">
        <v>105</v>
      </c>
    </row>
  </sheetData>
  <mergeCells count="6">
    <mergeCell ref="H22:O36"/>
    <mergeCell ref="A1:F3"/>
    <mergeCell ref="B5:E6"/>
    <mergeCell ref="B8:B9"/>
    <mergeCell ref="H1:R1"/>
    <mergeCell ref="H6:O20"/>
  </mergeCells>
  <hyperlinks>
    <hyperlink ref="H1" r:id="rId1" xr:uid="{7021DC59-A940-4400-B4D2-A47E4F154BCE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54BE-C8A0-4E3A-838A-259360A4E33C}">
  <dimension ref="A1:AF97"/>
  <sheetViews>
    <sheetView topLeftCell="M52" zoomScale="85" zoomScaleNormal="85" workbookViewId="0">
      <selection activeCell="K28" sqref="K28"/>
    </sheetView>
  </sheetViews>
  <sheetFormatPr defaultRowHeight="15" x14ac:dyDescent="0.25"/>
  <cols>
    <col min="1" max="1" width="9.140625" customWidth="1"/>
    <col min="5" max="5" width="16" customWidth="1"/>
    <col min="11" max="11" width="16" customWidth="1"/>
    <col min="13" max="13" width="12" customWidth="1"/>
    <col min="17" max="17" width="16.140625" customWidth="1"/>
    <col min="23" max="23" width="15.85546875" customWidth="1"/>
  </cols>
  <sheetData>
    <row r="1" spans="1:15" x14ac:dyDescent="0.25">
      <c r="A1" s="182" t="s">
        <v>294</v>
      </c>
      <c r="B1" s="183"/>
      <c r="C1" s="183"/>
      <c r="D1" s="183"/>
      <c r="E1" s="183"/>
      <c r="F1" s="184"/>
    </row>
    <row r="2" spans="1:15" x14ac:dyDescent="0.25">
      <c r="A2" s="185"/>
      <c r="B2" s="186"/>
      <c r="C2" s="186"/>
      <c r="D2" s="186"/>
      <c r="E2" s="186"/>
      <c r="F2" s="187"/>
    </row>
    <row r="3" spans="1:15" ht="15.75" thickBot="1" x14ac:dyDescent="0.3">
      <c r="A3" s="188"/>
      <c r="B3" s="189"/>
      <c r="C3" s="189"/>
      <c r="D3" s="189"/>
      <c r="E3" s="189"/>
      <c r="F3" s="190"/>
    </row>
    <row r="5" spans="1:15" x14ac:dyDescent="0.25">
      <c r="A5" s="142"/>
      <c r="B5" s="142"/>
      <c r="C5" s="142"/>
      <c r="D5" s="142"/>
      <c r="E5" s="142"/>
      <c r="F5" s="142"/>
      <c r="I5" s="277" t="s">
        <v>307</v>
      </c>
      <c r="J5" s="277"/>
    </row>
    <row r="6" spans="1:15" x14ac:dyDescent="0.25">
      <c r="A6" s="142"/>
      <c r="B6" s="142"/>
      <c r="C6" s="142"/>
      <c r="D6" s="142"/>
      <c r="E6" s="142"/>
      <c r="F6" s="142"/>
      <c r="I6" s="276" t="s">
        <v>308</v>
      </c>
      <c r="J6" s="142"/>
      <c r="K6" s="142"/>
      <c r="L6" s="142"/>
      <c r="M6" s="142"/>
      <c r="N6" s="142"/>
      <c r="O6" s="142"/>
    </row>
    <row r="7" spans="1:15" x14ac:dyDescent="0.25">
      <c r="A7" s="142"/>
      <c r="B7" s="142"/>
      <c r="C7" s="142"/>
      <c r="D7" s="142"/>
      <c r="E7" s="142"/>
      <c r="F7" s="142"/>
    </row>
    <row r="8" spans="1:15" x14ac:dyDescent="0.25">
      <c r="A8" s="142"/>
      <c r="B8" s="142"/>
      <c r="C8" s="142"/>
      <c r="D8" s="142"/>
      <c r="E8" s="142"/>
      <c r="F8" s="142"/>
      <c r="H8" s="142" t="s">
        <v>309</v>
      </c>
      <c r="I8" s="142"/>
      <c r="J8" s="2" t="s">
        <v>300</v>
      </c>
    </row>
    <row r="9" spans="1:15" x14ac:dyDescent="0.25">
      <c r="A9" s="142"/>
      <c r="B9" s="142"/>
      <c r="C9" s="142"/>
      <c r="D9" s="142"/>
      <c r="E9" s="142"/>
      <c r="F9" s="142"/>
      <c r="H9" s="142" t="s">
        <v>310</v>
      </c>
      <c r="I9" s="142"/>
      <c r="J9" s="2" t="s">
        <v>301</v>
      </c>
      <c r="M9" s="2" t="s">
        <v>316</v>
      </c>
      <c r="N9" s="2">
        <v>11.1</v>
      </c>
    </row>
    <row r="10" spans="1:15" x14ac:dyDescent="0.25">
      <c r="A10" s="142"/>
      <c r="B10" s="142"/>
      <c r="C10" s="142"/>
      <c r="D10" s="142"/>
      <c r="E10" s="142"/>
      <c r="F10" s="142"/>
      <c r="M10" s="2" t="s">
        <v>314</v>
      </c>
      <c r="N10" s="2">
        <v>1250</v>
      </c>
    </row>
    <row r="11" spans="1:15" x14ac:dyDescent="0.25">
      <c r="A11" s="142"/>
      <c r="B11" s="142"/>
      <c r="C11" s="142"/>
      <c r="D11" s="142"/>
      <c r="E11" s="142"/>
      <c r="F11" s="142"/>
      <c r="H11" s="156" t="s">
        <v>311</v>
      </c>
      <c r="I11" s="156"/>
      <c r="J11" s="156"/>
      <c r="K11" s="29">
        <v>0.7</v>
      </c>
      <c r="M11" s="2" t="s">
        <v>315</v>
      </c>
      <c r="N11" s="2">
        <f>N10*N9</f>
        <v>13875</v>
      </c>
    </row>
    <row r="12" spans="1:15" x14ac:dyDescent="0.25">
      <c r="A12" s="142"/>
      <c r="B12" s="142"/>
      <c r="C12" s="142"/>
      <c r="D12" s="142"/>
      <c r="E12" s="142"/>
      <c r="F12" s="142"/>
    </row>
    <row r="13" spans="1:15" x14ac:dyDescent="0.25">
      <c r="A13" s="142"/>
      <c r="B13" s="142"/>
      <c r="C13" s="142"/>
      <c r="D13" s="142"/>
      <c r="E13" s="142"/>
      <c r="F13" s="142"/>
      <c r="H13" s="142" t="s">
        <v>312</v>
      </c>
      <c r="I13" s="142"/>
      <c r="J13" s="2">
        <f>W*TbyW</f>
        <v>1.75</v>
      </c>
      <c r="K13" s="2" t="s">
        <v>313</v>
      </c>
    </row>
    <row r="14" spans="1:15" x14ac:dyDescent="0.25">
      <c r="A14" s="142"/>
      <c r="B14" s="142"/>
      <c r="C14" s="142"/>
      <c r="D14" s="142"/>
      <c r="E14" s="142"/>
      <c r="F14" s="142"/>
      <c r="J14" s="27">
        <f>J13*9.81</f>
        <v>17.1675</v>
      </c>
      <c r="K14" s="27" t="s">
        <v>15</v>
      </c>
    </row>
    <row r="15" spans="1:15" x14ac:dyDescent="0.25">
      <c r="A15" s="142"/>
      <c r="B15" s="142"/>
      <c r="C15" s="142"/>
      <c r="D15" s="142"/>
      <c r="E15" s="142"/>
      <c r="F15" s="142"/>
    </row>
    <row r="16" spans="1:15" x14ac:dyDescent="0.25">
      <c r="A16" s="142"/>
      <c r="B16" s="142"/>
      <c r="C16" s="142"/>
      <c r="D16" s="142"/>
      <c r="E16" s="142"/>
      <c r="F16" s="142"/>
    </row>
    <row r="17" spans="1:32" x14ac:dyDescent="0.25">
      <c r="O17" s="156" t="s">
        <v>413</v>
      </c>
      <c r="P17" s="156"/>
      <c r="Q17" s="156"/>
      <c r="R17" s="156"/>
      <c r="S17" s="156"/>
    </row>
    <row r="18" spans="1:32" x14ac:dyDescent="0.25">
      <c r="D18" s="2" t="s">
        <v>67</v>
      </c>
    </row>
    <row r="19" spans="1:32" x14ac:dyDescent="0.25">
      <c r="A19" s="142" t="s">
        <v>298</v>
      </c>
      <c r="B19" s="142"/>
      <c r="C19" s="142"/>
      <c r="D19" s="2">
        <v>9</v>
      </c>
      <c r="G19" s="142" t="s">
        <v>299</v>
      </c>
      <c r="H19" s="142"/>
      <c r="I19" s="2">
        <v>5</v>
      </c>
      <c r="J19" s="2">
        <v>6</v>
      </c>
      <c r="K19" s="2">
        <v>7</v>
      </c>
      <c r="L19" s="2">
        <v>8</v>
      </c>
    </row>
    <row r="20" spans="1:32" x14ac:dyDescent="0.25">
      <c r="A20" s="142" t="s">
        <v>298</v>
      </c>
      <c r="B20" s="142"/>
      <c r="C20" s="142"/>
      <c r="D20" s="2">
        <v>10</v>
      </c>
      <c r="G20" s="142" t="s">
        <v>299</v>
      </c>
      <c r="H20" s="142"/>
      <c r="I20" s="2">
        <v>5</v>
      </c>
      <c r="J20" s="2">
        <v>6</v>
      </c>
      <c r="K20" s="2">
        <v>7</v>
      </c>
      <c r="L20" s="2">
        <v>8</v>
      </c>
    </row>
    <row r="23" spans="1:32" x14ac:dyDescent="0.25">
      <c r="A23" s="294" t="s">
        <v>306</v>
      </c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</row>
    <row r="24" spans="1:32" x14ac:dyDescent="0.25">
      <c r="A24" s="294"/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</row>
    <row r="25" spans="1:32" x14ac:dyDescent="0.25">
      <c r="A25" s="292">
        <f>pd_1</f>
        <v>9</v>
      </c>
      <c r="B25" s="293"/>
      <c r="C25" s="125" t="s">
        <v>412</v>
      </c>
      <c r="D25" s="290">
        <f>p_1</f>
        <v>5</v>
      </c>
      <c r="E25" s="291"/>
      <c r="G25" s="292">
        <f>pd_1</f>
        <v>9</v>
      </c>
      <c r="H25" s="293"/>
      <c r="I25" s="125" t="s">
        <v>412</v>
      </c>
      <c r="J25" s="290">
        <f>p_2</f>
        <v>6</v>
      </c>
      <c r="K25" s="291"/>
      <c r="M25" s="292">
        <f>pd_1</f>
        <v>9</v>
      </c>
      <c r="N25" s="293"/>
      <c r="O25" s="125" t="s">
        <v>412</v>
      </c>
      <c r="P25" s="290">
        <f>p_3</f>
        <v>7</v>
      </c>
      <c r="Q25" s="291"/>
      <c r="S25" s="292">
        <f>pd_1</f>
        <v>9</v>
      </c>
      <c r="T25" s="293"/>
      <c r="U25" s="125" t="s">
        <v>412</v>
      </c>
      <c r="V25" s="290">
        <f>p_4</f>
        <v>8</v>
      </c>
      <c r="W25" s="291"/>
      <c r="Y25" s="142"/>
      <c r="Z25" s="142"/>
      <c r="AA25" s="142"/>
      <c r="AB25" s="142"/>
      <c r="AC25" s="142"/>
      <c r="AD25" s="142"/>
      <c r="AE25" s="142"/>
      <c r="AF25" s="142"/>
    </row>
    <row r="26" spans="1:32" x14ac:dyDescent="0.25">
      <c r="A26" s="28" t="s">
        <v>302</v>
      </c>
      <c r="B26" s="28" t="s">
        <v>303</v>
      </c>
      <c r="C26" s="28" t="s">
        <v>299</v>
      </c>
      <c r="D26" s="28" t="s">
        <v>304</v>
      </c>
      <c r="E26" s="28" t="s">
        <v>305</v>
      </c>
      <c r="G26" s="28" t="s">
        <v>302</v>
      </c>
      <c r="H26" s="28" t="s">
        <v>303</v>
      </c>
      <c r="I26" s="28" t="s">
        <v>299</v>
      </c>
      <c r="J26" s="28" t="s">
        <v>304</v>
      </c>
      <c r="K26" s="28" t="s">
        <v>305</v>
      </c>
      <c r="M26" s="28" t="s">
        <v>302</v>
      </c>
      <c r="N26" s="28" t="s">
        <v>303</v>
      </c>
      <c r="O26" s="28" t="s">
        <v>299</v>
      </c>
      <c r="P26" s="28" t="s">
        <v>304</v>
      </c>
      <c r="Q26" s="28" t="s">
        <v>305</v>
      </c>
      <c r="S26" s="28" t="s">
        <v>302</v>
      </c>
      <c r="T26" s="28" t="s">
        <v>303</v>
      </c>
      <c r="U26" s="28" t="s">
        <v>299</v>
      </c>
      <c r="V26" s="28" t="s">
        <v>304</v>
      </c>
      <c r="W26" s="28" t="s">
        <v>305</v>
      </c>
      <c r="Y26" s="142"/>
      <c r="Z26" s="142"/>
      <c r="AA26" s="142"/>
      <c r="AB26" s="142"/>
      <c r="AC26" s="142"/>
      <c r="AD26" s="142"/>
      <c r="AE26" s="142"/>
      <c r="AF26" s="142"/>
    </row>
    <row r="27" spans="1:32" x14ac:dyDescent="0.25">
      <c r="A27" s="2">
        <v>0</v>
      </c>
      <c r="B27" s="2">
        <f t="shared" ref="B27:B40" si="0">pd_1</f>
        <v>9</v>
      </c>
      <c r="C27" s="2">
        <f t="shared" ref="C27:C40" si="1">p_1</f>
        <v>5</v>
      </c>
      <c r="D27" s="2">
        <v>0</v>
      </c>
      <c r="E27" s="47">
        <f>(4.392399*10^-8)*A27*((B27^3.5)/SQRT(C27))*((4.23333*10^-4)*A27*C27-D27)</f>
        <v>0</v>
      </c>
      <c r="G27" s="2">
        <v>0</v>
      </c>
      <c r="H27" s="2">
        <f t="shared" ref="H27:H40" si="2">pd_1</f>
        <v>9</v>
      </c>
      <c r="I27" s="2">
        <f t="shared" ref="I27:I40" si="3">p_2</f>
        <v>6</v>
      </c>
      <c r="J27" s="2">
        <v>0</v>
      </c>
      <c r="K27" s="47">
        <f>(4.392399*10^-8)*G27*((H27^3.5)/SQRT(I27))*((4.23333*10^-4)*G27*I27-J27)</f>
        <v>0</v>
      </c>
      <c r="M27" s="2">
        <v>0</v>
      </c>
      <c r="N27" s="2">
        <f t="shared" ref="N27:N40" si="4">pd_1</f>
        <v>9</v>
      </c>
      <c r="O27" s="2">
        <f t="shared" ref="O27:O40" si="5">p_3</f>
        <v>7</v>
      </c>
      <c r="P27" s="2">
        <v>0</v>
      </c>
      <c r="Q27" s="47">
        <f>(4.392399*10^-8)*M27*((N27^3.5)/SQRT(O27))*((4.23333*10^-4)*M27*O27-P27)</f>
        <v>0</v>
      </c>
      <c r="S27" s="2">
        <v>0</v>
      </c>
      <c r="T27" s="2">
        <f t="shared" ref="T27:T40" si="6">pd_1</f>
        <v>9</v>
      </c>
      <c r="U27" s="2">
        <f t="shared" ref="U27:U40" si="7">p_4</f>
        <v>8</v>
      </c>
      <c r="V27" s="2">
        <v>0</v>
      </c>
      <c r="W27" s="47">
        <f>(4.392399*10^-8)*S27*((T27^3.5)/SQRT(U27))*((4.23333*10^-4)*S27*U27-V27)</f>
        <v>0</v>
      </c>
      <c r="Y27" s="142"/>
      <c r="Z27" s="142"/>
      <c r="AA27" s="142"/>
      <c r="AB27" s="142"/>
      <c r="AC27" s="142"/>
      <c r="AD27" s="142"/>
      <c r="AE27" s="142"/>
      <c r="AF27" s="142"/>
    </row>
    <row r="28" spans="1:32" x14ac:dyDescent="0.25">
      <c r="A28" s="2">
        <v>1000</v>
      </c>
      <c r="B28" s="2">
        <f t="shared" si="0"/>
        <v>9</v>
      </c>
      <c r="C28" s="2">
        <f t="shared" si="1"/>
        <v>5</v>
      </c>
      <c r="D28" s="2">
        <v>0</v>
      </c>
      <c r="E28" s="47">
        <f t="shared" ref="E28:E36" si="8">(4.392399*10^-8)*A28*((B28^3.5)/SQRT(C28))*((4.23333*10^-4)*A28*C28-D28)</f>
        <v>9.0932198954392321E-2</v>
      </c>
      <c r="G28" s="2">
        <v>1000</v>
      </c>
      <c r="H28" s="2">
        <f t="shared" si="2"/>
        <v>9</v>
      </c>
      <c r="I28" s="2">
        <f t="shared" si="3"/>
        <v>6</v>
      </c>
      <c r="J28" s="2">
        <v>0</v>
      </c>
      <c r="K28" s="47">
        <f t="shared" ref="K28:K40" si="9">(4.392399*10^-8)*G28*((H28^3.5)/SQRT(I28))*((4.23333*10^-4)*G28*I28-J28)</f>
        <v>9.9611233141736727E-2</v>
      </c>
      <c r="M28" s="2">
        <v>1000</v>
      </c>
      <c r="N28" s="2">
        <f t="shared" si="4"/>
        <v>9</v>
      </c>
      <c r="O28" s="2">
        <f t="shared" si="5"/>
        <v>7</v>
      </c>
      <c r="P28" s="2">
        <v>0</v>
      </c>
      <c r="Q28" s="47">
        <f t="shared" ref="Q28:Q40" si="10">(4.392399*10^-8)*M28*((N28^3.5)/SQRT(O28))*((4.23333*10^-4)*M28*O28-P28)</f>
        <v>0.10759242877337447</v>
      </c>
      <c r="S28" s="2">
        <v>1000</v>
      </c>
      <c r="T28" s="2">
        <f t="shared" si="6"/>
        <v>9</v>
      </c>
      <c r="U28" s="2">
        <f t="shared" si="7"/>
        <v>8</v>
      </c>
      <c r="V28" s="2">
        <v>0</v>
      </c>
      <c r="W28" s="47">
        <f t="shared" ref="W28:W40" si="11">(4.392399*10^-8)*S28*((T28^3.5)/SQRT(U28))*((4.23333*10^-4)*S28*U28-V28)</f>
        <v>0.11502114453738452</v>
      </c>
      <c r="Y28" s="142"/>
      <c r="Z28" s="142"/>
      <c r="AA28" s="142"/>
      <c r="AB28" s="142"/>
      <c r="AC28" s="142"/>
      <c r="AD28" s="142"/>
      <c r="AE28" s="142"/>
      <c r="AF28" s="142"/>
    </row>
    <row r="29" spans="1:32" x14ac:dyDescent="0.25">
      <c r="A29" s="2">
        <v>2000</v>
      </c>
      <c r="B29" s="2">
        <f t="shared" si="0"/>
        <v>9</v>
      </c>
      <c r="C29" s="2">
        <f t="shared" si="1"/>
        <v>5</v>
      </c>
      <c r="D29" s="2">
        <v>0</v>
      </c>
      <c r="E29" s="47">
        <f t="shared" si="8"/>
        <v>0.36372879581756928</v>
      </c>
      <c r="G29" s="2">
        <v>2000</v>
      </c>
      <c r="H29" s="2">
        <f t="shared" si="2"/>
        <v>9</v>
      </c>
      <c r="I29" s="2">
        <f t="shared" si="3"/>
        <v>6</v>
      </c>
      <c r="J29" s="2">
        <v>0</v>
      </c>
      <c r="K29" s="47">
        <f t="shared" si="9"/>
        <v>0.39844493256694691</v>
      </c>
      <c r="M29" s="2">
        <v>2000</v>
      </c>
      <c r="N29" s="2">
        <f t="shared" si="4"/>
        <v>9</v>
      </c>
      <c r="O29" s="2">
        <f t="shared" si="5"/>
        <v>7</v>
      </c>
      <c r="P29" s="2">
        <v>0</v>
      </c>
      <c r="Q29" s="47">
        <f t="shared" si="10"/>
        <v>0.43036971509349786</v>
      </c>
      <c r="S29" s="2">
        <v>2000</v>
      </c>
      <c r="T29" s="2">
        <f t="shared" si="6"/>
        <v>9</v>
      </c>
      <c r="U29" s="2">
        <f t="shared" si="7"/>
        <v>8</v>
      </c>
      <c r="V29" s="2">
        <v>0</v>
      </c>
      <c r="W29" s="47">
        <f t="shared" si="11"/>
        <v>0.46008457814953807</v>
      </c>
      <c r="Y29" s="142"/>
      <c r="Z29" s="142"/>
      <c r="AA29" s="142"/>
      <c r="AB29" s="142"/>
      <c r="AC29" s="142"/>
      <c r="AD29" s="142"/>
      <c r="AE29" s="142"/>
      <c r="AF29" s="142"/>
    </row>
    <row r="30" spans="1:32" x14ac:dyDescent="0.25">
      <c r="A30" s="2">
        <v>3000</v>
      </c>
      <c r="B30" s="2">
        <f t="shared" si="0"/>
        <v>9</v>
      </c>
      <c r="C30" s="2">
        <f t="shared" si="1"/>
        <v>5</v>
      </c>
      <c r="D30" s="2">
        <v>0</v>
      </c>
      <c r="E30" s="47">
        <f t="shared" si="8"/>
        <v>0.81838979058953087</v>
      </c>
      <c r="G30" s="2">
        <v>3000</v>
      </c>
      <c r="H30" s="2">
        <f t="shared" si="2"/>
        <v>9</v>
      </c>
      <c r="I30" s="2">
        <f t="shared" si="3"/>
        <v>6</v>
      </c>
      <c r="J30" s="2">
        <v>0</v>
      </c>
      <c r="K30" s="47">
        <f t="shared" si="9"/>
        <v>0.89650109827563051</v>
      </c>
      <c r="M30" s="2">
        <v>3000</v>
      </c>
      <c r="N30" s="2">
        <f t="shared" si="4"/>
        <v>9</v>
      </c>
      <c r="O30" s="2">
        <f t="shared" si="5"/>
        <v>7</v>
      </c>
      <c r="P30" s="2">
        <v>0</v>
      </c>
      <c r="Q30" s="47">
        <f t="shared" si="10"/>
        <v>0.96833185896037022</v>
      </c>
      <c r="S30" s="2">
        <v>3000</v>
      </c>
      <c r="T30" s="2">
        <f t="shared" si="6"/>
        <v>9</v>
      </c>
      <c r="U30" s="2">
        <f t="shared" si="7"/>
        <v>8</v>
      </c>
      <c r="V30" s="2">
        <v>0</v>
      </c>
      <c r="W30" s="47">
        <f t="shared" si="11"/>
        <v>1.0351903008364605</v>
      </c>
      <c r="Y30" s="142"/>
      <c r="Z30" s="142"/>
      <c r="AA30" s="142"/>
      <c r="AB30" s="142"/>
      <c r="AC30" s="142"/>
      <c r="AD30" s="142"/>
      <c r="AE30" s="142"/>
      <c r="AF30" s="142"/>
    </row>
    <row r="31" spans="1:32" x14ac:dyDescent="0.25">
      <c r="A31" s="2">
        <v>4000</v>
      </c>
      <c r="B31" s="2">
        <f t="shared" si="0"/>
        <v>9</v>
      </c>
      <c r="C31" s="2">
        <f t="shared" si="1"/>
        <v>5</v>
      </c>
      <c r="D31" s="2">
        <v>0</v>
      </c>
      <c r="E31" s="47">
        <f t="shared" si="8"/>
        <v>1.4549151832702771</v>
      </c>
      <c r="G31" s="2">
        <v>4000</v>
      </c>
      <c r="H31" s="2">
        <f t="shared" si="2"/>
        <v>9</v>
      </c>
      <c r="I31" s="2">
        <f t="shared" si="3"/>
        <v>6</v>
      </c>
      <c r="J31" s="2">
        <v>0</v>
      </c>
      <c r="K31" s="47">
        <f t="shared" si="9"/>
        <v>1.5937797302677876</v>
      </c>
      <c r="M31" s="2">
        <v>4000</v>
      </c>
      <c r="N31" s="2">
        <f t="shared" si="4"/>
        <v>9</v>
      </c>
      <c r="O31" s="2">
        <f t="shared" si="5"/>
        <v>7</v>
      </c>
      <c r="P31" s="2">
        <v>0</v>
      </c>
      <c r="Q31" s="47">
        <f t="shared" si="10"/>
        <v>1.7214788603739914</v>
      </c>
      <c r="S31" s="2">
        <v>4000</v>
      </c>
      <c r="T31" s="2">
        <f t="shared" si="6"/>
        <v>9</v>
      </c>
      <c r="U31" s="2">
        <f t="shared" si="7"/>
        <v>8</v>
      </c>
      <c r="V31" s="2">
        <v>0</v>
      </c>
      <c r="W31" s="47">
        <f t="shared" si="11"/>
        <v>1.8403383125981523</v>
      </c>
      <c r="Y31" s="142"/>
      <c r="Z31" s="142"/>
      <c r="AA31" s="142"/>
      <c r="AB31" s="142"/>
      <c r="AC31" s="142"/>
      <c r="AD31" s="142"/>
      <c r="AE31" s="142"/>
      <c r="AF31" s="142"/>
    </row>
    <row r="32" spans="1:32" x14ac:dyDescent="0.25">
      <c r="A32" s="2">
        <v>5000</v>
      </c>
      <c r="B32" s="2">
        <f t="shared" si="0"/>
        <v>9</v>
      </c>
      <c r="C32" s="2">
        <f t="shared" si="1"/>
        <v>5</v>
      </c>
      <c r="D32" s="2">
        <v>0</v>
      </c>
      <c r="E32" s="47">
        <f t="shared" si="8"/>
        <v>2.2733049738598079</v>
      </c>
      <c r="G32" s="2">
        <v>5000</v>
      </c>
      <c r="H32" s="2">
        <f t="shared" si="2"/>
        <v>9</v>
      </c>
      <c r="I32" s="2">
        <f t="shared" si="3"/>
        <v>6</v>
      </c>
      <c r="J32" s="2">
        <v>0</v>
      </c>
      <c r="K32" s="47">
        <f t="shared" si="9"/>
        <v>2.4902808285434177</v>
      </c>
      <c r="M32" s="2">
        <v>5000</v>
      </c>
      <c r="N32" s="2">
        <f t="shared" si="4"/>
        <v>9</v>
      </c>
      <c r="O32" s="2">
        <f t="shared" si="5"/>
        <v>7</v>
      </c>
      <c r="P32" s="2">
        <v>0</v>
      </c>
      <c r="Q32" s="47">
        <f t="shared" si="10"/>
        <v>2.6898107193343614</v>
      </c>
      <c r="S32" s="2">
        <v>5000</v>
      </c>
      <c r="T32" s="2">
        <f t="shared" si="6"/>
        <v>9</v>
      </c>
      <c r="U32" s="2">
        <f t="shared" si="7"/>
        <v>8</v>
      </c>
      <c r="V32" s="2">
        <v>0</v>
      </c>
      <c r="W32" s="47">
        <f t="shared" si="11"/>
        <v>2.8755286134346125</v>
      </c>
      <c r="Y32" s="142"/>
      <c r="Z32" s="142"/>
      <c r="AA32" s="142"/>
      <c r="AB32" s="142"/>
      <c r="AC32" s="142"/>
      <c r="AD32" s="142"/>
      <c r="AE32" s="142"/>
      <c r="AF32" s="142"/>
    </row>
    <row r="33" spans="1:32" x14ac:dyDescent="0.25">
      <c r="A33" s="2">
        <v>6000</v>
      </c>
      <c r="B33" s="2">
        <f t="shared" si="0"/>
        <v>9</v>
      </c>
      <c r="C33" s="2">
        <f t="shared" si="1"/>
        <v>5</v>
      </c>
      <c r="D33" s="2">
        <v>0</v>
      </c>
      <c r="E33" s="47">
        <f t="shared" si="8"/>
        <v>3.2735591623581235</v>
      </c>
      <c r="G33" s="2">
        <v>6000</v>
      </c>
      <c r="H33" s="2">
        <f t="shared" si="2"/>
        <v>9</v>
      </c>
      <c r="I33" s="2">
        <f t="shared" si="3"/>
        <v>6</v>
      </c>
      <c r="J33" s="2">
        <v>0</v>
      </c>
      <c r="K33" s="47">
        <f t="shared" si="9"/>
        <v>3.5860043931025221</v>
      </c>
      <c r="M33" s="2">
        <v>6000</v>
      </c>
      <c r="N33" s="2">
        <f t="shared" si="4"/>
        <v>9</v>
      </c>
      <c r="O33" s="2">
        <f t="shared" si="5"/>
        <v>7</v>
      </c>
      <c r="P33" s="2">
        <v>0</v>
      </c>
      <c r="Q33" s="47">
        <f t="shared" si="10"/>
        <v>3.8733274358414809</v>
      </c>
      <c r="S33" s="2">
        <v>6000</v>
      </c>
      <c r="T33" s="2">
        <f t="shared" si="6"/>
        <v>9</v>
      </c>
      <c r="U33" s="2">
        <f t="shared" si="7"/>
        <v>8</v>
      </c>
      <c r="V33" s="2">
        <v>0</v>
      </c>
      <c r="W33" s="47">
        <f t="shared" si="11"/>
        <v>4.1407612033458419</v>
      </c>
      <c r="Y33" s="142"/>
      <c r="Z33" s="142"/>
      <c r="AA33" s="142"/>
      <c r="AB33" s="142"/>
      <c r="AC33" s="142"/>
      <c r="AD33" s="142"/>
      <c r="AE33" s="142"/>
      <c r="AF33" s="142"/>
    </row>
    <row r="34" spans="1:32" x14ac:dyDescent="0.25">
      <c r="A34" s="2">
        <v>7000</v>
      </c>
      <c r="B34" s="2">
        <f t="shared" si="0"/>
        <v>9</v>
      </c>
      <c r="C34" s="2">
        <f t="shared" si="1"/>
        <v>5</v>
      </c>
      <c r="D34" s="2">
        <v>0</v>
      </c>
      <c r="E34" s="47">
        <f t="shared" si="8"/>
        <v>4.4556777487652228</v>
      </c>
      <c r="G34" s="2">
        <v>7000</v>
      </c>
      <c r="H34" s="2">
        <f t="shared" si="2"/>
        <v>9</v>
      </c>
      <c r="I34" s="2">
        <f t="shared" si="3"/>
        <v>6</v>
      </c>
      <c r="J34" s="2">
        <v>0</v>
      </c>
      <c r="K34" s="47">
        <f t="shared" si="9"/>
        <v>4.8809504239450989</v>
      </c>
      <c r="M34" s="2">
        <v>7000</v>
      </c>
      <c r="N34" s="2">
        <f t="shared" si="4"/>
        <v>9</v>
      </c>
      <c r="O34" s="2">
        <f t="shared" si="5"/>
        <v>7</v>
      </c>
      <c r="P34" s="2">
        <v>0</v>
      </c>
      <c r="Q34" s="47">
        <f t="shared" si="10"/>
        <v>5.2720290098953484</v>
      </c>
      <c r="S34" s="2">
        <v>7000</v>
      </c>
      <c r="T34" s="2">
        <f t="shared" si="6"/>
        <v>9</v>
      </c>
      <c r="U34" s="2">
        <f t="shared" si="7"/>
        <v>8</v>
      </c>
      <c r="V34" s="2">
        <v>0</v>
      </c>
      <c r="W34" s="47">
        <f t="shared" si="11"/>
        <v>5.6360360823318407</v>
      </c>
      <c r="Y34" s="142"/>
      <c r="Z34" s="142"/>
      <c r="AA34" s="142"/>
      <c r="AB34" s="142"/>
      <c r="AC34" s="142"/>
      <c r="AD34" s="142"/>
      <c r="AE34" s="142"/>
      <c r="AF34" s="142"/>
    </row>
    <row r="35" spans="1:32" x14ac:dyDescent="0.25">
      <c r="A35" s="2">
        <v>8000</v>
      </c>
      <c r="B35" s="2">
        <f t="shared" si="0"/>
        <v>9</v>
      </c>
      <c r="C35" s="2">
        <f t="shared" si="1"/>
        <v>5</v>
      </c>
      <c r="D35" s="2">
        <v>0</v>
      </c>
      <c r="E35" s="47">
        <f t="shared" si="8"/>
        <v>5.8196607330811085</v>
      </c>
      <c r="G35" s="2">
        <v>8000</v>
      </c>
      <c r="H35" s="2">
        <f t="shared" si="2"/>
        <v>9</v>
      </c>
      <c r="I35" s="2">
        <f t="shared" si="3"/>
        <v>6</v>
      </c>
      <c r="J35" s="2">
        <v>0</v>
      </c>
      <c r="K35" s="47">
        <f t="shared" si="9"/>
        <v>6.3751189210711505</v>
      </c>
      <c r="M35" s="2">
        <v>8000</v>
      </c>
      <c r="N35" s="2">
        <f t="shared" si="4"/>
        <v>9</v>
      </c>
      <c r="O35" s="2">
        <f t="shared" si="5"/>
        <v>7</v>
      </c>
      <c r="P35" s="2">
        <v>0</v>
      </c>
      <c r="Q35" s="47">
        <f t="shared" si="10"/>
        <v>6.8859154414959658</v>
      </c>
      <c r="S35" s="2">
        <v>8000</v>
      </c>
      <c r="T35" s="2">
        <f t="shared" si="6"/>
        <v>9</v>
      </c>
      <c r="U35" s="2">
        <f t="shared" si="7"/>
        <v>8</v>
      </c>
      <c r="V35" s="2">
        <v>0</v>
      </c>
      <c r="W35" s="47">
        <f t="shared" si="11"/>
        <v>7.3613532503926091</v>
      </c>
      <c r="Y35" s="142"/>
      <c r="Z35" s="142"/>
      <c r="AA35" s="142"/>
      <c r="AB35" s="142"/>
      <c r="AC35" s="142"/>
      <c r="AD35" s="142"/>
      <c r="AE35" s="142"/>
      <c r="AF35" s="142"/>
    </row>
    <row r="36" spans="1:32" x14ac:dyDescent="0.25">
      <c r="A36" s="2">
        <v>9000</v>
      </c>
      <c r="B36" s="2">
        <f t="shared" si="0"/>
        <v>9</v>
      </c>
      <c r="C36" s="2">
        <f t="shared" si="1"/>
        <v>5</v>
      </c>
      <c r="D36" s="2">
        <v>0</v>
      </c>
      <c r="E36" s="47">
        <f t="shared" si="8"/>
        <v>7.3655081153057775</v>
      </c>
      <c r="G36" s="2">
        <v>9000</v>
      </c>
      <c r="H36" s="2">
        <f t="shared" si="2"/>
        <v>9</v>
      </c>
      <c r="I36" s="2">
        <f t="shared" si="3"/>
        <v>6</v>
      </c>
      <c r="J36" s="2">
        <v>0</v>
      </c>
      <c r="K36" s="47">
        <f t="shared" si="9"/>
        <v>8.0685098844806742</v>
      </c>
      <c r="M36" s="2">
        <v>9000</v>
      </c>
      <c r="N36" s="2">
        <f t="shared" si="4"/>
        <v>9</v>
      </c>
      <c r="O36" s="2">
        <f t="shared" si="5"/>
        <v>7</v>
      </c>
      <c r="P36" s="2">
        <v>0</v>
      </c>
      <c r="Q36" s="47">
        <f t="shared" si="10"/>
        <v>8.7149867306433322</v>
      </c>
      <c r="S36" s="2">
        <v>9000</v>
      </c>
      <c r="T36" s="2">
        <f t="shared" si="6"/>
        <v>9</v>
      </c>
      <c r="U36" s="2">
        <f t="shared" si="7"/>
        <v>8</v>
      </c>
      <c r="V36" s="2">
        <v>0</v>
      </c>
      <c r="W36" s="47">
        <f t="shared" si="11"/>
        <v>9.3167127075281453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5">
      <c r="A37" s="2">
        <v>10000</v>
      </c>
      <c r="B37" s="2">
        <f t="shared" si="0"/>
        <v>9</v>
      </c>
      <c r="C37" s="2">
        <f t="shared" si="1"/>
        <v>5</v>
      </c>
      <c r="D37" s="2">
        <v>0</v>
      </c>
      <c r="E37" s="47">
        <f t="shared" ref="E37:E40" si="12">(4.392399*10^-8)*A37*((B37^3.5)/SQRT(C37))*((4.23333*10^-4)*A37*C37-D37)</f>
        <v>9.0932198954392316</v>
      </c>
      <c r="G37" s="2">
        <v>10000</v>
      </c>
      <c r="H37" s="2">
        <f t="shared" si="2"/>
        <v>9</v>
      </c>
      <c r="I37" s="2">
        <f t="shared" si="3"/>
        <v>6</v>
      </c>
      <c r="J37" s="2">
        <v>0</v>
      </c>
      <c r="K37" s="47">
        <f t="shared" si="9"/>
        <v>9.9611233141736708</v>
      </c>
      <c r="M37" s="2">
        <v>10000</v>
      </c>
      <c r="N37" s="2">
        <f t="shared" si="4"/>
        <v>9</v>
      </c>
      <c r="O37" s="2">
        <f t="shared" si="5"/>
        <v>7</v>
      </c>
      <c r="P37" s="2">
        <v>0</v>
      </c>
      <c r="Q37" s="47">
        <f t="shared" si="10"/>
        <v>10.759242877337446</v>
      </c>
      <c r="S37" s="2">
        <v>10000</v>
      </c>
      <c r="T37" s="2">
        <f t="shared" si="6"/>
        <v>9</v>
      </c>
      <c r="U37" s="2">
        <f t="shared" si="7"/>
        <v>8</v>
      </c>
      <c r="V37" s="2">
        <v>0</v>
      </c>
      <c r="W37" s="47">
        <f t="shared" si="11"/>
        <v>11.50211445373845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5">
      <c r="A38" s="2">
        <v>11000</v>
      </c>
      <c r="B38" s="2">
        <f t="shared" si="0"/>
        <v>9</v>
      </c>
      <c r="C38" s="2">
        <f t="shared" si="1"/>
        <v>5</v>
      </c>
      <c r="D38" s="2">
        <v>0</v>
      </c>
      <c r="E38" s="47">
        <f t="shared" si="12"/>
        <v>11.002796073481472</v>
      </c>
      <c r="G38" s="2">
        <v>11000</v>
      </c>
      <c r="H38" s="2">
        <f t="shared" si="2"/>
        <v>9</v>
      </c>
      <c r="I38" s="2">
        <f t="shared" si="3"/>
        <v>6</v>
      </c>
      <c r="J38" s="2">
        <v>0</v>
      </c>
      <c r="K38" s="47">
        <f t="shared" si="9"/>
        <v>12.052959210150144</v>
      </c>
      <c r="M38" s="2">
        <v>11000</v>
      </c>
      <c r="N38" s="2">
        <f t="shared" si="4"/>
        <v>9</v>
      </c>
      <c r="O38" s="2">
        <f t="shared" si="5"/>
        <v>7</v>
      </c>
      <c r="P38" s="2">
        <v>0</v>
      </c>
      <c r="Q38" s="47">
        <f t="shared" si="10"/>
        <v>13.018683881578312</v>
      </c>
      <c r="S38" s="2">
        <v>11000</v>
      </c>
      <c r="T38" s="2">
        <f t="shared" si="6"/>
        <v>9</v>
      </c>
      <c r="U38" s="2">
        <f t="shared" si="7"/>
        <v>8</v>
      </c>
      <c r="V38" s="2">
        <v>0</v>
      </c>
      <c r="W38" s="47">
        <f t="shared" si="11"/>
        <v>13.917558489023527</v>
      </c>
      <c r="Y38" s="142"/>
      <c r="Z38" s="142"/>
      <c r="AA38" s="142"/>
      <c r="AB38" s="142"/>
      <c r="AC38" s="142"/>
      <c r="AD38" s="142"/>
      <c r="AE38" s="142"/>
      <c r="AF38" s="142"/>
    </row>
    <row r="39" spans="1:32" x14ac:dyDescent="0.25">
      <c r="A39" s="2">
        <v>12000</v>
      </c>
      <c r="B39" s="2">
        <f t="shared" si="0"/>
        <v>9</v>
      </c>
      <c r="C39" s="2">
        <f t="shared" si="1"/>
        <v>5</v>
      </c>
      <c r="D39" s="2">
        <v>0</v>
      </c>
      <c r="E39" s="47">
        <f t="shared" si="12"/>
        <v>13.094236649432494</v>
      </c>
      <c r="G39" s="2">
        <v>12000</v>
      </c>
      <c r="H39" s="2">
        <f t="shared" si="2"/>
        <v>9</v>
      </c>
      <c r="I39" s="2">
        <f t="shared" si="3"/>
        <v>6</v>
      </c>
      <c r="J39" s="2">
        <v>0</v>
      </c>
      <c r="K39" s="47">
        <f t="shared" si="9"/>
        <v>14.344017572410088</v>
      </c>
      <c r="M39" s="2">
        <v>12000</v>
      </c>
      <c r="N39" s="2">
        <f t="shared" si="4"/>
        <v>9</v>
      </c>
      <c r="O39" s="2">
        <f t="shared" si="5"/>
        <v>7</v>
      </c>
      <c r="P39" s="2">
        <v>0</v>
      </c>
      <c r="Q39" s="47">
        <f t="shared" si="10"/>
        <v>15.493309743365923</v>
      </c>
      <c r="S39" s="2">
        <v>12000</v>
      </c>
      <c r="T39" s="2">
        <f t="shared" si="6"/>
        <v>9</v>
      </c>
      <c r="U39" s="2">
        <f t="shared" si="7"/>
        <v>8</v>
      </c>
      <c r="V39" s="2">
        <v>0</v>
      </c>
      <c r="W39" s="47">
        <f t="shared" si="11"/>
        <v>16.563044813383367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5">
      <c r="A40" s="2">
        <v>13000</v>
      </c>
      <c r="B40" s="2">
        <f t="shared" si="0"/>
        <v>9</v>
      </c>
      <c r="C40" s="2">
        <f t="shared" si="1"/>
        <v>5</v>
      </c>
      <c r="D40" s="2">
        <v>0</v>
      </c>
      <c r="E40" s="47">
        <f t="shared" si="12"/>
        <v>15.367541623292301</v>
      </c>
      <c r="G40" s="2">
        <v>13000</v>
      </c>
      <c r="H40" s="2">
        <f t="shared" si="2"/>
        <v>9</v>
      </c>
      <c r="I40" s="2">
        <f t="shared" si="3"/>
        <v>6</v>
      </c>
      <c r="J40" s="2">
        <v>0</v>
      </c>
      <c r="K40" s="47">
        <f t="shared" si="9"/>
        <v>16.834298400953504</v>
      </c>
      <c r="M40" s="2">
        <v>13000</v>
      </c>
      <c r="N40" s="2">
        <f t="shared" si="4"/>
        <v>9</v>
      </c>
      <c r="O40" s="2">
        <f t="shared" si="5"/>
        <v>7</v>
      </c>
      <c r="P40" s="2">
        <v>0</v>
      </c>
      <c r="Q40" s="47">
        <f t="shared" si="10"/>
        <v>18.183120462700284</v>
      </c>
      <c r="S40" s="2">
        <v>13000</v>
      </c>
      <c r="T40" s="2">
        <f t="shared" si="6"/>
        <v>9</v>
      </c>
      <c r="U40" s="2">
        <f t="shared" si="7"/>
        <v>8</v>
      </c>
      <c r="V40" s="2">
        <v>0</v>
      </c>
      <c r="W40" s="47">
        <f t="shared" si="11"/>
        <v>19.438573426817982</v>
      </c>
    </row>
    <row r="42" spans="1:32" x14ac:dyDescent="0.25">
      <c r="A42" s="294" t="s">
        <v>294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</row>
    <row r="43" spans="1:32" x14ac:dyDescent="0.25">
      <c r="A43" s="294"/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Y43" s="142"/>
      <c r="Z43" s="142"/>
      <c r="AA43" s="142"/>
      <c r="AB43" s="142"/>
      <c r="AC43" s="142"/>
      <c r="AD43" s="142"/>
      <c r="AE43" s="142"/>
      <c r="AF43" s="142"/>
    </row>
    <row r="44" spans="1:32" x14ac:dyDescent="0.25">
      <c r="A44" s="292">
        <f>pd_1</f>
        <v>9</v>
      </c>
      <c r="B44" s="293"/>
      <c r="C44" s="125" t="s">
        <v>412</v>
      </c>
      <c r="D44" s="290">
        <f>p_1</f>
        <v>5</v>
      </c>
      <c r="E44" s="291"/>
      <c r="G44" s="292">
        <f>pd_1</f>
        <v>9</v>
      </c>
      <c r="H44" s="293"/>
      <c r="I44" s="125" t="s">
        <v>412</v>
      </c>
      <c r="J44" s="290">
        <f>p_2</f>
        <v>6</v>
      </c>
      <c r="K44" s="291"/>
      <c r="M44" s="292">
        <f>pd_1</f>
        <v>9</v>
      </c>
      <c r="N44" s="293"/>
      <c r="O44" s="125" t="s">
        <v>412</v>
      </c>
      <c r="P44" s="290">
        <f>p_3</f>
        <v>7</v>
      </c>
      <c r="Q44" s="291"/>
      <c r="S44" s="292">
        <f>pd_1</f>
        <v>9</v>
      </c>
      <c r="T44" s="293"/>
      <c r="U44" s="125" t="s">
        <v>412</v>
      </c>
      <c r="V44" s="290">
        <f>p_4</f>
        <v>8</v>
      </c>
      <c r="W44" s="291"/>
      <c r="Y44" s="142"/>
      <c r="Z44" s="142"/>
      <c r="AA44" s="142"/>
      <c r="AB44" s="142"/>
      <c r="AC44" s="142"/>
      <c r="AD44" s="142"/>
      <c r="AE44" s="142"/>
      <c r="AF44" s="142"/>
    </row>
    <row r="45" spans="1:32" x14ac:dyDescent="0.25">
      <c r="A45" s="28" t="s">
        <v>302</v>
      </c>
      <c r="B45" s="28" t="s">
        <v>303</v>
      </c>
      <c r="C45" s="28" t="s">
        <v>299</v>
      </c>
      <c r="D45" s="28" t="s">
        <v>304</v>
      </c>
      <c r="E45" s="28" t="s">
        <v>305</v>
      </c>
      <c r="G45" s="28" t="s">
        <v>302</v>
      </c>
      <c r="H45" s="28" t="s">
        <v>303</v>
      </c>
      <c r="I45" s="28" t="s">
        <v>299</v>
      </c>
      <c r="J45" s="28" t="s">
        <v>304</v>
      </c>
      <c r="K45" s="28" t="s">
        <v>305</v>
      </c>
      <c r="M45" s="28" t="s">
        <v>302</v>
      </c>
      <c r="N45" s="28" t="s">
        <v>303</v>
      </c>
      <c r="O45" s="28" t="s">
        <v>299</v>
      </c>
      <c r="P45" s="28" t="s">
        <v>304</v>
      </c>
      <c r="Q45" s="28" t="s">
        <v>305</v>
      </c>
      <c r="S45" s="28" t="s">
        <v>302</v>
      </c>
      <c r="T45" s="28" t="s">
        <v>303</v>
      </c>
      <c r="U45" s="28" t="s">
        <v>299</v>
      </c>
      <c r="V45" s="28" t="s">
        <v>304</v>
      </c>
      <c r="W45" s="28" t="s">
        <v>305</v>
      </c>
      <c r="Y45" s="142"/>
      <c r="Z45" s="142"/>
      <c r="AA45" s="142"/>
      <c r="AB45" s="142"/>
      <c r="AC45" s="142"/>
      <c r="AD45" s="142"/>
      <c r="AE45" s="142"/>
      <c r="AF45" s="142"/>
    </row>
    <row r="46" spans="1:32" x14ac:dyDescent="0.25">
      <c r="A46" s="2">
        <v>0</v>
      </c>
      <c r="B46" s="2">
        <f t="shared" ref="B46:B59" si="13">pd_1</f>
        <v>9</v>
      </c>
      <c r="C46" s="2">
        <f t="shared" ref="C46:C59" si="14">p_1</f>
        <v>5</v>
      </c>
      <c r="D46" s="2">
        <v>11</v>
      </c>
      <c r="E46" s="47">
        <f>(4.392399*10^-8)*A46*((B46^3.5)/SQRT(C46))*((4.23333*10^-4)*A46*C46-D46)</f>
        <v>0</v>
      </c>
      <c r="G46" s="2">
        <v>0</v>
      </c>
      <c r="H46" s="2">
        <f t="shared" ref="H46:H59" si="15">pd_1</f>
        <v>9</v>
      </c>
      <c r="I46" s="2">
        <f t="shared" ref="I46:I59" si="16">p_2</f>
        <v>6</v>
      </c>
      <c r="J46" s="2">
        <v>11</v>
      </c>
      <c r="K46" s="47">
        <f>(4.392399*10^-8)*G46*((H46^3.5)/SQRT(I46))*((4.23333*10^-4)*G46*I46-J46)</f>
        <v>0</v>
      </c>
      <c r="M46" s="2">
        <v>0</v>
      </c>
      <c r="N46" s="2">
        <f t="shared" ref="N46:N59" si="17">pd_1</f>
        <v>9</v>
      </c>
      <c r="O46" s="2">
        <f t="shared" ref="O46:O59" si="18">p_3</f>
        <v>7</v>
      </c>
      <c r="P46" s="2">
        <v>11</v>
      </c>
      <c r="Q46" s="47">
        <f>(4.392399*10^-8)*M46*((N46^3.5)/SQRT(O46))*((4.23333*10^-4)*M46*O46-P46)</f>
        <v>0</v>
      </c>
      <c r="S46" s="2">
        <v>0</v>
      </c>
      <c r="T46" s="2">
        <f t="shared" ref="T46:T59" si="19">pd_1</f>
        <v>9</v>
      </c>
      <c r="U46" s="2">
        <f t="shared" ref="U46:U59" si="20">p_4</f>
        <v>8</v>
      </c>
      <c r="V46" s="2">
        <v>11</v>
      </c>
      <c r="W46" s="47">
        <f>(4.392399*10^-8)*S46*((T46^3.5)/SQRT(U46))*((4.23333*10^-4)*S46*U46-V46)</f>
        <v>0</v>
      </c>
      <c r="Y46" s="142"/>
      <c r="Z46" s="142"/>
      <c r="AA46" s="142"/>
      <c r="AB46" s="142"/>
      <c r="AC46" s="142"/>
      <c r="AD46" s="142"/>
      <c r="AE46" s="142"/>
      <c r="AF46" s="142"/>
    </row>
    <row r="47" spans="1:32" x14ac:dyDescent="0.25">
      <c r="A47" s="2">
        <v>1000</v>
      </c>
      <c r="B47" s="2">
        <f t="shared" si="13"/>
        <v>9</v>
      </c>
      <c r="C47" s="2">
        <f t="shared" si="14"/>
        <v>5</v>
      </c>
      <c r="D47" s="2">
        <v>11</v>
      </c>
      <c r="E47" s="47">
        <f t="shared" ref="E47:E59" si="21">(4.392399*10^-8)*A47*((B47^3.5)/SQRT(C47))*((4.23333*10^-4)*A47*C47-D47)</f>
        <v>-0.3816292070774151</v>
      </c>
      <c r="G47" s="2">
        <v>1000</v>
      </c>
      <c r="H47" s="2">
        <f t="shared" si="15"/>
        <v>9</v>
      </c>
      <c r="I47" s="2">
        <f t="shared" si="16"/>
        <v>6</v>
      </c>
      <c r="J47" s="2">
        <v>11</v>
      </c>
      <c r="K47" s="47">
        <f t="shared" ref="K47:K59" si="22">(4.392399*10^-8)*G47*((H47^3.5)/SQRT(I47))*((4.23333*10^-4)*G47*I47-J47)</f>
        <v>-0.33177633667489459</v>
      </c>
      <c r="M47" s="2">
        <v>1000</v>
      </c>
      <c r="N47" s="2">
        <f t="shared" si="17"/>
        <v>9</v>
      </c>
      <c r="O47" s="2">
        <f t="shared" si="18"/>
        <v>7</v>
      </c>
      <c r="P47" s="2">
        <v>11</v>
      </c>
      <c r="Q47" s="47">
        <f t="shared" ref="Q47:Q59" si="23">(4.392399*10^-8)*M47*((N47^3.5)/SQRT(O47))*((4.23333*10^-4)*M47*O47-P47)</f>
        <v>-0.29179485415489753</v>
      </c>
      <c r="S47" s="2">
        <v>1000</v>
      </c>
      <c r="T47" s="2">
        <f t="shared" si="19"/>
        <v>9</v>
      </c>
      <c r="U47" s="2">
        <f t="shared" si="20"/>
        <v>8</v>
      </c>
      <c r="V47" s="2">
        <v>11</v>
      </c>
      <c r="W47" s="47">
        <f t="shared" ref="W47:W59" si="24">(4.392399*10^-8)*S47*((T47^3.5)/SQRT(U47))*((4.23333*10^-4)*S47*U47-V47)</f>
        <v>-0.25857144980065133</v>
      </c>
      <c r="Y47" s="142"/>
      <c r="Z47" s="142"/>
      <c r="AA47" s="142"/>
      <c r="AB47" s="142"/>
      <c r="AC47" s="142"/>
      <c r="AD47" s="142"/>
      <c r="AE47" s="142"/>
      <c r="AF47" s="142"/>
    </row>
    <row r="48" spans="1:32" x14ac:dyDescent="0.25">
      <c r="A48" s="2">
        <v>2000</v>
      </c>
      <c r="B48" s="2">
        <f t="shared" si="13"/>
        <v>9</v>
      </c>
      <c r="C48" s="2">
        <f t="shared" si="14"/>
        <v>5</v>
      </c>
      <c r="D48" s="2">
        <v>11</v>
      </c>
      <c r="E48" s="47">
        <f t="shared" si="21"/>
        <v>-0.58139401624604548</v>
      </c>
      <c r="G48" s="2">
        <v>2000</v>
      </c>
      <c r="H48" s="2">
        <f t="shared" si="15"/>
        <v>9</v>
      </c>
      <c r="I48" s="2">
        <f t="shared" si="16"/>
        <v>6</v>
      </c>
      <c r="J48" s="2">
        <v>11</v>
      </c>
      <c r="K48" s="47">
        <f t="shared" si="22"/>
        <v>-0.46433020706631584</v>
      </c>
      <c r="M48" s="2">
        <v>2000</v>
      </c>
      <c r="N48" s="2">
        <f t="shared" si="17"/>
        <v>9</v>
      </c>
      <c r="O48" s="2">
        <f t="shared" si="18"/>
        <v>7</v>
      </c>
      <c r="P48" s="2">
        <v>11</v>
      </c>
      <c r="Q48" s="47">
        <f t="shared" si="23"/>
        <v>-0.36840485076304619</v>
      </c>
      <c r="S48" s="2">
        <v>2000</v>
      </c>
      <c r="T48" s="2">
        <f t="shared" si="19"/>
        <v>9</v>
      </c>
      <c r="U48" s="2">
        <f t="shared" si="20"/>
        <v>8</v>
      </c>
      <c r="V48" s="2">
        <v>11</v>
      </c>
      <c r="W48" s="47">
        <f t="shared" si="24"/>
        <v>-0.28710061052653363</v>
      </c>
      <c r="Y48" s="142"/>
      <c r="Z48" s="142"/>
      <c r="AA48" s="142"/>
      <c r="AB48" s="142"/>
      <c r="AC48" s="142"/>
      <c r="AD48" s="142"/>
      <c r="AE48" s="142"/>
      <c r="AF48" s="142"/>
    </row>
    <row r="49" spans="1:32" x14ac:dyDescent="0.25">
      <c r="A49" s="2">
        <v>3000</v>
      </c>
      <c r="B49" s="2">
        <f t="shared" si="13"/>
        <v>9</v>
      </c>
      <c r="C49" s="2">
        <f t="shared" si="14"/>
        <v>5</v>
      </c>
      <c r="D49" s="2">
        <v>11</v>
      </c>
      <c r="E49" s="47">
        <f t="shared" si="21"/>
        <v>-0.59929442750589124</v>
      </c>
      <c r="G49" s="2">
        <v>3000</v>
      </c>
      <c r="H49" s="2">
        <f t="shared" si="15"/>
        <v>9</v>
      </c>
      <c r="I49" s="2">
        <f t="shared" si="16"/>
        <v>6</v>
      </c>
      <c r="J49" s="2">
        <v>11</v>
      </c>
      <c r="K49" s="47">
        <f t="shared" si="22"/>
        <v>-0.39766161117426363</v>
      </c>
      <c r="M49" s="2">
        <v>3000</v>
      </c>
      <c r="N49" s="2">
        <f t="shared" si="17"/>
        <v>9</v>
      </c>
      <c r="O49" s="2">
        <f t="shared" si="18"/>
        <v>7</v>
      </c>
      <c r="P49" s="2">
        <v>11</v>
      </c>
      <c r="Q49" s="47">
        <f t="shared" si="23"/>
        <v>-0.22982998982444591</v>
      </c>
      <c r="S49" s="2">
        <v>3000</v>
      </c>
      <c r="T49" s="2">
        <f t="shared" si="19"/>
        <v>9</v>
      </c>
      <c r="U49" s="2">
        <f t="shared" si="20"/>
        <v>8</v>
      </c>
      <c r="V49" s="2">
        <v>11</v>
      </c>
      <c r="W49" s="47">
        <f t="shared" si="24"/>
        <v>-8.5587482177646862E-2</v>
      </c>
      <c r="Y49" s="142"/>
      <c r="Z49" s="142"/>
      <c r="AA49" s="142"/>
      <c r="AB49" s="142"/>
      <c r="AC49" s="142"/>
      <c r="AD49" s="142"/>
      <c r="AE49" s="142"/>
      <c r="AF49" s="142"/>
    </row>
    <row r="50" spans="1:32" x14ac:dyDescent="0.25">
      <c r="A50" s="2">
        <v>4000</v>
      </c>
      <c r="B50" s="2">
        <f t="shared" si="13"/>
        <v>9</v>
      </c>
      <c r="C50" s="2">
        <f t="shared" si="14"/>
        <v>5</v>
      </c>
      <c r="D50" s="2">
        <v>11</v>
      </c>
      <c r="E50" s="47">
        <f t="shared" si="21"/>
        <v>-0.43533044085695244</v>
      </c>
      <c r="G50" s="2">
        <v>4000</v>
      </c>
      <c r="H50" s="2">
        <f t="shared" si="15"/>
        <v>9</v>
      </c>
      <c r="I50" s="2">
        <f t="shared" si="16"/>
        <v>6</v>
      </c>
      <c r="J50" s="2">
        <v>11</v>
      </c>
      <c r="K50" s="47">
        <f t="shared" si="22"/>
        <v>-0.13177054899873794</v>
      </c>
      <c r="M50" s="2">
        <v>4000</v>
      </c>
      <c r="N50" s="2">
        <f t="shared" si="17"/>
        <v>9</v>
      </c>
      <c r="O50" s="2">
        <f t="shared" si="18"/>
        <v>7</v>
      </c>
      <c r="P50" s="2">
        <v>11</v>
      </c>
      <c r="Q50" s="47">
        <f t="shared" si="23"/>
        <v>0.12392972866090339</v>
      </c>
      <c r="S50" s="2">
        <v>4000</v>
      </c>
      <c r="T50" s="2">
        <f t="shared" si="19"/>
        <v>9</v>
      </c>
      <c r="U50" s="2">
        <f t="shared" si="20"/>
        <v>8</v>
      </c>
      <c r="V50" s="2">
        <v>11</v>
      </c>
      <c r="W50" s="47">
        <f t="shared" si="24"/>
        <v>0.34596793524600888</v>
      </c>
      <c r="Y50" s="142"/>
      <c r="Z50" s="142"/>
      <c r="AA50" s="142"/>
      <c r="AB50" s="142"/>
      <c r="AC50" s="142"/>
      <c r="AD50" s="142"/>
      <c r="AE50" s="142"/>
      <c r="AF50" s="142"/>
    </row>
    <row r="51" spans="1:32" x14ac:dyDescent="0.25">
      <c r="A51" s="2">
        <v>5000</v>
      </c>
      <c r="B51" s="2">
        <f t="shared" si="13"/>
        <v>9</v>
      </c>
      <c r="C51" s="2">
        <f t="shared" si="14"/>
        <v>5</v>
      </c>
      <c r="D51" s="2">
        <v>11</v>
      </c>
      <c r="E51" s="47">
        <f t="shared" si="21"/>
        <v>-8.9502056299229096E-2</v>
      </c>
      <c r="G51" s="2">
        <v>5000</v>
      </c>
      <c r="H51" s="2">
        <f t="shared" si="15"/>
        <v>9</v>
      </c>
      <c r="I51" s="2">
        <f t="shared" si="16"/>
        <v>6</v>
      </c>
      <c r="J51" s="2">
        <v>11</v>
      </c>
      <c r="K51" s="47">
        <f t="shared" si="22"/>
        <v>0.33334297946026131</v>
      </c>
      <c r="M51" s="2">
        <v>5000</v>
      </c>
      <c r="N51" s="2">
        <f t="shared" si="17"/>
        <v>9</v>
      </c>
      <c r="O51" s="2">
        <f t="shared" si="18"/>
        <v>7</v>
      </c>
      <c r="P51" s="2">
        <v>11</v>
      </c>
      <c r="Q51" s="47">
        <f t="shared" si="23"/>
        <v>0.6928743046930016</v>
      </c>
      <c r="S51" s="2">
        <v>5000</v>
      </c>
      <c r="T51" s="2">
        <f t="shared" si="19"/>
        <v>9</v>
      </c>
      <c r="U51" s="2">
        <f t="shared" si="20"/>
        <v>8</v>
      </c>
      <c r="V51" s="2">
        <v>11</v>
      </c>
      <c r="W51" s="47">
        <f t="shared" si="24"/>
        <v>1.0075656417444336</v>
      </c>
      <c r="Y51" s="142"/>
      <c r="Z51" s="142"/>
      <c r="AA51" s="142"/>
      <c r="AB51" s="142"/>
      <c r="AC51" s="142"/>
      <c r="AD51" s="142"/>
      <c r="AE51" s="142"/>
      <c r="AF51" s="142"/>
    </row>
    <row r="52" spans="1:32" x14ac:dyDescent="0.25">
      <c r="A52" s="2">
        <v>6000</v>
      </c>
      <c r="B52" s="2">
        <f t="shared" si="13"/>
        <v>9</v>
      </c>
      <c r="C52" s="2">
        <f t="shared" si="14"/>
        <v>5</v>
      </c>
      <c r="D52" s="2">
        <v>11</v>
      </c>
      <c r="E52" s="47">
        <f t="shared" si="21"/>
        <v>0.43819072616727933</v>
      </c>
      <c r="G52" s="2">
        <v>6000</v>
      </c>
      <c r="H52" s="2">
        <f t="shared" si="15"/>
        <v>9</v>
      </c>
      <c r="I52" s="2">
        <f t="shared" si="16"/>
        <v>6</v>
      </c>
      <c r="J52" s="2">
        <v>11</v>
      </c>
      <c r="K52" s="47">
        <f t="shared" si="22"/>
        <v>0.99767897420273377</v>
      </c>
      <c r="M52" s="2">
        <v>6000</v>
      </c>
      <c r="N52" s="2">
        <f t="shared" si="17"/>
        <v>9</v>
      </c>
      <c r="O52" s="2">
        <f t="shared" si="18"/>
        <v>7</v>
      </c>
      <c r="P52" s="2">
        <v>11</v>
      </c>
      <c r="Q52" s="47">
        <f t="shared" si="23"/>
        <v>1.4770037382718486</v>
      </c>
      <c r="S52" s="2">
        <v>6000</v>
      </c>
      <c r="T52" s="2">
        <f t="shared" si="19"/>
        <v>9</v>
      </c>
      <c r="U52" s="2">
        <f t="shared" si="20"/>
        <v>8</v>
      </c>
      <c r="V52" s="2">
        <v>11</v>
      </c>
      <c r="W52" s="47">
        <f t="shared" si="24"/>
        <v>1.8992056373176274</v>
      </c>
      <c r="Y52" s="142"/>
      <c r="Z52" s="142"/>
      <c r="AA52" s="142"/>
      <c r="AB52" s="142"/>
      <c r="AC52" s="142"/>
      <c r="AD52" s="142"/>
      <c r="AE52" s="142"/>
      <c r="AF52" s="142"/>
    </row>
    <row r="53" spans="1:32" x14ac:dyDescent="0.25">
      <c r="A53" s="2">
        <v>7000</v>
      </c>
      <c r="B53" s="2">
        <f t="shared" si="13"/>
        <v>9</v>
      </c>
      <c r="C53" s="2">
        <f t="shared" si="14"/>
        <v>5</v>
      </c>
      <c r="D53" s="2">
        <v>11</v>
      </c>
      <c r="E53" s="47">
        <f t="shared" si="21"/>
        <v>1.1477479065425717</v>
      </c>
      <c r="G53" s="2">
        <v>7000</v>
      </c>
      <c r="H53" s="2">
        <f t="shared" si="15"/>
        <v>9</v>
      </c>
      <c r="I53" s="2">
        <f t="shared" si="16"/>
        <v>6</v>
      </c>
      <c r="J53" s="2">
        <v>11</v>
      </c>
      <c r="K53" s="47">
        <f t="shared" si="22"/>
        <v>1.8612374352286793</v>
      </c>
      <c r="M53" s="2">
        <v>7000</v>
      </c>
      <c r="N53" s="2">
        <f t="shared" si="17"/>
        <v>9</v>
      </c>
      <c r="O53" s="2">
        <f t="shared" si="18"/>
        <v>7</v>
      </c>
      <c r="P53" s="2">
        <v>11</v>
      </c>
      <c r="Q53" s="47">
        <f t="shared" si="23"/>
        <v>2.4763180293974445</v>
      </c>
      <c r="S53" s="2">
        <v>7000</v>
      </c>
      <c r="T53" s="2">
        <f t="shared" si="19"/>
        <v>9</v>
      </c>
      <c r="U53" s="2">
        <f t="shared" si="20"/>
        <v>8</v>
      </c>
      <c r="V53" s="2">
        <v>11</v>
      </c>
      <c r="W53" s="47">
        <f t="shared" si="24"/>
        <v>3.0208879219655898</v>
      </c>
      <c r="Y53" s="142"/>
      <c r="Z53" s="142"/>
      <c r="AA53" s="142"/>
      <c r="AB53" s="142"/>
      <c r="AC53" s="142"/>
      <c r="AD53" s="142"/>
      <c r="AE53" s="142"/>
      <c r="AF53" s="142"/>
    </row>
    <row r="54" spans="1:32" x14ac:dyDescent="0.25">
      <c r="A54" s="2">
        <v>8000</v>
      </c>
      <c r="B54" s="2">
        <f t="shared" si="13"/>
        <v>9</v>
      </c>
      <c r="C54" s="2">
        <f t="shared" si="14"/>
        <v>5</v>
      </c>
      <c r="D54" s="2">
        <v>11</v>
      </c>
      <c r="E54" s="47">
        <f t="shared" si="21"/>
        <v>2.0391694848266493</v>
      </c>
      <c r="G54" s="2">
        <v>8000</v>
      </c>
      <c r="H54" s="2">
        <f t="shared" si="15"/>
        <v>9</v>
      </c>
      <c r="I54" s="2">
        <f t="shared" si="16"/>
        <v>6</v>
      </c>
      <c r="J54" s="2">
        <v>11</v>
      </c>
      <c r="K54" s="47">
        <f t="shared" si="22"/>
        <v>2.9240183625380993</v>
      </c>
      <c r="M54" s="2">
        <v>8000</v>
      </c>
      <c r="N54" s="2">
        <f t="shared" si="17"/>
        <v>9</v>
      </c>
      <c r="O54" s="2">
        <f t="shared" si="18"/>
        <v>7</v>
      </c>
      <c r="P54" s="2">
        <v>11</v>
      </c>
      <c r="Q54" s="47">
        <f t="shared" si="23"/>
        <v>3.6908171780697896</v>
      </c>
      <c r="S54" s="2">
        <v>8000</v>
      </c>
      <c r="T54" s="2">
        <f t="shared" si="19"/>
        <v>9</v>
      </c>
      <c r="U54" s="2">
        <f t="shared" si="20"/>
        <v>8</v>
      </c>
      <c r="V54" s="2">
        <v>11</v>
      </c>
      <c r="W54" s="47">
        <f t="shared" si="24"/>
        <v>4.3726124956883226</v>
      </c>
      <c r="Y54" s="142"/>
      <c r="Z54" s="142"/>
      <c r="AA54" s="142"/>
      <c r="AB54" s="142"/>
      <c r="AC54" s="142"/>
      <c r="AD54" s="142"/>
      <c r="AE54" s="142"/>
      <c r="AF54" s="142"/>
    </row>
    <row r="55" spans="1:32" x14ac:dyDescent="0.25">
      <c r="A55" s="2">
        <v>9000</v>
      </c>
      <c r="B55" s="2">
        <f t="shared" si="13"/>
        <v>9</v>
      </c>
      <c r="C55" s="2">
        <f t="shared" si="14"/>
        <v>5</v>
      </c>
      <c r="D55" s="2">
        <v>11</v>
      </c>
      <c r="E55" s="47">
        <f t="shared" si="21"/>
        <v>3.1124554610195116</v>
      </c>
      <c r="G55" s="2">
        <v>9000</v>
      </c>
      <c r="H55" s="2">
        <f t="shared" si="15"/>
        <v>9</v>
      </c>
      <c r="I55" s="2">
        <f t="shared" si="16"/>
        <v>6</v>
      </c>
      <c r="J55" s="2">
        <v>11</v>
      </c>
      <c r="K55" s="47">
        <f t="shared" si="22"/>
        <v>4.1860217561309918</v>
      </c>
      <c r="M55" s="2">
        <v>9000</v>
      </c>
      <c r="N55" s="2">
        <f t="shared" si="17"/>
        <v>9</v>
      </c>
      <c r="O55" s="2">
        <f t="shared" si="18"/>
        <v>7</v>
      </c>
      <c r="P55" s="2">
        <v>11</v>
      </c>
      <c r="Q55" s="47">
        <f t="shared" si="23"/>
        <v>5.1205011842888837</v>
      </c>
      <c r="S55" s="2">
        <v>9000</v>
      </c>
      <c r="T55" s="2">
        <f t="shared" si="19"/>
        <v>9</v>
      </c>
      <c r="U55" s="2">
        <f t="shared" si="20"/>
        <v>8</v>
      </c>
      <c r="V55" s="2">
        <v>11</v>
      </c>
      <c r="W55" s="47">
        <f t="shared" si="24"/>
        <v>5.9543793584858227</v>
      </c>
      <c r="Y55" s="142"/>
      <c r="Z55" s="142"/>
      <c r="AA55" s="142"/>
      <c r="AB55" s="142"/>
      <c r="AC55" s="142"/>
      <c r="AD55" s="142"/>
      <c r="AE55" s="142"/>
      <c r="AF55" s="142"/>
    </row>
    <row r="56" spans="1:32" x14ac:dyDescent="0.25">
      <c r="A56" s="2">
        <v>10000</v>
      </c>
      <c r="B56" s="2">
        <f t="shared" si="13"/>
        <v>9</v>
      </c>
      <c r="C56" s="2">
        <f t="shared" si="14"/>
        <v>5</v>
      </c>
      <c r="D56" s="2">
        <v>11</v>
      </c>
      <c r="E56" s="47">
        <f t="shared" si="21"/>
        <v>4.3676058351211573</v>
      </c>
      <c r="G56" s="2">
        <v>10000</v>
      </c>
      <c r="H56" s="2">
        <f t="shared" si="15"/>
        <v>9</v>
      </c>
      <c r="I56" s="2">
        <f t="shared" si="16"/>
        <v>6</v>
      </c>
      <c r="J56" s="2">
        <v>11</v>
      </c>
      <c r="K56" s="47">
        <f t="shared" si="22"/>
        <v>5.6472476160073581</v>
      </c>
      <c r="M56" s="2">
        <v>10000</v>
      </c>
      <c r="N56" s="2">
        <f t="shared" si="17"/>
        <v>9</v>
      </c>
      <c r="O56" s="2">
        <f t="shared" si="18"/>
        <v>7</v>
      </c>
      <c r="P56" s="2">
        <v>11</v>
      </c>
      <c r="Q56" s="47">
        <f t="shared" si="23"/>
        <v>6.7653700480547263</v>
      </c>
      <c r="S56" s="2">
        <v>10000</v>
      </c>
      <c r="T56" s="2">
        <f t="shared" si="19"/>
        <v>9</v>
      </c>
      <c r="U56" s="2">
        <f t="shared" si="20"/>
        <v>8</v>
      </c>
      <c r="V56" s="2">
        <v>11</v>
      </c>
      <c r="W56" s="47">
        <f t="shared" si="24"/>
        <v>7.7661885103580923</v>
      </c>
      <c r="Y56" s="142"/>
      <c r="Z56" s="142"/>
      <c r="AA56" s="142"/>
      <c r="AB56" s="142"/>
      <c r="AC56" s="142"/>
      <c r="AD56" s="142"/>
      <c r="AE56" s="142"/>
      <c r="AF56" s="142"/>
    </row>
    <row r="57" spans="1:32" x14ac:dyDescent="0.25">
      <c r="A57" s="2">
        <v>11000</v>
      </c>
      <c r="B57" s="2">
        <f t="shared" si="13"/>
        <v>9</v>
      </c>
      <c r="C57" s="2">
        <f t="shared" si="14"/>
        <v>5</v>
      </c>
      <c r="D57" s="2">
        <v>11</v>
      </c>
      <c r="E57" s="47">
        <f t="shared" si="21"/>
        <v>5.8046206071315902</v>
      </c>
      <c r="G57" s="2">
        <v>11000</v>
      </c>
      <c r="H57" s="2">
        <f t="shared" si="15"/>
        <v>9</v>
      </c>
      <c r="I57" s="2">
        <f t="shared" si="16"/>
        <v>6</v>
      </c>
      <c r="J57" s="2">
        <v>11</v>
      </c>
      <c r="K57" s="47">
        <f t="shared" si="22"/>
        <v>7.3076959421671992</v>
      </c>
      <c r="M57" s="2">
        <v>11000</v>
      </c>
      <c r="N57" s="2">
        <f t="shared" si="17"/>
        <v>9</v>
      </c>
      <c r="O57" s="2">
        <f t="shared" si="18"/>
        <v>7</v>
      </c>
      <c r="P57" s="2">
        <v>11</v>
      </c>
      <c r="Q57" s="47">
        <f t="shared" si="23"/>
        <v>8.6254237693673197</v>
      </c>
      <c r="S57" s="2">
        <v>11000</v>
      </c>
      <c r="T57" s="2">
        <f t="shared" si="19"/>
        <v>9</v>
      </c>
      <c r="U57" s="2">
        <f t="shared" si="20"/>
        <v>8</v>
      </c>
      <c r="V57" s="2">
        <v>11</v>
      </c>
      <c r="W57" s="47">
        <f t="shared" si="24"/>
        <v>9.8080399513051333</v>
      </c>
      <c r="Y57" s="142"/>
      <c r="Z57" s="142"/>
      <c r="AA57" s="142"/>
      <c r="AB57" s="142"/>
      <c r="AC57" s="142"/>
      <c r="AD57" s="142"/>
      <c r="AE57" s="142"/>
      <c r="AF57" s="142"/>
    </row>
    <row r="58" spans="1:32" x14ac:dyDescent="0.25">
      <c r="A58" s="2">
        <v>12000</v>
      </c>
      <c r="B58" s="2">
        <f t="shared" si="13"/>
        <v>9</v>
      </c>
      <c r="C58" s="2">
        <f t="shared" si="14"/>
        <v>5</v>
      </c>
      <c r="D58" s="2">
        <v>11</v>
      </c>
      <c r="E58" s="47">
        <f t="shared" si="21"/>
        <v>7.4234997770508064</v>
      </c>
      <c r="G58" s="2">
        <v>12000</v>
      </c>
      <c r="H58" s="2">
        <f t="shared" si="15"/>
        <v>9</v>
      </c>
      <c r="I58" s="2">
        <f t="shared" si="16"/>
        <v>6</v>
      </c>
      <c r="J58" s="2">
        <v>11</v>
      </c>
      <c r="K58" s="47">
        <f t="shared" si="22"/>
        <v>9.1673667346105123</v>
      </c>
      <c r="M58" s="2">
        <v>12000</v>
      </c>
      <c r="N58" s="2">
        <f t="shared" si="17"/>
        <v>9</v>
      </c>
      <c r="O58" s="2">
        <f t="shared" si="18"/>
        <v>7</v>
      </c>
      <c r="P58" s="2">
        <v>11</v>
      </c>
      <c r="Q58" s="47">
        <f t="shared" si="23"/>
        <v>10.700662348226659</v>
      </c>
      <c r="S58" s="2">
        <v>12000</v>
      </c>
      <c r="T58" s="2">
        <f t="shared" si="19"/>
        <v>9</v>
      </c>
      <c r="U58" s="2">
        <f t="shared" si="20"/>
        <v>8</v>
      </c>
      <c r="V58" s="2">
        <v>11</v>
      </c>
      <c r="W58" s="47">
        <f t="shared" si="24"/>
        <v>12.079933681326938</v>
      </c>
    </row>
    <row r="59" spans="1:32" x14ac:dyDescent="0.25">
      <c r="A59" s="2">
        <v>13000</v>
      </c>
      <c r="B59" s="2">
        <f t="shared" si="13"/>
        <v>9</v>
      </c>
      <c r="C59" s="2">
        <f t="shared" si="14"/>
        <v>5</v>
      </c>
      <c r="D59" s="2">
        <v>11</v>
      </c>
      <c r="E59" s="47">
        <f t="shared" si="21"/>
        <v>9.2242433448788059</v>
      </c>
      <c r="G59" s="2">
        <v>13000</v>
      </c>
      <c r="H59" s="2">
        <f t="shared" si="15"/>
        <v>9</v>
      </c>
      <c r="I59" s="2">
        <f t="shared" si="16"/>
        <v>6</v>
      </c>
      <c r="J59" s="2">
        <v>11</v>
      </c>
      <c r="K59" s="47">
        <f t="shared" si="22"/>
        <v>11.226259993337296</v>
      </c>
      <c r="M59" s="2">
        <v>13000</v>
      </c>
      <c r="N59" s="2">
        <f t="shared" si="17"/>
        <v>9</v>
      </c>
      <c r="O59" s="2">
        <f t="shared" si="18"/>
        <v>7</v>
      </c>
      <c r="P59" s="2">
        <v>11</v>
      </c>
      <c r="Q59" s="47">
        <f t="shared" si="23"/>
        <v>12.99108578463275</v>
      </c>
      <c r="S59" s="2">
        <v>13000</v>
      </c>
      <c r="T59" s="2">
        <f t="shared" si="19"/>
        <v>9</v>
      </c>
      <c r="U59" s="2">
        <f t="shared" si="20"/>
        <v>8</v>
      </c>
      <c r="V59" s="2">
        <v>11</v>
      </c>
      <c r="W59" s="47">
        <f t="shared" si="24"/>
        <v>14.581869700423518</v>
      </c>
    </row>
    <row r="61" spans="1:32" x14ac:dyDescent="0.25">
      <c r="A61" s="294" t="s">
        <v>306</v>
      </c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</row>
    <row r="62" spans="1:32" x14ac:dyDescent="0.25">
      <c r="A62" s="294"/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Y62" s="142"/>
      <c r="Z62" s="142"/>
      <c r="AA62" s="142"/>
      <c r="AB62" s="142"/>
      <c r="AC62" s="142"/>
      <c r="AD62" s="142"/>
      <c r="AE62" s="142"/>
      <c r="AF62" s="142"/>
    </row>
    <row r="63" spans="1:32" x14ac:dyDescent="0.25">
      <c r="A63" s="292">
        <f>pd_2</f>
        <v>10</v>
      </c>
      <c r="B63" s="293"/>
      <c r="C63" s="125" t="s">
        <v>412</v>
      </c>
      <c r="D63" s="290">
        <f>p_5</f>
        <v>5</v>
      </c>
      <c r="E63" s="291"/>
      <c r="G63" s="292">
        <f>pd_2</f>
        <v>10</v>
      </c>
      <c r="H63" s="293"/>
      <c r="I63" s="125" t="s">
        <v>412</v>
      </c>
      <c r="J63" s="290">
        <f>p_6</f>
        <v>6</v>
      </c>
      <c r="K63" s="291"/>
      <c r="M63" s="292">
        <f>pd_2</f>
        <v>10</v>
      </c>
      <c r="N63" s="293"/>
      <c r="O63" s="125" t="s">
        <v>412</v>
      </c>
      <c r="P63" s="290">
        <f>p_7</f>
        <v>7</v>
      </c>
      <c r="Q63" s="291"/>
      <c r="S63" s="292">
        <f>pd_2</f>
        <v>10</v>
      </c>
      <c r="T63" s="293"/>
      <c r="U63" s="125" t="s">
        <v>412</v>
      </c>
      <c r="V63" s="290">
        <f>p_8</f>
        <v>8</v>
      </c>
      <c r="W63" s="291"/>
      <c r="Y63" s="142"/>
      <c r="Z63" s="142"/>
      <c r="AA63" s="142"/>
      <c r="AB63" s="142"/>
      <c r="AC63" s="142"/>
      <c r="AD63" s="142"/>
      <c r="AE63" s="142"/>
      <c r="AF63" s="142"/>
    </row>
    <row r="64" spans="1:32" x14ac:dyDescent="0.25">
      <c r="A64" s="28" t="s">
        <v>302</v>
      </c>
      <c r="B64" s="28" t="s">
        <v>303</v>
      </c>
      <c r="C64" s="28" t="s">
        <v>299</v>
      </c>
      <c r="D64" s="28" t="s">
        <v>304</v>
      </c>
      <c r="E64" s="28" t="s">
        <v>305</v>
      </c>
      <c r="G64" s="28" t="s">
        <v>302</v>
      </c>
      <c r="H64" s="28" t="s">
        <v>303</v>
      </c>
      <c r="I64" s="28" t="s">
        <v>299</v>
      </c>
      <c r="J64" s="28" t="s">
        <v>304</v>
      </c>
      <c r="K64" s="28" t="s">
        <v>305</v>
      </c>
      <c r="M64" s="28" t="s">
        <v>302</v>
      </c>
      <c r="N64" s="28" t="s">
        <v>303</v>
      </c>
      <c r="O64" s="28" t="s">
        <v>299</v>
      </c>
      <c r="P64" s="28" t="s">
        <v>304</v>
      </c>
      <c r="Q64" s="28" t="s">
        <v>305</v>
      </c>
      <c r="S64" s="28" t="s">
        <v>302</v>
      </c>
      <c r="T64" s="28" t="s">
        <v>303</v>
      </c>
      <c r="U64" s="28" t="s">
        <v>299</v>
      </c>
      <c r="V64" s="28" t="s">
        <v>304</v>
      </c>
      <c r="W64" s="28" t="s">
        <v>305</v>
      </c>
      <c r="Y64" s="142"/>
      <c r="Z64" s="142"/>
      <c r="AA64" s="142"/>
      <c r="AB64" s="142"/>
      <c r="AC64" s="142"/>
      <c r="AD64" s="142"/>
      <c r="AE64" s="142"/>
      <c r="AF64" s="142"/>
    </row>
    <row r="65" spans="1:32" x14ac:dyDescent="0.25">
      <c r="A65" s="2">
        <v>0</v>
      </c>
      <c r="B65" s="2">
        <f t="shared" ref="B65:B78" si="25">pd_2</f>
        <v>10</v>
      </c>
      <c r="C65" s="2">
        <f t="shared" ref="C65:C78" si="26">p_5</f>
        <v>5</v>
      </c>
      <c r="D65" s="2">
        <v>0</v>
      </c>
      <c r="E65" s="47">
        <f>(4.392399*10^-8)*A65*((B65^3.5)/SQRT(C65))*((4.23333*10^-4)*A65*C65-D65)</f>
        <v>0</v>
      </c>
      <c r="G65" s="2">
        <v>0</v>
      </c>
      <c r="H65" s="2">
        <f t="shared" ref="H65:H78" si="27">pd_2</f>
        <v>10</v>
      </c>
      <c r="I65" s="2">
        <f t="shared" ref="I65:I78" si="28">p_6</f>
        <v>6</v>
      </c>
      <c r="J65" s="2">
        <v>0</v>
      </c>
      <c r="K65" s="47">
        <f>(4.392399*10^-8)*G65*((H65^3.5)/SQRT(I65))*((4.23333*10^-4)*G65*I65-J65)</f>
        <v>0</v>
      </c>
      <c r="M65" s="2">
        <v>0</v>
      </c>
      <c r="N65" s="2">
        <f t="shared" ref="N65:N78" si="29">pd_2</f>
        <v>10</v>
      </c>
      <c r="O65" s="2">
        <f t="shared" ref="O65:O78" si="30">p_7</f>
        <v>7</v>
      </c>
      <c r="P65" s="2">
        <v>0</v>
      </c>
      <c r="Q65" s="47">
        <f>(4.392399*10^-8)*M65*((N65^3.5)/SQRT(O65))*((4.23333*10^-4)*M65*O65-P65)</f>
        <v>0</v>
      </c>
      <c r="S65" s="2">
        <v>0</v>
      </c>
      <c r="T65" s="2">
        <f t="shared" ref="T65:T78" si="31">pd_2</f>
        <v>10</v>
      </c>
      <c r="U65" s="2">
        <f t="shared" ref="U65:U78" si="32">p_8</f>
        <v>8</v>
      </c>
      <c r="V65" s="2">
        <v>0</v>
      </c>
      <c r="W65" s="47">
        <f>(4.392399*10^-8)*S65*((T65^3.5)/SQRT(U65))*((4.23333*10^-4)*S65*U65-V65)</f>
        <v>0</v>
      </c>
      <c r="Y65" s="142"/>
      <c r="Z65" s="142"/>
      <c r="AA65" s="142"/>
      <c r="AB65" s="142"/>
      <c r="AC65" s="142"/>
      <c r="AD65" s="142"/>
      <c r="AE65" s="142"/>
      <c r="AF65" s="142"/>
    </row>
    <row r="66" spans="1:32" x14ac:dyDescent="0.25">
      <c r="A66" s="2">
        <v>1000</v>
      </c>
      <c r="B66" s="2">
        <f t="shared" si="25"/>
        <v>10</v>
      </c>
      <c r="C66" s="2">
        <f t="shared" si="26"/>
        <v>5</v>
      </c>
      <c r="D66" s="2">
        <v>0</v>
      </c>
      <c r="E66" s="47">
        <f t="shared" ref="E66:E78" si="33">(4.392399*10^-8)*A66*((B66^3.5)/SQRT(C66))*((4.23333*10^-4)*A66*C66-D66)</f>
        <v>0.13148278982325617</v>
      </c>
      <c r="G66" s="2">
        <v>1000</v>
      </c>
      <c r="H66" s="2">
        <f t="shared" si="27"/>
        <v>10</v>
      </c>
      <c r="I66" s="2">
        <f t="shared" si="28"/>
        <v>6</v>
      </c>
      <c r="J66" s="2">
        <v>0</v>
      </c>
      <c r="K66" s="47">
        <f t="shared" ref="K66:K78" si="34">(4.392399*10^-8)*G66*((H66^3.5)/SQRT(I66))*((4.23333*10^-4)*G66*I66-J66)</f>
        <v>0.14403217981981623</v>
      </c>
      <c r="M66" s="2">
        <v>1000</v>
      </c>
      <c r="N66" s="2">
        <f t="shared" si="29"/>
        <v>10</v>
      </c>
      <c r="O66" s="2">
        <f t="shared" si="30"/>
        <v>7</v>
      </c>
      <c r="P66" s="2">
        <v>0</v>
      </c>
      <c r="Q66" s="47">
        <f t="shared" ref="Q66:Q78" si="35">(4.392399*10^-8)*M66*((N66^3.5)/SQRT(O66))*((4.23333*10^-4)*M66*O66-P66)</f>
        <v>0.15557253493978035</v>
      </c>
      <c r="S66" s="2">
        <v>1000</v>
      </c>
      <c r="T66" s="2">
        <f t="shared" si="31"/>
        <v>10</v>
      </c>
      <c r="U66" s="2">
        <f t="shared" si="32"/>
        <v>8</v>
      </c>
      <c r="V66" s="2">
        <v>0</v>
      </c>
      <c r="W66" s="47">
        <f t="shared" ref="W66:W78" si="36">(4.392399*10^-8)*S66*((T66^3.5)/SQRT(U66))*((4.23333*10^-4)*S66*U66-V66)</f>
        <v>0.16631403558187891</v>
      </c>
      <c r="Y66" s="142"/>
      <c r="Z66" s="142"/>
      <c r="AA66" s="142"/>
      <c r="AB66" s="142"/>
      <c r="AC66" s="142"/>
      <c r="AD66" s="142"/>
      <c r="AE66" s="142"/>
      <c r="AF66" s="142"/>
    </row>
    <row r="67" spans="1:32" x14ac:dyDescent="0.25">
      <c r="A67" s="2">
        <v>2000</v>
      </c>
      <c r="B67" s="2">
        <f t="shared" si="25"/>
        <v>10</v>
      </c>
      <c r="C67" s="2">
        <f t="shared" si="26"/>
        <v>5</v>
      </c>
      <c r="D67" s="2">
        <v>0</v>
      </c>
      <c r="E67" s="47">
        <f t="shared" si="33"/>
        <v>0.5259311592930247</v>
      </c>
      <c r="G67" s="2">
        <v>2000</v>
      </c>
      <c r="H67" s="2">
        <f t="shared" si="27"/>
        <v>10</v>
      </c>
      <c r="I67" s="2">
        <f t="shared" si="28"/>
        <v>6</v>
      </c>
      <c r="J67" s="2">
        <v>0</v>
      </c>
      <c r="K67" s="47">
        <f t="shared" si="34"/>
        <v>0.5761287192792649</v>
      </c>
      <c r="M67" s="2">
        <v>2000</v>
      </c>
      <c r="N67" s="2">
        <f t="shared" si="29"/>
        <v>10</v>
      </c>
      <c r="O67" s="2">
        <f t="shared" si="30"/>
        <v>7</v>
      </c>
      <c r="P67" s="2">
        <v>0</v>
      </c>
      <c r="Q67" s="47">
        <f t="shared" si="35"/>
        <v>0.6222901397591214</v>
      </c>
      <c r="S67" s="2">
        <v>2000</v>
      </c>
      <c r="T67" s="2">
        <f t="shared" si="31"/>
        <v>10</v>
      </c>
      <c r="U67" s="2">
        <f t="shared" si="32"/>
        <v>8</v>
      </c>
      <c r="V67" s="2">
        <v>0</v>
      </c>
      <c r="W67" s="47">
        <f t="shared" si="36"/>
        <v>0.66525614232751562</v>
      </c>
      <c r="Y67" s="142"/>
      <c r="Z67" s="142"/>
      <c r="AA67" s="142"/>
      <c r="AB67" s="142"/>
      <c r="AC67" s="142"/>
      <c r="AD67" s="142"/>
      <c r="AE67" s="142"/>
      <c r="AF67" s="142"/>
    </row>
    <row r="68" spans="1:32" x14ac:dyDescent="0.25">
      <c r="A68" s="2">
        <v>3000</v>
      </c>
      <c r="B68" s="2">
        <f t="shared" si="25"/>
        <v>10</v>
      </c>
      <c r="C68" s="2">
        <f t="shared" si="26"/>
        <v>5</v>
      </c>
      <c r="D68" s="2">
        <v>0</v>
      </c>
      <c r="E68" s="47">
        <f t="shared" si="33"/>
        <v>1.1833451084093056</v>
      </c>
      <c r="G68" s="2">
        <v>3000</v>
      </c>
      <c r="H68" s="2">
        <f t="shared" si="27"/>
        <v>10</v>
      </c>
      <c r="I68" s="2">
        <f t="shared" si="28"/>
        <v>6</v>
      </c>
      <c r="J68" s="2">
        <v>0</v>
      </c>
      <c r="K68" s="47">
        <f t="shared" si="34"/>
        <v>1.2962896183783461</v>
      </c>
      <c r="M68" s="2">
        <v>3000</v>
      </c>
      <c r="N68" s="2">
        <f t="shared" si="29"/>
        <v>10</v>
      </c>
      <c r="O68" s="2">
        <f t="shared" si="30"/>
        <v>7</v>
      </c>
      <c r="P68" s="2">
        <v>0</v>
      </c>
      <c r="Q68" s="47">
        <f t="shared" si="35"/>
        <v>1.4001528144580231</v>
      </c>
      <c r="S68" s="2">
        <v>3000</v>
      </c>
      <c r="T68" s="2">
        <f t="shared" si="31"/>
        <v>10</v>
      </c>
      <c r="U68" s="2">
        <f t="shared" si="32"/>
        <v>8</v>
      </c>
      <c r="V68" s="2">
        <v>0</v>
      </c>
      <c r="W68" s="47">
        <f t="shared" si="36"/>
        <v>1.4968263202369105</v>
      </c>
      <c r="Y68" s="142"/>
      <c r="Z68" s="142"/>
      <c r="AA68" s="142"/>
      <c r="AB68" s="142"/>
      <c r="AC68" s="142"/>
      <c r="AD68" s="142"/>
      <c r="AE68" s="142"/>
      <c r="AF68" s="142"/>
    </row>
    <row r="69" spans="1:32" x14ac:dyDescent="0.25">
      <c r="A69" s="2">
        <v>4000</v>
      </c>
      <c r="B69" s="2">
        <f t="shared" si="25"/>
        <v>10</v>
      </c>
      <c r="C69" s="2">
        <f t="shared" si="26"/>
        <v>5</v>
      </c>
      <c r="D69" s="2">
        <v>0</v>
      </c>
      <c r="E69" s="47">
        <f t="shared" si="33"/>
        <v>2.1037246371720988</v>
      </c>
      <c r="G69" s="2">
        <v>4000</v>
      </c>
      <c r="H69" s="2">
        <f t="shared" si="27"/>
        <v>10</v>
      </c>
      <c r="I69" s="2">
        <f t="shared" si="28"/>
        <v>6</v>
      </c>
      <c r="J69" s="2">
        <v>0</v>
      </c>
      <c r="K69" s="47">
        <f t="shared" si="34"/>
        <v>2.3045148771170596</v>
      </c>
      <c r="M69" s="2">
        <v>4000</v>
      </c>
      <c r="N69" s="2">
        <f t="shared" si="29"/>
        <v>10</v>
      </c>
      <c r="O69" s="2">
        <f t="shared" si="30"/>
        <v>7</v>
      </c>
      <c r="P69" s="2">
        <v>0</v>
      </c>
      <c r="Q69" s="47">
        <f t="shared" si="35"/>
        <v>2.4891605590364856</v>
      </c>
      <c r="S69" s="2">
        <v>4000</v>
      </c>
      <c r="T69" s="2">
        <f t="shared" si="31"/>
        <v>10</v>
      </c>
      <c r="U69" s="2">
        <f t="shared" si="32"/>
        <v>8</v>
      </c>
      <c r="V69" s="2">
        <v>0</v>
      </c>
      <c r="W69" s="47">
        <f t="shared" si="36"/>
        <v>2.6610245693100625</v>
      </c>
      <c r="Y69" s="142"/>
      <c r="Z69" s="142"/>
      <c r="AA69" s="142"/>
      <c r="AB69" s="142"/>
      <c r="AC69" s="142"/>
      <c r="AD69" s="142"/>
      <c r="AE69" s="142"/>
      <c r="AF69" s="142"/>
    </row>
    <row r="70" spans="1:32" x14ac:dyDescent="0.25">
      <c r="A70" s="2">
        <v>5000</v>
      </c>
      <c r="B70" s="2">
        <f t="shared" si="25"/>
        <v>10</v>
      </c>
      <c r="C70" s="2">
        <f t="shared" si="26"/>
        <v>5</v>
      </c>
      <c r="D70" s="2">
        <v>0</v>
      </c>
      <c r="E70" s="47">
        <f t="shared" si="33"/>
        <v>3.2870697455814044</v>
      </c>
      <c r="G70" s="2">
        <v>5000</v>
      </c>
      <c r="H70" s="2">
        <f t="shared" si="27"/>
        <v>10</v>
      </c>
      <c r="I70" s="2">
        <f t="shared" si="28"/>
        <v>6</v>
      </c>
      <c r="J70" s="2">
        <v>0</v>
      </c>
      <c r="K70" s="47">
        <f t="shared" si="34"/>
        <v>3.6008044954954057</v>
      </c>
      <c r="M70" s="2">
        <v>5000</v>
      </c>
      <c r="N70" s="2">
        <f t="shared" si="29"/>
        <v>10</v>
      </c>
      <c r="O70" s="2">
        <f t="shared" si="30"/>
        <v>7</v>
      </c>
      <c r="P70" s="2">
        <v>0</v>
      </c>
      <c r="Q70" s="47">
        <f t="shared" si="35"/>
        <v>3.8893133734945087</v>
      </c>
      <c r="S70" s="2">
        <v>5000</v>
      </c>
      <c r="T70" s="2">
        <f t="shared" si="31"/>
        <v>10</v>
      </c>
      <c r="U70" s="2">
        <f t="shared" si="32"/>
        <v>8</v>
      </c>
      <c r="V70" s="2">
        <v>0</v>
      </c>
      <c r="W70" s="47">
        <f t="shared" si="36"/>
        <v>4.1578508895469728</v>
      </c>
      <c r="Y70" s="142"/>
      <c r="Z70" s="142"/>
      <c r="AA70" s="142"/>
      <c r="AB70" s="142"/>
      <c r="AC70" s="142"/>
      <c r="AD70" s="142"/>
      <c r="AE70" s="142"/>
      <c r="AF70" s="142"/>
    </row>
    <row r="71" spans="1:32" x14ac:dyDescent="0.25">
      <c r="A71" s="2">
        <v>6000</v>
      </c>
      <c r="B71" s="2">
        <f t="shared" si="25"/>
        <v>10</v>
      </c>
      <c r="C71" s="2">
        <f t="shared" si="26"/>
        <v>5</v>
      </c>
      <c r="D71" s="2">
        <v>0</v>
      </c>
      <c r="E71" s="47">
        <f t="shared" si="33"/>
        <v>4.7333804336372225</v>
      </c>
      <c r="G71" s="2">
        <v>6000</v>
      </c>
      <c r="H71" s="2">
        <f t="shared" si="27"/>
        <v>10</v>
      </c>
      <c r="I71" s="2">
        <f t="shared" si="28"/>
        <v>6</v>
      </c>
      <c r="J71" s="2">
        <v>0</v>
      </c>
      <c r="K71" s="47">
        <f t="shared" si="34"/>
        <v>5.1851584735133844</v>
      </c>
      <c r="M71" s="2">
        <v>6000</v>
      </c>
      <c r="N71" s="2">
        <f t="shared" si="29"/>
        <v>10</v>
      </c>
      <c r="O71" s="2">
        <f t="shared" si="30"/>
        <v>7</v>
      </c>
      <c r="P71" s="2">
        <v>0</v>
      </c>
      <c r="Q71" s="47">
        <f t="shared" si="35"/>
        <v>5.6006112578320923</v>
      </c>
      <c r="S71" s="2">
        <v>6000</v>
      </c>
      <c r="T71" s="2">
        <f t="shared" si="31"/>
        <v>10</v>
      </c>
      <c r="U71" s="2">
        <f t="shared" si="32"/>
        <v>8</v>
      </c>
      <c r="V71" s="2">
        <v>0</v>
      </c>
      <c r="W71" s="47">
        <f t="shared" si="36"/>
        <v>5.9873052809476421</v>
      </c>
      <c r="Y71" s="142"/>
      <c r="Z71" s="142"/>
      <c r="AA71" s="142"/>
      <c r="AB71" s="142"/>
      <c r="AC71" s="142"/>
      <c r="AD71" s="142"/>
      <c r="AE71" s="142"/>
      <c r="AF71" s="142"/>
    </row>
    <row r="72" spans="1:32" x14ac:dyDescent="0.25">
      <c r="A72" s="2">
        <v>7000</v>
      </c>
      <c r="B72" s="2">
        <f t="shared" si="25"/>
        <v>10</v>
      </c>
      <c r="C72" s="2">
        <f t="shared" si="26"/>
        <v>5</v>
      </c>
      <c r="D72" s="2">
        <v>0</v>
      </c>
      <c r="E72" s="47">
        <f t="shared" si="33"/>
        <v>6.4426567013395521</v>
      </c>
      <c r="G72" s="2">
        <v>7000</v>
      </c>
      <c r="H72" s="2">
        <f t="shared" si="27"/>
        <v>10</v>
      </c>
      <c r="I72" s="2">
        <f t="shared" si="28"/>
        <v>6</v>
      </c>
      <c r="J72" s="2">
        <v>0</v>
      </c>
      <c r="K72" s="47">
        <f t="shared" si="34"/>
        <v>7.0575768111709936</v>
      </c>
      <c r="M72" s="2">
        <v>7000</v>
      </c>
      <c r="N72" s="2">
        <f t="shared" si="29"/>
        <v>10</v>
      </c>
      <c r="O72" s="2">
        <f t="shared" si="30"/>
        <v>7</v>
      </c>
      <c r="P72" s="2">
        <v>0</v>
      </c>
      <c r="Q72" s="47">
        <f t="shared" si="35"/>
        <v>7.6230542120492366</v>
      </c>
      <c r="S72" s="2">
        <v>7000</v>
      </c>
      <c r="T72" s="2">
        <f t="shared" si="31"/>
        <v>10</v>
      </c>
      <c r="U72" s="2">
        <f t="shared" si="32"/>
        <v>8</v>
      </c>
      <c r="V72" s="2">
        <v>0</v>
      </c>
      <c r="W72" s="47">
        <f t="shared" si="36"/>
        <v>8.149387743512067</v>
      </c>
      <c r="Y72" s="142"/>
      <c r="Z72" s="142"/>
      <c r="AA72" s="142"/>
      <c r="AB72" s="142"/>
      <c r="AC72" s="142"/>
      <c r="AD72" s="142"/>
      <c r="AE72" s="142"/>
      <c r="AF72" s="142"/>
    </row>
    <row r="73" spans="1:32" x14ac:dyDescent="0.25">
      <c r="A73" s="2">
        <v>8000</v>
      </c>
      <c r="B73" s="2">
        <f t="shared" si="25"/>
        <v>10</v>
      </c>
      <c r="C73" s="2">
        <f t="shared" si="26"/>
        <v>5</v>
      </c>
      <c r="D73" s="2">
        <v>0</v>
      </c>
      <c r="E73" s="47">
        <f t="shared" si="33"/>
        <v>8.4148985486883952</v>
      </c>
      <c r="G73" s="2">
        <v>8000</v>
      </c>
      <c r="H73" s="2">
        <f t="shared" si="27"/>
        <v>10</v>
      </c>
      <c r="I73" s="2">
        <f t="shared" si="28"/>
        <v>6</v>
      </c>
      <c r="J73" s="2">
        <v>0</v>
      </c>
      <c r="K73" s="47">
        <f t="shared" si="34"/>
        <v>9.2180595084682384</v>
      </c>
      <c r="M73" s="2">
        <v>8000</v>
      </c>
      <c r="N73" s="2">
        <f t="shared" si="29"/>
        <v>10</v>
      </c>
      <c r="O73" s="2">
        <f t="shared" si="30"/>
        <v>7</v>
      </c>
      <c r="P73" s="2">
        <v>0</v>
      </c>
      <c r="Q73" s="47">
        <f t="shared" si="35"/>
        <v>9.9566422361459423</v>
      </c>
      <c r="S73" s="2">
        <v>8000</v>
      </c>
      <c r="T73" s="2">
        <f t="shared" si="31"/>
        <v>10</v>
      </c>
      <c r="U73" s="2">
        <f t="shared" si="32"/>
        <v>8</v>
      </c>
      <c r="V73" s="2">
        <v>0</v>
      </c>
      <c r="W73" s="47">
        <f t="shared" si="36"/>
        <v>10.64409827724025</v>
      </c>
      <c r="Y73" s="142"/>
      <c r="Z73" s="142"/>
      <c r="AA73" s="142"/>
      <c r="AB73" s="142"/>
      <c r="AC73" s="142"/>
      <c r="AD73" s="142"/>
      <c r="AE73" s="142"/>
      <c r="AF73" s="142"/>
    </row>
    <row r="74" spans="1:32" x14ac:dyDescent="0.25">
      <c r="A74" s="2">
        <v>9000</v>
      </c>
      <c r="B74" s="2">
        <f t="shared" si="25"/>
        <v>10</v>
      </c>
      <c r="C74" s="2">
        <f t="shared" si="26"/>
        <v>5</v>
      </c>
      <c r="D74" s="2">
        <v>0</v>
      </c>
      <c r="E74" s="47">
        <f t="shared" si="33"/>
        <v>10.650105975683752</v>
      </c>
      <c r="G74" s="2">
        <v>9000</v>
      </c>
      <c r="H74" s="2">
        <f t="shared" si="27"/>
        <v>10</v>
      </c>
      <c r="I74" s="2">
        <f t="shared" si="28"/>
        <v>6</v>
      </c>
      <c r="J74" s="2">
        <v>0</v>
      </c>
      <c r="K74" s="47">
        <f t="shared" si="34"/>
        <v>11.666606565405115</v>
      </c>
      <c r="M74" s="2">
        <v>9000</v>
      </c>
      <c r="N74" s="2">
        <f t="shared" si="29"/>
        <v>10</v>
      </c>
      <c r="O74" s="2">
        <f t="shared" si="30"/>
        <v>7</v>
      </c>
      <c r="P74" s="2">
        <v>0</v>
      </c>
      <c r="Q74" s="47">
        <f t="shared" si="35"/>
        <v>12.60137533012221</v>
      </c>
      <c r="S74" s="2">
        <v>9000</v>
      </c>
      <c r="T74" s="2">
        <f t="shared" si="31"/>
        <v>10</v>
      </c>
      <c r="U74" s="2">
        <f t="shared" si="32"/>
        <v>8</v>
      </c>
      <c r="V74" s="2">
        <v>0</v>
      </c>
      <c r="W74" s="47">
        <f t="shared" si="36"/>
        <v>13.471436882132194</v>
      </c>
      <c r="Y74" s="142"/>
      <c r="Z74" s="142"/>
      <c r="AA74" s="142"/>
      <c r="AB74" s="142"/>
      <c r="AC74" s="142"/>
      <c r="AD74" s="142"/>
      <c r="AE74" s="142"/>
      <c r="AF74" s="142"/>
    </row>
    <row r="75" spans="1:32" x14ac:dyDescent="0.25">
      <c r="A75" s="2">
        <v>10000</v>
      </c>
      <c r="B75" s="2">
        <f t="shared" si="25"/>
        <v>10</v>
      </c>
      <c r="C75" s="2">
        <f t="shared" si="26"/>
        <v>5</v>
      </c>
      <c r="D75" s="2">
        <v>0</v>
      </c>
      <c r="E75" s="47">
        <f t="shared" si="33"/>
        <v>13.148278982325618</v>
      </c>
      <c r="G75" s="2">
        <v>10000</v>
      </c>
      <c r="H75" s="2">
        <f t="shared" si="27"/>
        <v>10</v>
      </c>
      <c r="I75" s="2">
        <f t="shared" si="28"/>
        <v>6</v>
      </c>
      <c r="J75" s="2">
        <v>0</v>
      </c>
      <c r="K75" s="47">
        <f t="shared" si="34"/>
        <v>14.403217981981623</v>
      </c>
      <c r="M75" s="2">
        <v>10000</v>
      </c>
      <c r="N75" s="2">
        <f t="shared" si="29"/>
        <v>10</v>
      </c>
      <c r="O75" s="2">
        <f t="shared" si="30"/>
        <v>7</v>
      </c>
      <c r="P75" s="2">
        <v>0</v>
      </c>
      <c r="Q75" s="47">
        <f t="shared" si="35"/>
        <v>15.557253493978035</v>
      </c>
      <c r="S75" s="2">
        <v>10000</v>
      </c>
      <c r="T75" s="2">
        <f t="shared" si="31"/>
        <v>10</v>
      </c>
      <c r="U75" s="2">
        <f t="shared" si="32"/>
        <v>8</v>
      </c>
      <c r="V75" s="2">
        <v>0</v>
      </c>
      <c r="W75" s="47">
        <f t="shared" si="36"/>
        <v>16.631403558187891</v>
      </c>
      <c r="Y75" s="142"/>
      <c r="Z75" s="142"/>
      <c r="AA75" s="142"/>
      <c r="AB75" s="142"/>
      <c r="AC75" s="142"/>
      <c r="AD75" s="142"/>
      <c r="AE75" s="142"/>
      <c r="AF75" s="142"/>
    </row>
    <row r="76" spans="1:32" x14ac:dyDescent="0.25">
      <c r="A76" s="2">
        <v>11000</v>
      </c>
      <c r="B76" s="2">
        <f t="shared" si="25"/>
        <v>10</v>
      </c>
      <c r="C76" s="2">
        <f t="shared" si="26"/>
        <v>5</v>
      </c>
      <c r="D76" s="2">
        <v>0</v>
      </c>
      <c r="E76" s="47">
        <f t="shared" si="33"/>
        <v>15.909417568614</v>
      </c>
      <c r="G76" s="2">
        <v>11000</v>
      </c>
      <c r="H76" s="2">
        <f t="shared" si="27"/>
        <v>10</v>
      </c>
      <c r="I76" s="2">
        <f t="shared" si="28"/>
        <v>6</v>
      </c>
      <c r="J76" s="2">
        <v>0</v>
      </c>
      <c r="K76" s="47">
        <f t="shared" si="34"/>
        <v>17.427893758197765</v>
      </c>
      <c r="M76" s="2">
        <v>11000</v>
      </c>
      <c r="N76" s="2">
        <f t="shared" si="29"/>
        <v>10</v>
      </c>
      <c r="O76" s="2">
        <f t="shared" si="30"/>
        <v>7</v>
      </c>
      <c r="P76" s="2">
        <v>0</v>
      </c>
      <c r="Q76" s="47">
        <f t="shared" si="35"/>
        <v>18.824276727713421</v>
      </c>
      <c r="S76" s="2">
        <v>11000</v>
      </c>
      <c r="T76" s="2">
        <f t="shared" si="31"/>
        <v>10</v>
      </c>
      <c r="U76" s="2">
        <f t="shared" si="32"/>
        <v>8</v>
      </c>
      <c r="V76" s="2">
        <v>0</v>
      </c>
      <c r="W76" s="47">
        <f t="shared" si="36"/>
        <v>20.123998305407351</v>
      </c>
      <c r="Y76" s="142"/>
      <c r="Z76" s="142"/>
      <c r="AA76" s="142"/>
      <c r="AB76" s="142"/>
      <c r="AC76" s="142"/>
      <c r="AD76" s="142"/>
      <c r="AE76" s="142"/>
      <c r="AF76" s="142"/>
    </row>
    <row r="77" spans="1:32" x14ac:dyDescent="0.25">
      <c r="A77" s="2">
        <v>12000</v>
      </c>
      <c r="B77" s="2">
        <f t="shared" si="25"/>
        <v>10</v>
      </c>
      <c r="C77" s="2">
        <f t="shared" si="26"/>
        <v>5</v>
      </c>
      <c r="D77" s="2">
        <v>0</v>
      </c>
      <c r="E77" s="47">
        <f t="shared" si="33"/>
        <v>18.93352173454889</v>
      </c>
      <c r="G77" s="2">
        <v>12000</v>
      </c>
      <c r="H77" s="2">
        <f t="shared" si="27"/>
        <v>10</v>
      </c>
      <c r="I77" s="2">
        <f t="shared" si="28"/>
        <v>6</v>
      </c>
      <c r="J77" s="2">
        <v>0</v>
      </c>
      <c r="K77" s="47">
        <f t="shared" si="34"/>
        <v>20.740633894053538</v>
      </c>
      <c r="M77" s="2">
        <v>12000</v>
      </c>
      <c r="N77" s="2">
        <f t="shared" si="29"/>
        <v>10</v>
      </c>
      <c r="O77" s="2">
        <f t="shared" si="30"/>
        <v>7</v>
      </c>
      <c r="P77" s="2">
        <v>0</v>
      </c>
      <c r="Q77" s="47">
        <f t="shared" si="35"/>
        <v>22.402445031328369</v>
      </c>
      <c r="S77" s="2">
        <v>12000</v>
      </c>
      <c r="T77" s="2">
        <f t="shared" si="31"/>
        <v>10</v>
      </c>
      <c r="U77" s="2">
        <f t="shared" si="32"/>
        <v>8</v>
      </c>
      <c r="V77" s="2">
        <v>0</v>
      </c>
      <c r="W77" s="47">
        <f t="shared" si="36"/>
        <v>23.949221123790569</v>
      </c>
    </row>
    <row r="78" spans="1:32" x14ac:dyDescent="0.25">
      <c r="A78" s="2">
        <v>13000</v>
      </c>
      <c r="B78" s="2">
        <f t="shared" si="25"/>
        <v>10</v>
      </c>
      <c r="C78" s="2">
        <f t="shared" si="26"/>
        <v>5</v>
      </c>
      <c r="D78" s="2">
        <v>0</v>
      </c>
      <c r="E78" s="47">
        <f t="shared" si="33"/>
        <v>22.220591480130295</v>
      </c>
      <c r="G78" s="2">
        <v>13000</v>
      </c>
      <c r="H78" s="2">
        <f t="shared" si="27"/>
        <v>10</v>
      </c>
      <c r="I78" s="2">
        <f t="shared" si="28"/>
        <v>6</v>
      </c>
      <c r="J78" s="2">
        <v>0</v>
      </c>
      <c r="K78" s="47">
        <f t="shared" si="34"/>
        <v>24.341438389548937</v>
      </c>
      <c r="M78" s="2">
        <v>13000</v>
      </c>
      <c r="N78" s="2">
        <f t="shared" si="29"/>
        <v>10</v>
      </c>
      <c r="O78" s="2">
        <f t="shared" si="30"/>
        <v>7</v>
      </c>
      <c r="P78" s="2">
        <v>0</v>
      </c>
      <c r="Q78" s="47">
        <f t="shared" si="35"/>
        <v>26.291758404822875</v>
      </c>
      <c r="S78" s="2">
        <v>13000</v>
      </c>
      <c r="T78" s="2">
        <f t="shared" si="31"/>
        <v>10</v>
      </c>
      <c r="U78" s="2">
        <f t="shared" si="32"/>
        <v>8</v>
      </c>
      <c r="V78" s="2">
        <v>0</v>
      </c>
      <c r="W78" s="47">
        <f t="shared" si="36"/>
        <v>28.107072013337536</v>
      </c>
    </row>
    <row r="80" spans="1:32" x14ac:dyDescent="0.25">
      <c r="A80" s="294" t="s">
        <v>294</v>
      </c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</row>
    <row r="81" spans="1:32" x14ac:dyDescent="0.25">
      <c r="A81" s="294"/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Y81" s="142"/>
      <c r="Z81" s="142"/>
      <c r="AA81" s="142"/>
      <c r="AB81" s="142"/>
      <c r="AC81" s="142"/>
      <c r="AD81" s="142"/>
      <c r="AE81" s="142"/>
      <c r="AF81" s="142"/>
    </row>
    <row r="82" spans="1:32" x14ac:dyDescent="0.25">
      <c r="A82" s="292">
        <f>pd_2</f>
        <v>10</v>
      </c>
      <c r="B82" s="293"/>
      <c r="C82" s="125" t="s">
        <v>412</v>
      </c>
      <c r="D82" s="290">
        <f>p_5</f>
        <v>5</v>
      </c>
      <c r="E82" s="291"/>
      <c r="G82" s="292">
        <f>pd_2</f>
        <v>10</v>
      </c>
      <c r="H82" s="293"/>
      <c r="I82" s="125" t="s">
        <v>412</v>
      </c>
      <c r="J82" s="290">
        <f>p_6</f>
        <v>6</v>
      </c>
      <c r="K82" s="291"/>
      <c r="M82" s="292">
        <f>pd_2</f>
        <v>10</v>
      </c>
      <c r="N82" s="293"/>
      <c r="O82" s="125" t="s">
        <v>412</v>
      </c>
      <c r="P82" s="290">
        <f>p_7</f>
        <v>7</v>
      </c>
      <c r="Q82" s="291"/>
      <c r="S82" s="292">
        <f>pd_2</f>
        <v>10</v>
      </c>
      <c r="T82" s="293"/>
      <c r="U82" s="125" t="s">
        <v>412</v>
      </c>
      <c r="V82" s="290">
        <f>p_8</f>
        <v>8</v>
      </c>
      <c r="W82" s="291"/>
      <c r="Y82" s="142"/>
      <c r="Z82" s="142"/>
      <c r="AA82" s="142"/>
      <c r="AB82" s="142"/>
      <c r="AC82" s="142"/>
      <c r="AD82" s="142"/>
      <c r="AE82" s="142"/>
      <c r="AF82" s="142"/>
    </row>
    <row r="83" spans="1:32" x14ac:dyDescent="0.25">
      <c r="A83" s="28" t="s">
        <v>302</v>
      </c>
      <c r="B83" s="28" t="s">
        <v>303</v>
      </c>
      <c r="C83" s="28" t="s">
        <v>299</v>
      </c>
      <c r="D83" s="28" t="s">
        <v>304</v>
      </c>
      <c r="E83" s="28" t="s">
        <v>305</v>
      </c>
      <c r="G83" s="28" t="s">
        <v>302</v>
      </c>
      <c r="H83" s="28" t="s">
        <v>303</v>
      </c>
      <c r="I83" s="28" t="s">
        <v>299</v>
      </c>
      <c r="J83" s="28" t="s">
        <v>304</v>
      </c>
      <c r="K83" s="28" t="s">
        <v>305</v>
      </c>
      <c r="M83" s="28" t="s">
        <v>302</v>
      </c>
      <c r="N83" s="28" t="s">
        <v>303</v>
      </c>
      <c r="O83" s="28" t="s">
        <v>299</v>
      </c>
      <c r="P83" s="28" t="s">
        <v>304</v>
      </c>
      <c r="Q83" s="28" t="s">
        <v>305</v>
      </c>
      <c r="S83" s="28" t="s">
        <v>302</v>
      </c>
      <c r="T83" s="28" t="s">
        <v>303</v>
      </c>
      <c r="U83" s="28" t="s">
        <v>299</v>
      </c>
      <c r="V83" s="28" t="s">
        <v>304</v>
      </c>
      <c r="W83" s="28" t="s">
        <v>305</v>
      </c>
      <c r="Y83" s="142"/>
      <c r="Z83" s="142"/>
      <c r="AA83" s="142"/>
      <c r="AB83" s="142"/>
      <c r="AC83" s="142"/>
      <c r="AD83" s="142"/>
      <c r="AE83" s="142"/>
      <c r="AF83" s="142"/>
    </row>
    <row r="84" spans="1:32" x14ac:dyDescent="0.25">
      <c r="A84" s="2">
        <v>0</v>
      </c>
      <c r="B84" s="2">
        <f t="shared" ref="B84:B97" si="37">pd_2</f>
        <v>10</v>
      </c>
      <c r="C84" s="2">
        <f t="shared" ref="C84:C97" si="38">p_5</f>
        <v>5</v>
      </c>
      <c r="D84" s="2">
        <v>11</v>
      </c>
      <c r="E84" s="47">
        <f>(4.392399*10^-8)*A84*((B84^3.5)/SQRT(C84))*((4.23333*10^-4)*A84*C84-D84)</f>
        <v>0</v>
      </c>
      <c r="G84" s="2">
        <v>0</v>
      </c>
      <c r="H84" s="2">
        <f t="shared" ref="H84:H97" si="39">pd_2</f>
        <v>10</v>
      </c>
      <c r="I84" s="2">
        <f t="shared" ref="I84:I97" si="40">p_6</f>
        <v>6</v>
      </c>
      <c r="J84" s="2">
        <v>11</v>
      </c>
      <c r="K84" s="47">
        <f>(4.392399*10^-8)*G84*((H84^3.5)/SQRT(I84))*((4.23333*10^-4)*G84*I84-J84)</f>
        <v>0</v>
      </c>
      <c r="M84" s="2">
        <v>0</v>
      </c>
      <c r="N84" s="2">
        <f t="shared" ref="N84:N97" si="41">pd_2</f>
        <v>10</v>
      </c>
      <c r="O84" s="2">
        <f t="shared" ref="O84:O97" si="42">p_7</f>
        <v>7</v>
      </c>
      <c r="P84" s="2">
        <v>11</v>
      </c>
      <c r="Q84" s="47">
        <f>(4.392399*10^-8)*M84*((N84^3.5)/SQRT(O84))*((4.23333*10^-4)*M84*O84-P84)</f>
        <v>0</v>
      </c>
      <c r="S84" s="2">
        <v>0</v>
      </c>
      <c r="T84" s="2">
        <f t="shared" ref="T84:T97" si="43">pd_2</f>
        <v>10</v>
      </c>
      <c r="U84" s="2">
        <f t="shared" ref="U84:U97" si="44">p_8</f>
        <v>8</v>
      </c>
      <c r="V84" s="2">
        <v>11</v>
      </c>
      <c r="W84" s="47">
        <f>(4.392399*10^-8)*S84*((T84^3.5)/SQRT(U84))*((4.23333*10^-4)*S84*U84-V84)</f>
        <v>0</v>
      </c>
      <c r="Y84" s="142"/>
      <c r="Z84" s="142"/>
      <c r="AA84" s="142"/>
      <c r="AB84" s="142"/>
      <c r="AC84" s="142"/>
      <c r="AD84" s="142"/>
      <c r="AE84" s="142"/>
      <c r="AF84" s="142"/>
    </row>
    <row r="85" spans="1:32" x14ac:dyDescent="0.25">
      <c r="A85" s="2">
        <v>1000</v>
      </c>
      <c r="B85" s="2">
        <f t="shared" si="37"/>
        <v>10</v>
      </c>
      <c r="C85" s="2">
        <f t="shared" si="38"/>
        <v>5</v>
      </c>
      <c r="D85" s="2">
        <v>11</v>
      </c>
      <c r="E85" s="47">
        <f t="shared" ref="E85:E97" si="45">(4.392399*10^-8)*A85*((B85^3.5)/SQRT(C85))*((4.23333*10^-4)*A85*C85-D85)</f>
        <v>-0.55181413626368636</v>
      </c>
      <c r="G85" s="2">
        <v>1000</v>
      </c>
      <c r="H85" s="2">
        <f t="shared" si="39"/>
        <v>10</v>
      </c>
      <c r="I85" s="2">
        <f t="shared" si="40"/>
        <v>6</v>
      </c>
      <c r="J85" s="2">
        <v>11</v>
      </c>
      <c r="K85" s="47">
        <f t="shared" ref="K85:K97" si="46">(4.392399*10^-8)*G85*((H85^3.5)/SQRT(I85))*((4.23333*10^-4)*G85*I85-J85)</f>
        <v>-0.47972971999978142</v>
      </c>
      <c r="M85" s="2">
        <v>1000</v>
      </c>
      <c r="N85" s="2">
        <f t="shared" si="41"/>
        <v>10</v>
      </c>
      <c r="O85" s="2">
        <f t="shared" si="42"/>
        <v>7</v>
      </c>
      <c r="P85" s="2">
        <v>11</v>
      </c>
      <c r="Q85" s="47">
        <f t="shared" ref="Q85:Q97" si="47">(4.392399*10^-8)*M85*((N85^3.5)/SQRT(O85))*((4.23333*10^-4)*M85*O85-P85)</f>
        <v>-0.4219187693855157</v>
      </c>
      <c r="S85" s="2">
        <v>1000</v>
      </c>
      <c r="T85" s="2">
        <f t="shared" si="43"/>
        <v>10</v>
      </c>
      <c r="U85" s="2">
        <f t="shared" si="44"/>
        <v>8</v>
      </c>
      <c r="V85" s="2">
        <v>11</v>
      </c>
      <c r="W85" s="47">
        <f t="shared" ref="W85:W97" si="48">(4.392399*10^-8)*S85*((T85^3.5)/SQRT(U85))*((4.23333*10^-4)*S85*U85-V85)</f>
        <v>-0.37387961557473665</v>
      </c>
      <c r="Y85" s="142"/>
      <c r="Z85" s="142"/>
      <c r="AA85" s="142"/>
      <c r="AB85" s="142"/>
      <c r="AC85" s="142"/>
      <c r="AD85" s="142"/>
      <c r="AE85" s="142"/>
      <c r="AF85" s="142"/>
    </row>
    <row r="86" spans="1:32" x14ac:dyDescent="0.25">
      <c r="A86" s="2">
        <v>2000</v>
      </c>
      <c r="B86" s="2">
        <f t="shared" si="37"/>
        <v>10</v>
      </c>
      <c r="C86" s="2">
        <f t="shared" si="38"/>
        <v>5</v>
      </c>
      <c r="D86" s="2">
        <v>11</v>
      </c>
      <c r="E86" s="47">
        <f t="shared" si="45"/>
        <v>-0.84066269288086026</v>
      </c>
      <c r="G86" s="2">
        <v>2000</v>
      </c>
      <c r="H86" s="2">
        <f t="shared" si="39"/>
        <v>10</v>
      </c>
      <c r="I86" s="2">
        <f t="shared" si="40"/>
        <v>6</v>
      </c>
      <c r="J86" s="2">
        <v>11</v>
      </c>
      <c r="K86" s="47">
        <f t="shared" si="46"/>
        <v>-0.67139508035993056</v>
      </c>
      <c r="M86" s="2">
        <v>2000</v>
      </c>
      <c r="N86" s="2">
        <f t="shared" si="41"/>
        <v>10</v>
      </c>
      <c r="O86" s="2">
        <f t="shared" si="42"/>
        <v>7</v>
      </c>
      <c r="P86" s="2">
        <v>11</v>
      </c>
      <c r="Q86" s="47">
        <f t="shared" si="47"/>
        <v>-0.53269246889147082</v>
      </c>
      <c r="S86" s="2">
        <v>2000</v>
      </c>
      <c r="T86" s="2">
        <f t="shared" si="43"/>
        <v>10</v>
      </c>
      <c r="U86" s="2">
        <f t="shared" si="44"/>
        <v>8</v>
      </c>
      <c r="V86" s="2">
        <v>11</v>
      </c>
      <c r="W86" s="47">
        <f t="shared" si="48"/>
        <v>-0.41513115998571543</v>
      </c>
      <c r="Y86" s="142"/>
      <c r="Z86" s="142"/>
      <c r="AA86" s="142"/>
      <c r="AB86" s="142"/>
      <c r="AC86" s="142"/>
      <c r="AD86" s="142"/>
      <c r="AE86" s="142"/>
      <c r="AF86" s="142"/>
    </row>
    <row r="87" spans="1:32" x14ac:dyDescent="0.25">
      <c r="A87" s="2">
        <v>3000</v>
      </c>
      <c r="B87" s="2">
        <f t="shared" si="37"/>
        <v>10</v>
      </c>
      <c r="C87" s="2">
        <f t="shared" si="38"/>
        <v>5</v>
      </c>
      <c r="D87" s="2">
        <v>11</v>
      </c>
      <c r="E87" s="47">
        <f t="shared" si="45"/>
        <v>-0.86654566985152182</v>
      </c>
      <c r="G87" s="2">
        <v>3000</v>
      </c>
      <c r="H87" s="2">
        <f t="shared" si="39"/>
        <v>10</v>
      </c>
      <c r="I87" s="2">
        <f t="shared" si="40"/>
        <v>6</v>
      </c>
      <c r="J87" s="2">
        <v>11</v>
      </c>
      <c r="K87" s="47">
        <f t="shared" si="46"/>
        <v>-0.5749960810804472</v>
      </c>
      <c r="M87" s="2">
        <v>3000</v>
      </c>
      <c r="N87" s="2">
        <f t="shared" si="41"/>
        <v>10</v>
      </c>
      <c r="O87" s="2">
        <f t="shared" si="42"/>
        <v>7</v>
      </c>
      <c r="P87" s="2">
        <v>11</v>
      </c>
      <c r="Q87" s="47">
        <f t="shared" si="47"/>
        <v>-0.33232109851786523</v>
      </c>
      <c r="S87" s="2">
        <v>3000</v>
      </c>
      <c r="T87" s="2">
        <f t="shared" si="43"/>
        <v>10</v>
      </c>
      <c r="U87" s="2">
        <f t="shared" si="44"/>
        <v>8</v>
      </c>
      <c r="V87" s="2">
        <v>11</v>
      </c>
      <c r="W87" s="47">
        <f t="shared" si="48"/>
        <v>-0.12375463323293644</v>
      </c>
      <c r="Y87" s="142"/>
      <c r="Z87" s="142"/>
      <c r="AA87" s="142"/>
      <c r="AB87" s="142"/>
      <c r="AC87" s="142"/>
      <c r="AD87" s="142"/>
      <c r="AE87" s="142"/>
      <c r="AF87" s="142"/>
    </row>
    <row r="88" spans="1:32" x14ac:dyDescent="0.25">
      <c r="A88" s="2">
        <v>4000</v>
      </c>
      <c r="B88" s="2">
        <f t="shared" si="37"/>
        <v>10</v>
      </c>
      <c r="C88" s="2">
        <f t="shared" si="38"/>
        <v>5</v>
      </c>
      <c r="D88" s="2">
        <v>11</v>
      </c>
      <c r="E88" s="47">
        <f t="shared" si="45"/>
        <v>-0.62946306717567102</v>
      </c>
      <c r="G88" s="2">
        <v>4000</v>
      </c>
      <c r="H88" s="2">
        <f t="shared" si="39"/>
        <v>10</v>
      </c>
      <c r="I88" s="2">
        <f t="shared" si="40"/>
        <v>6</v>
      </c>
      <c r="J88" s="2">
        <v>11</v>
      </c>
      <c r="K88" s="47">
        <f t="shared" si="46"/>
        <v>-0.19053272216133135</v>
      </c>
      <c r="M88" s="2">
        <v>4000</v>
      </c>
      <c r="N88" s="2">
        <f t="shared" si="41"/>
        <v>10</v>
      </c>
      <c r="O88" s="2">
        <f t="shared" si="42"/>
        <v>7</v>
      </c>
      <c r="P88" s="2">
        <v>11</v>
      </c>
      <c r="Q88" s="47">
        <f t="shared" si="47"/>
        <v>0.17919534173530122</v>
      </c>
      <c r="S88" s="2">
        <v>4000</v>
      </c>
      <c r="T88" s="2">
        <f t="shared" si="43"/>
        <v>10</v>
      </c>
      <c r="U88" s="2">
        <f t="shared" si="44"/>
        <v>8</v>
      </c>
      <c r="V88" s="2">
        <v>11</v>
      </c>
      <c r="W88" s="47">
        <f t="shared" si="48"/>
        <v>0.5002499646836005</v>
      </c>
      <c r="Y88" s="142"/>
      <c r="Z88" s="142"/>
      <c r="AA88" s="142"/>
      <c r="AB88" s="142"/>
      <c r="AC88" s="142"/>
      <c r="AD88" s="142"/>
      <c r="AE88" s="142"/>
      <c r="AF88" s="142"/>
    </row>
    <row r="89" spans="1:32" x14ac:dyDescent="0.25">
      <c r="A89" s="2">
        <v>5000</v>
      </c>
      <c r="B89" s="2">
        <f t="shared" si="37"/>
        <v>10</v>
      </c>
      <c r="C89" s="2">
        <f t="shared" si="38"/>
        <v>5</v>
      </c>
      <c r="D89" s="2">
        <v>11</v>
      </c>
      <c r="E89" s="47">
        <f t="shared" si="45"/>
        <v>-0.12941488485330807</v>
      </c>
      <c r="G89" s="2">
        <v>5000</v>
      </c>
      <c r="H89" s="2">
        <f t="shared" si="39"/>
        <v>10</v>
      </c>
      <c r="I89" s="2">
        <f t="shared" si="40"/>
        <v>6</v>
      </c>
      <c r="J89" s="2">
        <v>11</v>
      </c>
      <c r="K89" s="47">
        <f t="shared" si="46"/>
        <v>0.48199499639741711</v>
      </c>
      <c r="M89" s="2">
        <v>5000</v>
      </c>
      <c r="N89" s="2">
        <f t="shared" si="41"/>
        <v>10</v>
      </c>
      <c r="O89" s="2">
        <f t="shared" si="42"/>
        <v>7</v>
      </c>
      <c r="P89" s="2">
        <v>11</v>
      </c>
      <c r="Q89" s="47">
        <f t="shared" si="47"/>
        <v>1.0018568518680284</v>
      </c>
      <c r="S89" s="2">
        <v>5000</v>
      </c>
      <c r="T89" s="2">
        <f t="shared" si="43"/>
        <v>10</v>
      </c>
      <c r="U89" s="2">
        <f t="shared" si="44"/>
        <v>8</v>
      </c>
      <c r="V89" s="2">
        <v>11</v>
      </c>
      <c r="W89" s="47">
        <f t="shared" si="48"/>
        <v>1.4568826337638952</v>
      </c>
      <c r="Y89" s="142"/>
      <c r="Z89" s="142"/>
      <c r="AA89" s="142"/>
      <c r="AB89" s="142"/>
      <c r="AC89" s="142"/>
      <c r="AD89" s="142"/>
      <c r="AE89" s="142"/>
      <c r="AF89" s="142"/>
    </row>
    <row r="90" spans="1:32" x14ac:dyDescent="0.25">
      <c r="A90" s="2">
        <v>6000</v>
      </c>
      <c r="B90" s="2">
        <f t="shared" si="37"/>
        <v>10</v>
      </c>
      <c r="C90" s="2">
        <f t="shared" si="38"/>
        <v>5</v>
      </c>
      <c r="D90" s="2">
        <v>11</v>
      </c>
      <c r="E90" s="47">
        <f t="shared" si="45"/>
        <v>0.63359887711556795</v>
      </c>
      <c r="G90" s="2">
        <v>6000</v>
      </c>
      <c r="H90" s="2">
        <f t="shared" si="39"/>
        <v>10</v>
      </c>
      <c r="I90" s="2">
        <f t="shared" si="40"/>
        <v>6</v>
      </c>
      <c r="J90" s="2">
        <v>11</v>
      </c>
      <c r="K90" s="47">
        <f t="shared" si="46"/>
        <v>1.4425870745957976</v>
      </c>
      <c r="M90" s="2">
        <v>6000</v>
      </c>
      <c r="N90" s="2">
        <f t="shared" si="41"/>
        <v>10</v>
      </c>
      <c r="O90" s="2">
        <f t="shared" si="42"/>
        <v>7</v>
      </c>
      <c r="P90" s="2">
        <v>11</v>
      </c>
      <c r="Q90" s="47">
        <f t="shared" si="47"/>
        <v>2.135663431880316</v>
      </c>
      <c r="S90" s="2">
        <v>6000</v>
      </c>
      <c r="T90" s="2">
        <f t="shared" si="43"/>
        <v>10</v>
      </c>
      <c r="U90" s="2">
        <f t="shared" si="44"/>
        <v>8</v>
      </c>
      <c r="V90" s="2">
        <v>11</v>
      </c>
      <c r="W90" s="47">
        <f t="shared" si="48"/>
        <v>2.7461433740079482</v>
      </c>
      <c r="Y90" s="142"/>
      <c r="Z90" s="142"/>
      <c r="AA90" s="142"/>
      <c r="AB90" s="142"/>
      <c r="AC90" s="142"/>
      <c r="AD90" s="142"/>
      <c r="AE90" s="142"/>
      <c r="AF90" s="142"/>
    </row>
    <row r="91" spans="1:32" x14ac:dyDescent="0.25">
      <c r="A91" s="2">
        <v>7000</v>
      </c>
      <c r="B91" s="2">
        <f t="shared" si="37"/>
        <v>10</v>
      </c>
      <c r="C91" s="2">
        <f t="shared" si="38"/>
        <v>5</v>
      </c>
      <c r="D91" s="2">
        <v>11</v>
      </c>
      <c r="E91" s="47">
        <f t="shared" si="45"/>
        <v>1.6595782187309556</v>
      </c>
      <c r="G91" s="2">
        <v>7000</v>
      </c>
      <c r="H91" s="2">
        <f t="shared" si="39"/>
        <v>10</v>
      </c>
      <c r="I91" s="2">
        <f t="shared" si="40"/>
        <v>6</v>
      </c>
      <c r="J91" s="2">
        <v>11</v>
      </c>
      <c r="K91" s="47">
        <f t="shared" si="46"/>
        <v>2.6912435124338101</v>
      </c>
      <c r="M91" s="2">
        <v>7000</v>
      </c>
      <c r="N91" s="2">
        <f t="shared" si="41"/>
        <v>10</v>
      </c>
      <c r="O91" s="2">
        <f t="shared" si="42"/>
        <v>7</v>
      </c>
      <c r="P91" s="2">
        <v>11</v>
      </c>
      <c r="Q91" s="47">
        <f t="shared" si="47"/>
        <v>3.580615081772164</v>
      </c>
      <c r="S91" s="2">
        <v>7000</v>
      </c>
      <c r="T91" s="2">
        <f t="shared" si="43"/>
        <v>10</v>
      </c>
      <c r="U91" s="2">
        <f t="shared" si="44"/>
        <v>8</v>
      </c>
      <c r="V91" s="2">
        <v>11</v>
      </c>
      <c r="W91" s="47">
        <f t="shared" si="48"/>
        <v>4.3680321854157578</v>
      </c>
      <c r="Y91" s="142"/>
      <c r="Z91" s="142"/>
      <c r="AA91" s="142"/>
      <c r="AB91" s="142"/>
      <c r="AC91" s="142"/>
      <c r="AD91" s="142"/>
      <c r="AE91" s="142"/>
      <c r="AF91" s="142"/>
    </row>
    <row r="92" spans="1:32" x14ac:dyDescent="0.25">
      <c r="A92" s="2">
        <v>8000</v>
      </c>
      <c r="B92" s="2">
        <f t="shared" si="37"/>
        <v>10</v>
      </c>
      <c r="C92" s="2">
        <f t="shared" si="38"/>
        <v>5</v>
      </c>
      <c r="D92" s="2">
        <v>11</v>
      </c>
      <c r="E92" s="47">
        <f t="shared" si="45"/>
        <v>2.9485231399928558</v>
      </c>
      <c r="G92" s="2">
        <v>8000</v>
      </c>
      <c r="H92" s="2">
        <f t="shared" si="39"/>
        <v>10</v>
      </c>
      <c r="I92" s="2">
        <f t="shared" si="40"/>
        <v>6</v>
      </c>
      <c r="J92" s="2">
        <v>11</v>
      </c>
      <c r="K92" s="47">
        <f t="shared" si="46"/>
        <v>4.2279643099114566</v>
      </c>
      <c r="M92" s="2">
        <v>8000</v>
      </c>
      <c r="N92" s="2">
        <f t="shared" si="41"/>
        <v>10</v>
      </c>
      <c r="O92" s="2">
        <f t="shared" si="42"/>
        <v>7</v>
      </c>
      <c r="P92" s="2">
        <v>11</v>
      </c>
      <c r="Q92" s="47">
        <f t="shared" si="47"/>
        <v>5.3367118015435739</v>
      </c>
      <c r="S92" s="2">
        <v>8000</v>
      </c>
      <c r="T92" s="2">
        <f t="shared" si="43"/>
        <v>10</v>
      </c>
      <c r="U92" s="2">
        <f t="shared" si="44"/>
        <v>8</v>
      </c>
      <c r="V92" s="2">
        <v>11</v>
      </c>
      <c r="W92" s="47">
        <f t="shared" si="48"/>
        <v>6.3225490679873264</v>
      </c>
      <c r="Y92" s="142"/>
      <c r="Z92" s="142"/>
      <c r="AA92" s="142"/>
      <c r="AB92" s="142"/>
      <c r="AC92" s="142"/>
      <c r="AD92" s="142"/>
      <c r="AE92" s="142"/>
      <c r="AF92" s="142"/>
    </row>
    <row r="93" spans="1:32" x14ac:dyDescent="0.25">
      <c r="A93" s="2">
        <v>9000</v>
      </c>
      <c r="B93" s="2">
        <f t="shared" si="37"/>
        <v>10</v>
      </c>
      <c r="C93" s="2">
        <f t="shared" si="38"/>
        <v>5</v>
      </c>
      <c r="D93" s="2">
        <v>11</v>
      </c>
      <c r="E93" s="47">
        <f t="shared" si="45"/>
        <v>4.5004336409012691</v>
      </c>
      <c r="G93" s="2">
        <v>9000</v>
      </c>
      <c r="H93" s="2">
        <f t="shared" si="39"/>
        <v>10</v>
      </c>
      <c r="I93" s="2">
        <f t="shared" si="40"/>
        <v>6</v>
      </c>
      <c r="J93" s="2">
        <v>11</v>
      </c>
      <c r="K93" s="47">
        <f t="shared" si="46"/>
        <v>6.0527494670287352</v>
      </c>
      <c r="M93" s="2">
        <v>9000</v>
      </c>
      <c r="N93" s="2">
        <f t="shared" si="41"/>
        <v>10</v>
      </c>
      <c r="O93" s="2">
        <f t="shared" si="42"/>
        <v>7</v>
      </c>
      <c r="P93" s="2">
        <v>11</v>
      </c>
      <c r="Q93" s="47">
        <f t="shared" si="47"/>
        <v>7.4039535911945444</v>
      </c>
      <c r="S93" s="2">
        <v>9000</v>
      </c>
      <c r="T93" s="2">
        <f t="shared" si="43"/>
        <v>10</v>
      </c>
      <c r="U93" s="2">
        <f t="shared" si="44"/>
        <v>8</v>
      </c>
      <c r="V93" s="2">
        <v>11</v>
      </c>
      <c r="W93" s="47">
        <f t="shared" si="48"/>
        <v>8.6096940217226532</v>
      </c>
      <c r="Y93" s="142"/>
      <c r="Z93" s="142"/>
      <c r="AA93" s="142"/>
      <c r="AB93" s="142"/>
      <c r="AC93" s="142"/>
      <c r="AD93" s="142"/>
      <c r="AE93" s="142"/>
      <c r="AF93" s="142"/>
    </row>
    <row r="94" spans="1:32" x14ac:dyDescent="0.25">
      <c r="A94" s="2">
        <v>10000</v>
      </c>
      <c r="B94" s="2">
        <f t="shared" si="37"/>
        <v>10</v>
      </c>
      <c r="C94" s="2">
        <f t="shared" si="38"/>
        <v>5</v>
      </c>
      <c r="D94" s="2">
        <v>11</v>
      </c>
      <c r="E94" s="47">
        <f t="shared" si="45"/>
        <v>6.3153097214561926</v>
      </c>
      <c r="G94" s="2">
        <v>10000</v>
      </c>
      <c r="H94" s="2">
        <f t="shared" si="39"/>
        <v>10</v>
      </c>
      <c r="I94" s="2">
        <f t="shared" si="40"/>
        <v>6</v>
      </c>
      <c r="J94" s="2">
        <v>11</v>
      </c>
      <c r="K94" s="47">
        <f t="shared" si="46"/>
        <v>8.165598983785646</v>
      </c>
      <c r="M94" s="2">
        <v>10000</v>
      </c>
      <c r="N94" s="2">
        <f t="shared" si="41"/>
        <v>10</v>
      </c>
      <c r="O94" s="2">
        <f t="shared" si="42"/>
        <v>7</v>
      </c>
      <c r="P94" s="2">
        <v>11</v>
      </c>
      <c r="Q94" s="47">
        <f t="shared" si="47"/>
        <v>9.7823404507250746</v>
      </c>
      <c r="S94" s="2">
        <v>10000</v>
      </c>
      <c r="T94" s="2">
        <f t="shared" si="43"/>
        <v>10</v>
      </c>
      <c r="U94" s="2">
        <f t="shared" si="44"/>
        <v>8</v>
      </c>
      <c r="V94" s="2">
        <v>11</v>
      </c>
      <c r="W94" s="47">
        <f t="shared" si="48"/>
        <v>11.229467046621737</v>
      </c>
      <c r="Y94" s="142"/>
      <c r="Z94" s="142"/>
      <c r="AA94" s="142"/>
      <c r="AB94" s="142"/>
      <c r="AC94" s="142"/>
      <c r="AD94" s="142"/>
      <c r="AE94" s="142"/>
      <c r="AF94" s="142"/>
    </row>
    <row r="95" spans="1:32" x14ac:dyDescent="0.25">
      <c r="A95" s="2">
        <v>11000</v>
      </c>
      <c r="B95" s="2">
        <f t="shared" si="37"/>
        <v>10</v>
      </c>
      <c r="C95" s="2">
        <f t="shared" si="38"/>
        <v>5</v>
      </c>
      <c r="D95" s="2">
        <v>11</v>
      </c>
      <c r="E95" s="47">
        <f t="shared" si="45"/>
        <v>8.3931513816576331</v>
      </c>
      <c r="G95" s="2">
        <v>11000</v>
      </c>
      <c r="H95" s="2">
        <f t="shared" si="39"/>
        <v>10</v>
      </c>
      <c r="I95" s="2">
        <f t="shared" si="40"/>
        <v>6</v>
      </c>
      <c r="J95" s="2">
        <v>11</v>
      </c>
      <c r="K95" s="47">
        <f t="shared" si="46"/>
        <v>10.56651286018219</v>
      </c>
      <c r="M95" s="2">
        <v>11000</v>
      </c>
      <c r="N95" s="2">
        <f t="shared" si="41"/>
        <v>10</v>
      </c>
      <c r="O95" s="2">
        <f t="shared" si="42"/>
        <v>7</v>
      </c>
      <c r="P95" s="2">
        <v>11</v>
      </c>
      <c r="Q95" s="47">
        <f t="shared" si="47"/>
        <v>12.471872380135165</v>
      </c>
      <c r="S95" s="2">
        <v>11000</v>
      </c>
      <c r="T95" s="2">
        <f t="shared" si="43"/>
        <v>10</v>
      </c>
      <c r="U95" s="2">
        <f t="shared" si="44"/>
        <v>8</v>
      </c>
      <c r="V95" s="2">
        <v>11</v>
      </c>
      <c r="W95" s="47">
        <f t="shared" si="48"/>
        <v>14.18186814268458</v>
      </c>
      <c r="Y95" s="142"/>
      <c r="Z95" s="142"/>
      <c r="AA95" s="142"/>
      <c r="AB95" s="142"/>
      <c r="AC95" s="142"/>
      <c r="AD95" s="142"/>
      <c r="AE95" s="142"/>
      <c r="AF95" s="142"/>
    </row>
    <row r="96" spans="1:32" x14ac:dyDescent="0.25">
      <c r="A96" s="2">
        <v>12000</v>
      </c>
      <c r="B96" s="2">
        <f t="shared" si="37"/>
        <v>10</v>
      </c>
      <c r="C96" s="2">
        <f t="shared" si="38"/>
        <v>5</v>
      </c>
      <c r="D96" s="2">
        <v>11</v>
      </c>
      <c r="E96" s="47">
        <f t="shared" si="45"/>
        <v>10.733958621505582</v>
      </c>
      <c r="G96" s="2">
        <v>12000</v>
      </c>
      <c r="H96" s="2">
        <f t="shared" si="39"/>
        <v>10</v>
      </c>
      <c r="I96" s="2">
        <f t="shared" si="40"/>
        <v>6</v>
      </c>
      <c r="J96" s="2">
        <v>11</v>
      </c>
      <c r="K96" s="47">
        <f t="shared" si="46"/>
        <v>13.255491096218364</v>
      </c>
      <c r="M96" s="2">
        <v>12000</v>
      </c>
      <c r="N96" s="2">
        <f t="shared" si="41"/>
        <v>10</v>
      </c>
      <c r="O96" s="2">
        <f t="shared" si="42"/>
        <v>7</v>
      </c>
      <c r="P96" s="2">
        <v>11</v>
      </c>
      <c r="Q96" s="47">
        <f t="shared" si="47"/>
        <v>15.472549379424818</v>
      </c>
      <c r="S96" s="2">
        <v>12000</v>
      </c>
      <c r="T96" s="2">
        <f t="shared" si="43"/>
        <v>10</v>
      </c>
      <c r="U96" s="2">
        <f t="shared" si="44"/>
        <v>8</v>
      </c>
      <c r="V96" s="2">
        <v>11</v>
      </c>
      <c r="W96" s="47">
        <f t="shared" si="48"/>
        <v>17.466897309911179</v>
      </c>
    </row>
    <row r="97" spans="1:23" x14ac:dyDescent="0.25">
      <c r="A97" s="2">
        <v>13000</v>
      </c>
      <c r="B97" s="2">
        <f t="shared" si="37"/>
        <v>10</v>
      </c>
      <c r="C97" s="2">
        <f t="shared" si="38"/>
        <v>5</v>
      </c>
      <c r="D97" s="2">
        <v>11</v>
      </c>
      <c r="E97" s="47">
        <f t="shared" si="45"/>
        <v>13.337731441000043</v>
      </c>
      <c r="G97" s="2">
        <v>13000</v>
      </c>
      <c r="H97" s="2">
        <f t="shared" si="39"/>
        <v>10</v>
      </c>
      <c r="I97" s="2">
        <f t="shared" si="40"/>
        <v>6</v>
      </c>
      <c r="J97" s="2">
        <v>11</v>
      </c>
      <c r="K97" s="47">
        <f t="shared" si="46"/>
        <v>16.232533691894169</v>
      </c>
      <c r="M97" s="2">
        <v>13000</v>
      </c>
      <c r="N97" s="2">
        <f t="shared" si="41"/>
        <v>10</v>
      </c>
      <c r="O97" s="2">
        <f t="shared" si="42"/>
        <v>7</v>
      </c>
      <c r="P97" s="2">
        <v>11</v>
      </c>
      <c r="Q97" s="47">
        <f t="shared" si="47"/>
        <v>18.78437144859403</v>
      </c>
      <c r="S97" s="2">
        <v>13000</v>
      </c>
      <c r="T97" s="2">
        <f t="shared" si="43"/>
        <v>10</v>
      </c>
      <c r="U97" s="2">
        <f t="shared" si="44"/>
        <v>8</v>
      </c>
      <c r="V97" s="2">
        <v>11</v>
      </c>
      <c r="W97" s="47">
        <f t="shared" si="48"/>
        <v>21.084554548301536</v>
      </c>
    </row>
  </sheetData>
  <mergeCells count="53">
    <mergeCell ref="A80:W81"/>
    <mergeCell ref="A82:B82"/>
    <mergeCell ref="D82:E82"/>
    <mergeCell ref="G82:H82"/>
    <mergeCell ref="J82:K82"/>
    <mergeCell ref="M82:N82"/>
    <mergeCell ref="P82:Q82"/>
    <mergeCell ref="S82:T82"/>
    <mergeCell ref="V82:W82"/>
    <mergeCell ref="A23:W24"/>
    <mergeCell ref="A42:W43"/>
    <mergeCell ref="D25:E25"/>
    <mergeCell ref="A25:B25"/>
    <mergeCell ref="G25:H25"/>
    <mergeCell ref="J25:K25"/>
    <mergeCell ref="M25:N25"/>
    <mergeCell ref="P25:Q25"/>
    <mergeCell ref="S25:T25"/>
    <mergeCell ref="V25:W25"/>
    <mergeCell ref="A1:F3"/>
    <mergeCell ref="A19:C19"/>
    <mergeCell ref="G19:H19"/>
    <mergeCell ref="A5:F16"/>
    <mergeCell ref="I5:J5"/>
    <mergeCell ref="I6:O6"/>
    <mergeCell ref="O17:S17"/>
    <mergeCell ref="G20:H20"/>
    <mergeCell ref="A20:C20"/>
    <mergeCell ref="H11:J11"/>
    <mergeCell ref="H13:I13"/>
    <mergeCell ref="H8:I8"/>
    <mergeCell ref="H9:I9"/>
    <mergeCell ref="A44:B44"/>
    <mergeCell ref="D44:E44"/>
    <mergeCell ref="G44:H44"/>
    <mergeCell ref="J44:K44"/>
    <mergeCell ref="M44:N44"/>
    <mergeCell ref="Y25:AF39"/>
    <mergeCell ref="Y43:AF57"/>
    <mergeCell ref="Y62:AF76"/>
    <mergeCell ref="Y81:AF95"/>
    <mergeCell ref="P44:Q44"/>
    <mergeCell ref="S44:T44"/>
    <mergeCell ref="V44:W44"/>
    <mergeCell ref="A61:W62"/>
    <mergeCell ref="A63:B63"/>
    <mergeCell ref="D63:E63"/>
    <mergeCell ref="G63:H63"/>
    <mergeCell ref="J63:K63"/>
    <mergeCell ref="M63:N63"/>
    <mergeCell ref="P63:Q63"/>
    <mergeCell ref="S63:T63"/>
    <mergeCell ref="V63:W63"/>
  </mergeCells>
  <hyperlinks>
    <hyperlink ref="I6" r:id="rId1" xr:uid="{79AE6F28-43C6-435A-BFC9-D827C244A9B7}"/>
  </hyperlinks>
  <pageMargins left="0.7" right="0.7" top="0.75" bottom="0.75" header="0.3" footer="0.3"/>
  <pageSetup orientation="portrait" horizontalDpi="300" verticalDpi="30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33DF-5AE6-4B2E-9F93-67A22F3F067E}">
  <dimension ref="A1:Y35"/>
  <sheetViews>
    <sheetView zoomScale="85" zoomScaleNormal="85" workbookViewId="0">
      <selection activeCell="T32" sqref="T32"/>
    </sheetView>
  </sheetViews>
  <sheetFormatPr defaultRowHeight="15" x14ac:dyDescent="0.25"/>
  <cols>
    <col min="1" max="1" width="18.85546875" customWidth="1"/>
    <col min="2" max="2" width="14.42578125" customWidth="1"/>
    <col min="15" max="15" width="6.140625" customWidth="1"/>
    <col min="23" max="23" width="17.5703125" customWidth="1"/>
  </cols>
  <sheetData>
    <row r="1" spans="1:25" x14ac:dyDescent="0.25">
      <c r="A1" s="182" t="s">
        <v>294</v>
      </c>
      <c r="B1" s="183"/>
      <c r="C1" s="183"/>
      <c r="D1" s="183"/>
      <c r="E1" s="183"/>
      <c r="F1" s="184"/>
    </row>
    <row r="2" spans="1:25" x14ac:dyDescent="0.25">
      <c r="A2" s="185"/>
      <c r="B2" s="186"/>
      <c r="C2" s="186"/>
      <c r="D2" s="186"/>
      <c r="E2" s="186"/>
      <c r="F2" s="187"/>
    </row>
    <row r="3" spans="1:25" ht="15.75" thickBot="1" x14ac:dyDescent="0.3">
      <c r="A3" s="188"/>
      <c r="B3" s="189"/>
      <c r="C3" s="189"/>
      <c r="D3" s="189"/>
      <c r="E3" s="189"/>
      <c r="F3" s="190"/>
    </row>
    <row r="5" spans="1:25" ht="21" x14ac:dyDescent="0.35">
      <c r="B5" s="126"/>
      <c r="C5" s="128"/>
      <c r="D5" s="128"/>
      <c r="E5" s="128"/>
      <c r="F5" s="128"/>
      <c r="G5" s="128"/>
      <c r="H5" s="90"/>
      <c r="I5" s="90"/>
      <c r="J5" s="90"/>
      <c r="K5" s="91"/>
      <c r="P5" t="s">
        <v>391</v>
      </c>
    </row>
    <row r="6" spans="1:25" x14ac:dyDescent="0.25">
      <c r="B6" s="3" t="s">
        <v>371</v>
      </c>
      <c r="K6" s="4"/>
      <c r="P6" s="289" t="s">
        <v>390</v>
      </c>
      <c r="Q6" s="191"/>
      <c r="R6" s="191"/>
      <c r="S6" s="191"/>
      <c r="T6" s="191"/>
      <c r="U6" s="191"/>
      <c r="V6" s="191"/>
      <c r="W6" s="191"/>
    </row>
    <row r="7" spans="1:25" x14ac:dyDescent="0.25">
      <c r="B7" s="127" t="s">
        <v>372</v>
      </c>
      <c r="K7" s="4"/>
    </row>
    <row r="8" spans="1:25" x14ac:dyDescent="0.25">
      <c r="B8" s="3" t="s">
        <v>373</v>
      </c>
      <c r="C8" s="117" t="s">
        <v>374</v>
      </c>
      <c r="K8" s="4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</row>
    <row r="9" spans="1:25" x14ac:dyDescent="0.25">
      <c r="B9" s="3"/>
      <c r="D9" s="117"/>
      <c r="K9" s="4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</row>
    <row r="10" spans="1:25" x14ac:dyDescent="0.25">
      <c r="B10" s="296" t="s">
        <v>375</v>
      </c>
      <c r="C10" s="297"/>
      <c r="K10" s="4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</row>
    <row r="11" spans="1:25" x14ac:dyDescent="0.25">
      <c r="B11" s="129" t="s">
        <v>414</v>
      </c>
      <c r="C11" s="124">
        <v>9</v>
      </c>
      <c r="D11" s="129" t="s">
        <v>376</v>
      </c>
      <c r="E11" s="124">
        <v>7</v>
      </c>
      <c r="F11" s="129" t="s">
        <v>377</v>
      </c>
      <c r="G11" s="124">
        <v>13000</v>
      </c>
      <c r="H11" s="5"/>
      <c r="I11" s="5"/>
      <c r="J11" s="5"/>
      <c r="K11" s="6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x14ac:dyDescent="0.25"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x14ac:dyDescent="0.25">
      <c r="B13" t="s">
        <v>378</v>
      </c>
      <c r="D13" t="s">
        <v>379</v>
      </c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</row>
    <row r="14" spans="1:25" ht="48" x14ac:dyDescent="0.25">
      <c r="B14" s="119" t="s">
        <v>387</v>
      </c>
      <c r="C14" s="119" t="s">
        <v>380</v>
      </c>
      <c r="D14" s="119" t="s">
        <v>381</v>
      </c>
      <c r="E14" s="119" t="s">
        <v>382</v>
      </c>
      <c r="F14" s="119" t="s">
        <v>383</v>
      </c>
      <c r="G14" s="119" t="s">
        <v>384</v>
      </c>
      <c r="L14" s="5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</row>
    <row r="15" spans="1:25" x14ac:dyDescent="0.25">
      <c r="A15" s="118" t="s">
        <v>385</v>
      </c>
      <c r="B15" s="27">
        <v>0</v>
      </c>
      <c r="C15" s="27">
        <f t="shared" ref="C15:C35" si="0">1.225*PI()*(0.0254*$C$11)^2/4*(($G$11*0.0254*$E$11/60)^2-($G$11*0.0254*$E$11/60)*B15)*($C$11/($E$11*3.29546))^1.5</f>
        <v>18.18313556196885</v>
      </c>
      <c r="D15" s="27">
        <f>C15*1000/9.81</f>
        <v>1853.5306383250611</v>
      </c>
      <c r="E15" s="27">
        <f>D15/1000</f>
        <v>1.8535306383250612</v>
      </c>
      <c r="F15" s="27">
        <f>D15*0.035274</f>
        <v>65.38143973627821</v>
      </c>
      <c r="G15" s="27">
        <f>D15*0.00220462</f>
        <v>4.0863307158641966</v>
      </c>
    </row>
    <row r="16" spans="1:25" x14ac:dyDescent="0.25">
      <c r="A16" s="295" t="s">
        <v>386</v>
      </c>
      <c r="B16" s="2">
        <v>1</v>
      </c>
      <c r="C16" s="2">
        <f t="shared" si="0"/>
        <v>17.711132389122032</v>
      </c>
      <c r="D16" s="2">
        <f t="shared" ref="D16:D35" si="1">C16*1000/9.81</f>
        <v>1805.4161456801253</v>
      </c>
      <c r="E16" s="2">
        <f t="shared" ref="E16:E35" si="2">D16/1000</f>
        <v>1.8054161456801252</v>
      </c>
      <c r="F16" s="2">
        <f t="shared" ref="F16:F35" si="3">D16*0.035274</f>
        <v>63.684249122720736</v>
      </c>
      <c r="G16" s="2">
        <f t="shared" ref="G16:G35" si="4">D16*0.00220462</f>
        <v>3.9802565430893178</v>
      </c>
    </row>
    <row r="17" spans="1:17" x14ac:dyDescent="0.25">
      <c r="A17" s="295"/>
      <c r="B17" s="2">
        <v>2</v>
      </c>
      <c r="C17" s="2">
        <f t="shared" si="0"/>
        <v>17.239129216275217</v>
      </c>
      <c r="D17" s="2">
        <f t="shared" si="1"/>
        <v>1757.3016530351904</v>
      </c>
      <c r="E17" s="2">
        <f t="shared" si="2"/>
        <v>1.7573016530351904</v>
      </c>
      <c r="F17" s="2">
        <f t="shared" si="3"/>
        <v>61.987058509163305</v>
      </c>
      <c r="G17" s="2">
        <f t="shared" si="4"/>
        <v>3.8741823703144416</v>
      </c>
    </row>
    <row r="18" spans="1:17" x14ac:dyDescent="0.25">
      <c r="A18" s="295"/>
      <c r="B18" s="2">
        <v>3</v>
      </c>
      <c r="C18" s="2">
        <f t="shared" si="0"/>
        <v>16.767126043428398</v>
      </c>
      <c r="D18" s="2">
        <f t="shared" si="1"/>
        <v>1709.1871603902546</v>
      </c>
      <c r="E18" s="2">
        <f t="shared" si="2"/>
        <v>1.7091871603902546</v>
      </c>
      <c r="F18" s="2">
        <f t="shared" si="3"/>
        <v>60.289867895605838</v>
      </c>
      <c r="G18" s="2">
        <f t="shared" si="4"/>
        <v>3.7681081975395632</v>
      </c>
    </row>
    <row r="19" spans="1:17" x14ac:dyDescent="0.25">
      <c r="B19" s="2">
        <v>4</v>
      </c>
      <c r="C19" s="2">
        <f t="shared" si="0"/>
        <v>16.295122870581586</v>
      </c>
      <c r="D19" s="2">
        <f t="shared" si="1"/>
        <v>1661.0726677453197</v>
      </c>
      <c r="E19" s="2">
        <f t="shared" si="2"/>
        <v>1.6610726677453196</v>
      </c>
      <c r="F19" s="2">
        <f t="shared" si="3"/>
        <v>58.592677282048406</v>
      </c>
      <c r="G19" s="2">
        <f t="shared" si="4"/>
        <v>3.6620340247646865</v>
      </c>
      <c r="I19" s="142"/>
      <c r="J19" s="142"/>
      <c r="K19" s="142"/>
      <c r="L19" s="142"/>
      <c r="M19" s="142"/>
      <c r="N19" s="142"/>
      <c r="O19" s="142"/>
      <c r="P19" s="142"/>
      <c r="Q19" s="142"/>
    </row>
    <row r="20" spans="1:17" x14ac:dyDescent="0.25">
      <c r="B20" s="2">
        <v>5</v>
      </c>
      <c r="C20" s="2">
        <f t="shared" si="0"/>
        <v>15.823119697734766</v>
      </c>
      <c r="D20" s="2">
        <f t="shared" si="1"/>
        <v>1612.9581751003839</v>
      </c>
      <c r="E20" s="2">
        <f t="shared" si="2"/>
        <v>1.6129581751003839</v>
      </c>
      <c r="F20" s="2">
        <f t="shared" si="3"/>
        <v>56.895486668490939</v>
      </c>
      <c r="G20" s="2">
        <f t="shared" si="4"/>
        <v>3.5559598519898081</v>
      </c>
      <c r="I20" s="142"/>
      <c r="J20" s="142"/>
      <c r="K20" s="142"/>
      <c r="L20" s="142"/>
      <c r="M20" s="142"/>
      <c r="N20" s="142"/>
      <c r="O20" s="142"/>
      <c r="P20" s="142"/>
      <c r="Q20" s="142"/>
    </row>
    <row r="21" spans="1:17" x14ac:dyDescent="0.25">
      <c r="B21" s="2">
        <v>6</v>
      </c>
      <c r="C21" s="2">
        <f t="shared" si="0"/>
        <v>15.351116524887953</v>
      </c>
      <c r="D21" s="2">
        <f t="shared" si="1"/>
        <v>1564.8436824554487</v>
      </c>
      <c r="E21" s="2">
        <f t="shared" si="2"/>
        <v>1.5648436824554488</v>
      </c>
      <c r="F21" s="2">
        <f t="shared" si="3"/>
        <v>55.1982960549335</v>
      </c>
      <c r="G21" s="2">
        <f t="shared" si="4"/>
        <v>3.4498856792149315</v>
      </c>
      <c r="I21" s="142"/>
      <c r="J21" s="142"/>
      <c r="K21" s="142"/>
      <c r="L21" s="142"/>
      <c r="M21" s="142"/>
      <c r="N21" s="142"/>
      <c r="O21" s="142"/>
      <c r="P21" s="142"/>
      <c r="Q21" s="142"/>
    </row>
    <row r="22" spans="1:17" x14ac:dyDescent="0.25">
      <c r="B22" s="2">
        <v>7</v>
      </c>
      <c r="C22" s="2">
        <f t="shared" si="0"/>
        <v>14.879113352041134</v>
      </c>
      <c r="D22" s="2">
        <f t="shared" si="1"/>
        <v>1516.7291898105132</v>
      </c>
      <c r="E22" s="2">
        <f t="shared" si="2"/>
        <v>1.5167291898105131</v>
      </c>
      <c r="F22" s="2">
        <f t="shared" si="3"/>
        <v>53.501105441376041</v>
      </c>
      <c r="G22" s="2">
        <f t="shared" si="4"/>
        <v>3.3438115064400535</v>
      </c>
      <c r="I22" s="142"/>
      <c r="J22" s="142"/>
      <c r="K22" s="142"/>
      <c r="L22" s="142"/>
      <c r="M22" s="142"/>
      <c r="N22" s="142"/>
      <c r="O22" s="142"/>
      <c r="P22" s="142"/>
      <c r="Q22" s="142"/>
    </row>
    <row r="23" spans="1:17" x14ac:dyDescent="0.25">
      <c r="B23" s="2">
        <v>8</v>
      </c>
      <c r="C23" s="2">
        <f t="shared" si="0"/>
        <v>14.407110179194319</v>
      </c>
      <c r="D23" s="2">
        <f t="shared" si="1"/>
        <v>1468.6146971655778</v>
      </c>
      <c r="E23" s="2">
        <f t="shared" si="2"/>
        <v>1.4686146971655778</v>
      </c>
      <c r="F23" s="2">
        <f t="shared" si="3"/>
        <v>51.803914827818595</v>
      </c>
      <c r="G23" s="2">
        <f t="shared" si="4"/>
        <v>3.237737333665176</v>
      </c>
      <c r="I23" s="142"/>
      <c r="J23" s="142"/>
      <c r="K23" s="142"/>
      <c r="L23" s="142"/>
      <c r="M23" s="142"/>
      <c r="N23" s="142"/>
      <c r="O23" s="142"/>
      <c r="P23" s="142"/>
      <c r="Q23" s="142"/>
    </row>
    <row r="24" spans="1:17" x14ac:dyDescent="0.25">
      <c r="B24" s="2">
        <v>9</v>
      </c>
      <c r="C24" s="2">
        <f t="shared" si="0"/>
        <v>13.935107006347504</v>
      </c>
      <c r="D24" s="2">
        <f t="shared" si="1"/>
        <v>1420.5002045206425</v>
      </c>
      <c r="E24" s="2">
        <f t="shared" si="2"/>
        <v>1.4205002045206425</v>
      </c>
      <c r="F24" s="2">
        <f t="shared" si="3"/>
        <v>50.106724214261142</v>
      </c>
      <c r="G24" s="2">
        <f t="shared" si="4"/>
        <v>3.1316631608902989</v>
      </c>
      <c r="I24" s="142"/>
      <c r="J24" s="142"/>
      <c r="K24" s="142"/>
      <c r="L24" s="142"/>
      <c r="M24" s="142"/>
      <c r="N24" s="142"/>
      <c r="O24" s="142"/>
      <c r="P24" s="142"/>
      <c r="Q24" s="142"/>
    </row>
    <row r="25" spans="1:17" x14ac:dyDescent="0.25">
      <c r="B25" s="2">
        <v>10</v>
      </c>
      <c r="C25" s="2">
        <f t="shared" si="0"/>
        <v>13.463103833500687</v>
      </c>
      <c r="D25" s="2">
        <f t="shared" si="1"/>
        <v>1372.3857118757071</v>
      </c>
      <c r="E25" s="2">
        <f t="shared" si="2"/>
        <v>1.372385711875707</v>
      </c>
      <c r="F25" s="2">
        <f t="shared" si="3"/>
        <v>48.409533600703689</v>
      </c>
      <c r="G25" s="2">
        <f t="shared" si="4"/>
        <v>3.0255889881154214</v>
      </c>
      <c r="I25" s="142"/>
      <c r="J25" s="142"/>
      <c r="K25" s="142"/>
      <c r="L25" s="142"/>
      <c r="M25" s="142"/>
      <c r="N25" s="142"/>
      <c r="O25" s="142"/>
      <c r="P25" s="142"/>
      <c r="Q25" s="142"/>
    </row>
    <row r="26" spans="1:17" x14ac:dyDescent="0.25">
      <c r="B26" s="27">
        <v>11</v>
      </c>
      <c r="C26" s="27">
        <f t="shared" si="0"/>
        <v>12.991100660653871</v>
      </c>
      <c r="D26" s="27">
        <f t="shared" si="1"/>
        <v>1324.2712192307715</v>
      </c>
      <c r="E26" s="27">
        <f t="shared" si="2"/>
        <v>1.3242712192307715</v>
      </c>
      <c r="F26" s="27">
        <f t="shared" si="3"/>
        <v>46.712342987146236</v>
      </c>
      <c r="G26" s="27">
        <f t="shared" si="4"/>
        <v>2.9195148153405435</v>
      </c>
      <c r="I26" s="142"/>
      <c r="J26" s="142"/>
      <c r="K26" s="142"/>
      <c r="L26" s="142"/>
      <c r="M26" s="142"/>
      <c r="N26" s="142"/>
      <c r="O26" s="142"/>
      <c r="P26" s="142"/>
      <c r="Q26" s="142"/>
    </row>
    <row r="27" spans="1:17" x14ac:dyDescent="0.25">
      <c r="B27" s="2">
        <v>12</v>
      </c>
      <c r="C27" s="2">
        <f t="shared" si="0"/>
        <v>12.519097487807056</v>
      </c>
      <c r="D27" s="2">
        <f t="shared" si="1"/>
        <v>1276.1567265858364</v>
      </c>
      <c r="E27" s="2">
        <f t="shared" si="2"/>
        <v>1.2761567265858365</v>
      </c>
      <c r="F27" s="2">
        <f t="shared" si="3"/>
        <v>45.015152373588791</v>
      </c>
      <c r="G27" s="2">
        <f t="shared" si="4"/>
        <v>2.8134406425656668</v>
      </c>
      <c r="I27" s="142"/>
      <c r="J27" s="142"/>
      <c r="K27" s="142"/>
      <c r="L27" s="142"/>
      <c r="M27" s="142"/>
      <c r="N27" s="142"/>
      <c r="O27" s="142"/>
      <c r="P27" s="142"/>
      <c r="Q27" s="142"/>
    </row>
    <row r="28" spans="1:17" x14ac:dyDescent="0.25">
      <c r="B28" s="2">
        <v>13</v>
      </c>
      <c r="C28" s="2">
        <f t="shared" si="0"/>
        <v>12.047094314960239</v>
      </c>
      <c r="D28" s="2">
        <f t="shared" si="1"/>
        <v>1228.042233940901</v>
      </c>
      <c r="E28" s="2">
        <f t="shared" si="2"/>
        <v>1.228042233940901</v>
      </c>
      <c r="F28" s="2">
        <f t="shared" si="3"/>
        <v>43.317961760031345</v>
      </c>
      <c r="G28" s="2">
        <f t="shared" si="4"/>
        <v>2.7073664697907893</v>
      </c>
      <c r="I28" s="142"/>
      <c r="J28" s="142"/>
      <c r="K28" s="142"/>
      <c r="L28" s="142"/>
      <c r="M28" s="142"/>
      <c r="N28" s="142"/>
      <c r="O28" s="142"/>
      <c r="P28" s="142"/>
      <c r="Q28" s="142"/>
    </row>
    <row r="29" spans="1:17" x14ac:dyDescent="0.25">
      <c r="B29" s="2">
        <v>14</v>
      </c>
      <c r="C29" s="2">
        <f t="shared" si="0"/>
        <v>11.575091142113422</v>
      </c>
      <c r="D29" s="2">
        <f t="shared" si="1"/>
        <v>1179.9277412959655</v>
      </c>
      <c r="E29" s="2">
        <f t="shared" si="2"/>
        <v>1.1799277412959654</v>
      </c>
      <c r="F29" s="2">
        <f t="shared" si="3"/>
        <v>41.620771146473885</v>
      </c>
      <c r="G29" s="2">
        <f t="shared" si="4"/>
        <v>2.6012922970159114</v>
      </c>
      <c r="I29" s="142"/>
      <c r="J29" s="142"/>
      <c r="K29" s="142"/>
      <c r="L29" s="142"/>
      <c r="M29" s="142"/>
      <c r="N29" s="142"/>
      <c r="O29" s="142"/>
      <c r="P29" s="142"/>
      <c r="Q29" s="142"/>
    </row>
    <row r="30" spans="1:17" x14ac:dyDescent="0.25">
      <c r="B30" s="2">
        <v>15</v>
      </c>
      <c r="C30" s="2">
        <f t="shared" si="0"/>
        <v>11.103087969266607</v>
      </c>
      <c r="D30" s="2">
        <f t="shared" si="1"/>
        <v>1131.8132486510303</v>
      </c>
      <c r="E30" s="2">
        <f t="shared" si="2"/>
        <v>1.1318132486510304</v>
      </c>
      <c r="F30" s="2">
        <f t="shared" si="3"/>
        <v>39.923580532916446</v>
      </c>
      <c r="G30" s="2">
        <f t="shared" si="4"/>
        <v>2.4952181242410347</v>
      </c>
      <c r="I30" s="142"/>
      <c r="J30" s="142"/>
      <c r="K30" s="142"/>
      <c r="L30" s="142"/>
      <c r="M30" s="142"/>
      <c r="N30" s="142"/>
      <c r="O30" s="142"/>
      <c r="P30" s="142"/>
      <c r="Q30" s="142"/>
    </row>
    <row r="31" spans="1:17" x14ac:dyDescent="0.25">
      <c r="B31" s="2">
        <v>16</v>
      </c>
      <c r="C31" s="2">
        <f t="shared" si="0"/>
        <v>10.63108479641979</v>
      </c>
      <c r="D31" s="2">
        <f t="shared" si="1"/>
        <v>1083.6987560060948</v>
      </c>
      <c r="E31" s="2">
        <f t="shared" si="2"/>
        <v>1.0836987560060947</v>
      </c>
      <c r="F31" s="2">
        <f t="shared" si="3"/>
        <v>38.226389919358986</v>
      </c>
      <c r="G31" s="2">
        <f t="shared" si="4"/>
        <v>2.3891439514661568</v>
      </c>
      <c r="I31" s="142"/>
      <c r="J31" s="142"/>
      <c r="K31" s="142"/>
      <c r="L31" s="142"/>
      <c r="M31" s="142"/>
      <c r="N31" s="142"/>
      <c r="O31" s="142"/>
      <c r="P31" s="142"/>
      <c r="Q31" s="142"/>
    </row>
    <row r="32" spans="1:17" x14ac:dyDescent="0.25">
      <c r="B32" s="2">
        <v>17</v>
      </c>
      <c r="C32" s="2">
        <f t="shared" si="0"/>
        <v>10.159081623572975</v>
      </c>
      <c r="D32" s="2">
        <f t="shared" si="1"/>
        <v>1035.5842633611594</v>
      </c>
      <c r="E32" s="2">
        <f t="shared" si="2"/>
        <v>1.0355842633611594</v>
      </c>
      <c r="F32" s="2">
        <f t="shared" si="3"/>
        <v>36.529199305801534</v>
      </c>
      <c r="G32" s="2">
        <f t="shared" si="4"/>
        <v>2.2830697786912793</v>
      </c>
      <c r="I32" s="142"/>
      <c r="J32" s="142"/>
      <c r="K32" s="142"/>
      <c r="L32" s="142"/>
      <c r="M32" s="142"/>
      <c r="N32" s="142"/>
      <c r="O32" s="142"/>
      <c r="P32" s="142"/>
      <c r="Q32" s="142"/>
    </row>
    <row r="33" spans="2:17" x14ac:dyDescent="0.25">
      <c r="B33" s="2">
        <v>18</v>
      </c>
      <c r="C33" s="2">
        <f t="shared" si="0"/>
        <v>9.6870784507261583</v>
      </c>
      <c r="D33" s="2">
        <f t="shared" si="1"/>
        <v>987.46977071622393</v>
      </c>
      <c r="E33" s="2">
        <f t="shared" si="2"/>
        <v>0.98746977071622388</v>
      </c>
      <c r="F33" s="2">
        <f t="shared" si="3"/>
        <v>34.832008692244081</v>
      </c>
      <c r="G33" s="2">
        <f t="shared" si="4"/>
        <v>2.1769956059164017</v>
      </c>
      <c r="I33" s="142"/>
      <c r="J33" s="142"/>
      <c r="K33" s="142"/>
      <c r="L33" s="142"/>
      <c r="M33" s="142"/>
      <c r="N33" s="142"/>
      <c r="O33" s="142"/>
      <c r="P33" s="142"/>
      <c r="Q33" s="142"/>
    </row>
    <row r="34" spans="2:17" x14ac:dyDescent="0.25">
      <c r="B34" s="2">
        <v>19</v>
      </c>
      <c r="C34" s="2">
        <f t="shared" si="0"/>
        <v>9.2150752778793414</v>
      </c>
      <c r="D34" s="2">
        <f t="shared" si="1"/>
        <v>939.35527807128858</v>
      </c>
      <c r="E34" s="2">
        <f t="shared" si="2"/>
        <v>0.9393552780712886</v>
      </c>
      <c r="F34" s="2">
        <f t="shared" si="3"/>
        <v>33.134818078686635</v>
      </c>
      <c r="G34" s="2">
        <f t="shared" si="4"/>
        <v>2.0709214331415242</v>
      </c>
      <c r="I34" s="142"/>
      <c r="J34" s="142"/>
      <c r="K34" s="142"/>
      <c r="L34" s="142"/>
      <c r="M34" s="142"/>
      <c r="N34" s="142"/>
      <c r="O34" s="142"/>
      <c r="P34" s="142"/>
      <c r="Q34" s="142"/>
    </row>
    <row r="35" spans="2:17" x14ac:dyDescent="0.25">
      <c r="B35" s="2">
        <v>20</v>
      </c>
      <c r="C35" s="2">
        <f t="shared" si="0"/>
        <v>8.7430721050325246</v>
      </c>
      <c r="D35" s="2">
        <f t="shared" si="1"/>
        <v>891.24078542635311</v>
      </c>
      <c r="E35" s="2">
        <f t="shared" si="2"/>
        <v>0.8912407854263531</v>
      </c>
      <c r="F35" s="2">
        <f t="shared" si="3"/>
        <v>31.437627465129179</v>
      </c>
      <c r="G35" s="2">
        <f t="shared" si="4"/>
        <v>1.9648472603666467</v>
      </c>
    </row>
  </sheetData>
  <mergeCells count="6">
    <mergeCell ref="A16:A18"/>
    <mergeCell ref="P6:W6"/>
    <mergeCell ref="I19:Q34"/>
    <mergeCell ref="A1:F3"/>
    <mergeCell ref="M8:Y14"/>
    <mergeCell ref="B10:C10"/>
  </mergeCells>
  <hyperlinks>
    <hyperlink ref="B7" r:id="rId1" xr:uid="{C16DCF95-8370-4E8D-B990-F60A80E4B520}"/>
    <hyperlink ref="P6" r:id="rId2" xr:uid="{2808B3F7-6A76-42EF-AAFB-31492D3697D3}"/>
    <hyperlink ref="C8" r:id="rId3" xr:uid="{2F841850-3E40-49A0-9752-149D586A6529}"/>
  </hyperlinks>
  <pageMargins left="0.7" right="0.7" top="0.75" bottom="0.75" header="0.3" footer="0.3"/>
  <pageSetup orientation="portrait" horizontalDpi="300" verticalDpi="300" r:id="rId4"/>
  <drawing r:id="rId5"/>
  <legacyDrawing r:id="rId6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3B9C-9346-454F-A8B8-261224CAEA28}">
  <dimension ref="A1:P92"/>
  <sheetViews>
    <sheetView topLeftCell="A37" zoomScale="70" zoomScaleNormal="70" workbookViewId="0">
      <selection activeCell="Y55" sqref="Y55"/>
    </sheetView>
  </sheetViews>
  <sheetFormatPr defaultRowHeight="15" x14ac:dyDescent="0.25"/>
  <cols>
    <col min="1" max="1" width="10.5703125" customWidth="1"/>
    <col min="3" max="3" width="12.42578125" customWidth="1"/>
  </cols>
  <sheetData>
    <row r="1" spans="1:16" x14ac:dyDescent="0.25">
      <c r="A1" s="182" t="s">
        <v>250</v>
      </c>
      <c r="B1" s="183"/>
      <c r="C1" s="183"/>
      <c r="D1" s="183"/>
      <c r="E1" s="183"/>
      <c r="F1" s="184"/>
    </row>
    <row r="2" spans="1:16" x14ac:dyDescent="0.25">
      <c r="A2" s="185"/>
      <c r="B2" s="186"/>
      <c r="C2" s="186"/>
      <c r="D2" s="186"/>
      <c r="E2" s="186"/>
      <c r="F2" s="187"/>
    </row>
    <row r="3" spans="1:16" ht="15.75" thickBot="1" x14ac:dyDescent="0.3">
      <c r="A3" s="188"/>
      <c r="B3" s="189"/>
      <c r="C3" s="189"/>
      <c r="D3" s="189"/>
      <c r="E3" s="189"/>
      <c r="F3" s="190"/>
    </row>
    <row r="5" spans="1:16" x14ac:dyDescent="0.25">
      <c r="A5" s="298" t="s">
        <v>245</v>
      </c>
      <c r="B5" s="299"/>
      <c r="C5" s="299"/>
      <c r="D5" s="299"/>
    </row>
    <row r="6" spans="1:16" x14ac:dyDescent="0.25">
      <c r="A6" s="299"/>
      <c r="B6" s="299"/>
      <c r="C6" s="299"/>
      <c r="D6" s="299"/>
    </row>
    <row r="7" spans="1:16" ht="15" customHeight="1" x14ac:dyDescent="0.25">
      <c r="M7" s="130"/>
      <c r="N7" s="53"/>
      <c r="O7" s="53"/>
      <c r="P7" s="53"/>
    </row>
    <row r="8" spans="1:16" x14ac:dyDescent="0.25">
      <c r="A8" s="142" t="s">
        <v>10</v>
      </c>
      <c r="B8" s="142"/>
      <c r="C8" s="142"/>
      <c r="D8" s="33" t="s">
        <v>415</v>
      </c>
      <c r="M8" s="53"/>
      <c r="N8" s="53"/>
      <c r="O8" s="53"/>
      <c r="P8" s="53"/>
    </row>
    <row r="9" spans="1:16" x14ac:dyDescent="0.25">
      <c r="A9" s="142" t="s">
        <v>247</v>
      </c>
      <c r="B9" s="142"/>
      <c r="C9" s="142"/>
      <c r="D9" s="33" t="s">
        <v>246</v>
      </c>
    </row>
    <row r="10" spans="1:16" x14ac:dyDescent="0.25">
      <c r="A10" s="142" t="s">
        <v>248</v>
      </c>
      <c r="B10" s="142"/>
      <c r="C10" s="142"/>
      <c r="D10" s="33" t="s">
        <v>249</v>
      </c>
    </row>
    <row r="11" spans="1:16" x14ac:dyDescent="0.25">
      <c r="A11" s="142" t="s">
        <v>122</v>
      </c>
      <c r="B11" s="142"/>
      <c r="C11" s="142"/>
      <c r="D11" s="33">
        <f>Payload/MTOW</f>
        <v>0.4</v>
      </c>
    </row>
    <row r="13" spans="1:16" x14ac:dyDescent="0.25">
      <c r="A13" s="298" t="s">
        <v>241</v>
      </c>
      <c r="B13" s="299"/>
      <c r="C13" s="299"/>
      <c r="D13" s="299"/>
    </row>
    <row r="14" spans="1:16" x14ac:dyDescent="0.25">
      <c r="A14" s="299"/>
      <c r="B14" s="299"/>
      <c r="C14" s="299"/>
      <c r="D14" s="299"/>
    </row>
    <row r="16" spans="1:16" x14ac:dyDescent="0.25">
      <c r="A16" s="155" t="s">
        <v>251</v>
      </c>
      <c r="B16" s="155"/>
    </row>
    <row r="17" spans="1:8" x14ac:dyDescent="0.25">
      <c r="A17" s="142" t="s">
        <v>34</v>
      </c>
      <c r="B17" s="142"/>
      <c r="C17" s="142"/>
      <c r="D17" s="142"/>
      <c r="E17" s="142"/>
      <c r="F17" s="142"/>
      <c r="G17" s="142"/>
      <c r="H17" s="142"/>
    </row>
    <row r="18" spans="1:8" x14ac:dyDescent="0.25">
      <c r="A18" s="2" t="s">
        <v>242</v>
      </c>
      <c r="B18" s="300">
        <f>Clmax</f>
        <v>2.0813999999999999</v>
      </c>
      <c r="C18" s="301"/>
    </row>
    <row r="19" spans="1:8" x14ac:dyDescent="0.25">
      <c r="A19" s="2" t="s">
        <v>243</v>
      </c>
      <c r="B19" s="2">
        <f>Stall_angle</f>
        <v>10.75</v>
      </c>
      <c r="C19" s="2" t="s">
        <v>244</v>
      </c>
    </row>
    <row r="20" spans="1:8" x14ac:dyDescent="0.25">
      <c r="A20" s="2" t="s">
        <v>138</v>
      </c>
      <c r="B20" s="142" t="s">
        <v>252</v>
      </c>
      <c r="C20" s="142"/>
    </row>
    <row r="22" spans="1:8" x14ac:dyDescent="0.25">
      <c r="A22" s="74" t="s">
        <v>241</v>
      </c>
    </row>
    <row r="23" spans="1:8" x14ac:dyDescent="0.25">
      <c r="A23" s="142" t="s">
        <v>49</v>
      </c>
      <c r="B23" s="142"/>
      <c r="C23" s="142"/>
      <c r="D23" s="2">
        <v>7</v>
      </c>
      <c r="E23" s="2"/>
    </row>
    <row r="24" spans="1:8" x14ac:dyDescent="0.25">
      <c r="A24" s="142" t="s">
        <v>196</v>
      </c>
      <c r="B24" s="142"/>
      <c r="C24" s="142"/>
      <c r="D24" s="2">
        <f>Sw</f>
        <v>0.24142857142857144</v>
      </c>
      <c r="E24" s="2" t="s">
        <v>48</v>
      </c>
    </row>
    <row r="25" spans="1:8" x14ac:dyDescent="0.25">
      <c r="A25" s="142" t="s">
        <v>253</v>
      </c>
      <c r="B25" s="142"/>
      <c r="C25" s="142"/>
      <c r="D25" s="2">
        <f>Cw</f>
        <v>0.18571428571428572</v>
      </c>
      <c r="E25" s="2" t="s">
        <v>51</v>
      </c>
    </row>
    <row r="26" spans="1:8" x14ac:dyDescent="0.25">
      <c r="A26" s="142" t="s">
        <v>254</v>
      </c>
      <c r="B26" s="142"/>
      <c r="C26" s="142"/>
      <c r="D26" s="2">
        <f>b</f>
        <v>1.3</v>
      </c>
      <c r="E26" s="2" t="s">
        <v>51</v>
      </c>
    </row>
    <row r="27" spans="1:8" x14ac:dyDescent="0.25">
      <c r="A27" s="142" t="s">
        <v>219</v>
      </c>
      <c r="B27" s="142"/>
      <c r="C27" s="142"/>
      <c r="D27" s="2">
        <f>Cw/4</f>
        <v>4.642857142857143E-2</v>
      </c>
      <c r="E27" s="2"/>
    </row>
    <row r="28" spans="1:8" x14ac:dyDescent="0.25">
      <c r="A28" s="142" t="s">
        <v>110</v>
      </c>
      <c r="B28" s="142"/>
      <c r="C28" s="142"/>
      <c r="D28" s="2">
        <f>L_kgs</f>
        <v>3.1323599956312798</v>
      </c>
      <c r="E28" s="2" t="s">
        <v>14</v>
      </c>
    </row>
    <row r="29" spans="1:8" x14ac:dyDescent="0.25">
      <c r="A29" s="52"/>
      <c r="B29" s="52"/>
      <c r="C29" s="52"/>
    </row>
    <row r="30" spans="1:8" x14ac:dyDescent="0.25">
      <c r="A30" s="277" t="s">
        <v>268</v>
      </c>
      <c r="B30" s="277"/>
      <c r="C30" s="52"/>
    </row>
    <row r="31" spans="1:8" x14ac:dyDescent="0.25">
      <c r="A31" s="142" t="s">
        <v>265</v>
      </c>
      <c r="B31" s="142"/>
      <c r="C31" s="142"/>
      <c r="D31" s="2">
        <f>Aeliron_Span</f>
        <v>1.04</v>
      </c>
      <c r="E31" s="2" t="s">
        <v>51</v>
      </c>
    </row>
    <row r="32" spans="1:8" x14ac:dyDescent="0.25">
      <c r="A32" s="142" t="s">
        <v>253</v>
      </c>
      <c r="B32" s="142"/>
      <c r="C32" s="142"/>
      <c r="D32" s="2">
        <f>Aeliron_Chord</f>
        <v>4.642857142857143E-2</v>
      </c>
      <c r="E32" s="2" t="s">
        <v>51</v>
      </c>
    </row>
    <row r="34" spans="1:9" x14ac:dyDescent="0.25">
      <c r="A34" s="298" t="s">
        <v>255</v>
      </c>
      <c r="B34" s="299"/>
      <c r="C34" s="299"/>
      <c r="D34" s="299"/>
    </row>
    <row r="35" spans="1:9" x14ac:dyDescent="0.25">
      <c r="A35" s="299"/>
      <c r="B35" s="299"/>
      <c r="C35" s="299"/>
      <c r="D35" s="299"/>
    </row>
    <row r="37" spans="1:9" x14ac:dyDescent="0.25">
      <c r="A37" s="142" t="s">
        <v>257</v>
      </c>
      <c r="B37" s="142"/>
      <c r="C37" s="142"/>
      <c r="D37" s="2">
        <f>Fl</f>
        <v>0.90999999999999992</v>
      </c>
      <c r="E37" s="2" t="s">
        <v>51</v>
      </c>
    </row>
    <row r="38" spans="1:9" x14ac:dyDescent="0.25">
      <c r="A38" s="142" t="s">
        <v>256</v>
      </c>
      <c r="B38" s="142"/>
      <c r="C38" s="142"/>
      <c r="D38" s="2">
        <f>Fl/2</f>
        <v>0.45499999999999996</v>
      </c>
      <c r="E38" s="2" t="s">
        <v>51</v>
      </c>
    </row>
    <row r="40" spans="1:9" x14ac:dyDescent="0.25">
      <c r="A40" s="155" t="s">
        <v>258</v>
      </c>
      <c r="B40" s="155"/>
      <c r="C40" s="155"/>
    </row>
    <row r="41" spans="1:9" x14ac:dyDescent="0.25">
      <c r="A41" s="174" t="s">
        <v>113</v>
      </c>
      <c r="B41" s="176"/>
      <c r="C41" s="174" t="s">
        <v>114</v>
      </c>
      <c r="D41" s="176"/>
    </row>
    <row r="42" spans="1:9" x14ac:dyDescent="0.25">
      <c r="A42" s="2" t="s">
        <v>259</v>
      </c>
      <c r="B42" s="2" t="s">
        <v>260</v>
      </c>
      <c r="C42" s="2" t="s">
        <v>259</v>
      </c>
      <c r="D42" s="2" t="s">
        <v>260</v>
      </c>
    </row>
    <row r="43" spans="1:9" x14ac:dyDescent="0.25">
      <c r="A43" s="77">
        <f>119.1/1000</f>
        <v>0.1191</v>
      </c>
      <c r="B43" s="77">
        <f>78/1000</f>
        <v>7.8E-2</v>
      </c>
      <c r="C43" s="77">
        <f>99.1/1000</f>
        <v>9.9099999999999994E-2</v>
      </c>
      <c r="D43" s="77">
        <f>58/1000</f>
        <v>5.8000000000000003E-2</v>
      </c>
    </row>
    <row r="44" spans="1:9" x14ac:dyDescent="0.25">
      <c r="A44" s="142"/>
      <c r="B44" s="142"/>
      <c r="C44" s="142"/>
      <c r="D44" s="142"/>
      <c r="E44" s="142"/>
      <c r="F44" s="142"/>
      <c r="G44" s="142"/>
      <c r="H44" s="142"/>
      <c r="I44" s="142"/>
    </row>
    <row r="45" spans="1:9" x14ac:dyDescent="0.25">
      <c r="A45" s="142"/>
      <c r="B45" s="142"/>
      <c r="C45" s="142"/>
      <c r="D45" s="142"/>
      <c r="E45" s="142"/>
      <c r="F45" s="142"/>
      <c r="G45" s="142"/>
      <c r="H45" s="142"/>
      <c r="I45" s="142"/>
    </row>
    <row r="46" spans="1:9" x14ac:dyDescent="0.25">
      <c r="A46" s="142"/>
      <c r="B46" s="142"/>
      <c r="C46" s="142"/>
      <c r="D46" s="142"/>
      <c r="E46" s="142"/>
      <c r="F46" s="142"/>
      <c r="G46" s="142"/>
      <c r="H46" s="142"/>
      <c r="I46" s="142"/>
    </row>
    <row r="47" spans="1:9" x14ac:dyDescent="0.25">
      <c r="A47" s="142"/>
      <c r="B47" s="142"/>
      <c r="C47" s="142"/>
      <c r="D47" s="142"/>
      <c r="E47" s="142"/>
      <c r="F47" s="142"/>
      <c r="G47" s="142"/>
      <c r="H47" s="142"/>
      <c r="I47" s="142"/>
    </row>
    <row r="48" spans="1:9" x14ac:dyDescent="0.25">
      <c r="A48" s="142"/>
      <c r="B48" s="142"/>
      <c r="C48" s="142"/>
      <c r="D48" s="142"/>
      <c r="E48" s="142"/>
      <c r="F48" s="142"/>
      <c r="G48" s="142"/>
      <c r="H48" s="142"/>
      <c r="I48" s="142"/>
    </row>
    <row r="49" spans="1:9" x14ac:dyDescent="0.25">
      <c r="A49" s="142"/>
      <c r="B49" s="142"/>
      <c r="C49" s="142"/>
      <c r="D49" s="142"/>
      <c r="E49" s="142"/>
      <c r="F49" s="142"/>
      <c r="G49" s="142"/>
      <c r="H49" s="142"/>
      <c r="I49" s="142"/>
    </row>
    <row r="50" spans="1:9" x14ac:dyDescent="0.25">
      <c r="A50" s="142"/>
      <c r="B50" s="142"/>
      <c r="C50" s="142"/>
      <c r="D50" s="142"/>
      <c r="E50" s="142"/>
      <c r="F50" s="142"/>
      <c r="G50" s="142"/>
      <c r="H50" s="142"/>
      <c r="I50" s="142"/>
    </row>
    <row r="51" spans="1:9" x14ac:dyDescent="0.25">
      <c r="A51" s="142"/>
      <c r="B51" s="142"/>
      <c r="C51" s="142"/>
      <c r="D51" s="142"/>
      <c r="E51" s="142"/>
      <c r="F51" s="142"/>
      <c r="G51" s="142"/>
      <c r="H51" s="142"/>
      <c r="I51" s="142"/>
    </row>
    <row r="52" spans="1:9" x14ac:dyDescent="0.25">
      <c r="A52" s="142"/>
      <c r="B52" s="142"/>
      <c r="C52" s="142"/>
      <c r="D52" s="142"/>
      <c r="E52" s="142"/>
      <c r="F52" s="142"/>
      <c r="G52" s="142"/>
      <c r="H52" s="142"/>
      <c r="I52" s="142"/>
    </row>
    <row r="53" spans="1:9" x14ac:dyDescent="0.25">
      <c r="A53" s="142"/>
      <c r="B53" s="142"/>
      <c r="C53" s="142"/>
      <c r="D53" s="142"/>
      <c r="E53" s="142"/>
      <c r="F53" s="142"/>
      <c r="G53" s="142"/>
      <c r="H53" s="142"/>
      <c r="I53" s="142"/>
    </row>
    <row r="54" spans="1:9" x14ac:dyDescent="0.25">
      <c r="A54" s="142"/>
      <c r="B54" s="142"/>
      <c r="C54" s="142"/>
      <c r="D54" s="142"/>
      <c r="E54" s="142"/>
      <c r="F54" s="142"/>
      <c r="G54" s="142"/>
      <c r="H54" s="142"/>
      <c r="I54" s="142"/>
    </row>
    <row r="55" spans="1:9" x14ac:dyDescent="0.25">
      <c r="A55" s="142"/>
      <c r="B55" s="142"/>
      <c r="C55" s="142"/>
      <c r="D55" s="142"/>
      <c r="E55" s="142"/>
      <c r="F55" s="142"/>
      <c r="G55" s="142"/>
      <c r="H55" s="142"/>
      <c r="I55" s="142"/>
    </row>
    <row r="56" spans="1:9" x14ac:dyDescent="0.25">
      <c r="A56" s="142"/>
      <c r="B56" s="142"/>
      <c r="C56" s="142"/>
      <c r="D56" s="142"/>
      <c r="E56" s="142"/>
      <c r="F56" s="142"/>
      <c r="G56" s="142"/>
      <c r="H56" s="142"/>
      <c r="I56" s="142"/>
    </row>
    <row r="57" spans="1:9" x14ac:dyDescent="0.25">
      <c r="A57" s="142"/>
      <c r="B57" s="142"/>
      <c r="C57" s="142"/>
      <c r="D57" s="142"/>
      <c r="E57" s="142"/>
      <c r="F57" s="142"/>
      <c r="G57" s="142"/>
      <c r="H57" s="142"/>
      <c r="I57" s="142"/>
    </row>
    <row r="58" spans="1:9" x14ac:dyDescent="0.25">
      <c r="A58" s="142"/>
      <c r="B58" s="142"/>
      <c r="C58" s="142"/>
      <c r="D58" s="142"/>
      <c r="E58" s="142"/>
      <c r="F58" s="142"/>
      <c r="G58" s="142"/>
      <c r="H58" s="142"/>
      <c r="I58" s="142"/>
    </row>
    <row r="59" spans="1:9" x14ac:dyDescent="0.25">
      <c r="A59" s="142"/>
      <c r="B59" s="142"/>
      <c r="C59" s="142"/>
      <c r="D59" s="142"/>
      <c r="E59" s="142"/>
      <c r="F59" s="142"/>
      <c r="G59" s="142"/>
      <c r="H59" s="142"/>
      <c r="I59" s="142"/>
    </row>
    <row r="60" spans="1:9" x14ac:dyDescent="0.25">
      <c r="A60" s="142"/>
      <c r="B60" s="142"/>
      <c r="C60" s="142"/>
      <c r="D60" s="142"/>
      <c r="E60" s="142"/>
      <c r="F60" s="142"/>
      <c r="G60" s="142"/>
      <c r="H60" s="142"/>
      <c r="I60" s="142"/>
    </row>
    <row r="61" spans="1:9" x14ac:dyDescent="0.25">
      <c r="A61" s="142"/>
      <c r="B61" s="142"/>
      <c r="C61" s="142"/>
      <c r="D61" s="142"/>
      <c r="E61" s="142"/>
      <c r="F61" s="142"/>
      <c r="G61" s="142"/>
      <c r="H61" s="142"/>
      <c r="I61" s="142"/>
    </row>
    <row r="62" spans="1:9" x14ac:dyDescent="0.25">
      <c r="A62" s="142"/>
      <c r="B62" s="142"/>
      <c r="C62" s="142"/>
      <c r="D62" s="142"/>
      <c r="E62" s="142"/>
      <c r="F62" s="142"/>
      <c r="G62" s="142"/>
      <c r="H62" s="142"/>
      <c r="I62" s="142"/>
    </row>
    <row r="63" spans="1:9" x14ac:dyDescent="0.25">
      <c r="A63" s="142"/>
      <c r="B63" s="142"/>
      <c r="C63" s="142"/>
      <c r="D63" s="142"/>
      <c r="E63" s="142"/>
      <c r="F63" s="142"/>
      <c r="G63" s="142"/>
      <c r="H63" s="142"/>
      <c r="I63" s="142"/>
    </row>
    <row r="65" spans="1:11" x14ac:dyDescent="0.25">
      <c r="A65" s="155" t="s">
        <v>261</v>
      </c>
      <c r="B65" s="155"/>
      <c r="F65" s="155" t="s">
        <v>296</v>
      </c>
      <c r="G65" s="155"/>
      <c r="J65" s="155" t="s">
        <v>297</v>
      </c>
      <c r="K65" s="155"/>
    </row>
    <row r="66" spans="1:11" x14ac:dyDescent="0.25">
      <c r="A66" s="142"/>
      <c r="B66" s="142"/>
      <c r="F66" s="142"/>
      <c r="G66" s="142"/>
      <c r="J66" s="2">
        <v>0</v>
      </c>
      <c r="K66" s="2">
        <v>0</v>
      </c>
    </row>
    <row r="67" spans="1:11" x14ac:dyDescent="0.25">
      <c r="A67" s="142"/>
      <c r="B67" s="142"/>
      <c r="F67" s="142"/>
      <c r="G67" s="142"/>
      <c r="J67" s="73">
        <f>B70</f>
        <v>1.9234321943199999E-2</v>
      </c>
      <c r="K67" s="73">
        <f>G71</f>
        <v>7.2799999999999991E-4</v>
      </c>
    </row>
    <row r="68" spans="1:11" x14ac:dyDescent="0.25">
      <c r="A68" s="2" t="s">
        <v>262</v>
      </c>
      <c r="B68" s="2">
        <f>(0.058+0.058)</f>
        <v>0.11600000000000001</v>
      </c>
      <c r="C68" s="2" t="s">
        <v>51</v>
      </c>
      <c r="F68" s="2" t="s">
        <v>45</v>
      </c>
      <c r="G68" s="2">
        <f>Fl/2</f>
        <v>0.45499999999999996</v>
      </c>
      <c r="H68" s="2" t="s">
        <v>51</v>
      </c>
    </row>
    <row r="69" spans="1:11" x14ac:dyDescent="0.25">
      <c r="A69" s="2" t="s">
        <v>46</v>
      </c>
      <c r="B69" s="2">
        <f>Fl/2</f>
        <v>0.45499999999999996</v>
      </c>
      <c r="C69" s="2" t="s">
        <v>51</v>
      </c>
      <c r="F69" s="2" t="s">
        <v>269</v>
      </c>
      <c r="G69" s="2">
        <v>0.04</v>
      </c>
      <c r="H69" s="2" t="s">
        <v>51</v>
      </c>
    </row>
    <row r="70" spans="1:11" x14ac:dyDescent="0.25">
      <c r="A70" s="2" t="s">
        <v>133</v>
      </c>
      <c r="B70" s="73">
        <f>pie*(B68^2)*B69</f>
        <v>1.9234321943199999E-2</v>
      </c>
      <c r="C70" s="2" t="s">
        <v>274</v>
      </c>
      <c r="F70" s="2" t="s">
        <v>46</v>
      </c>
      <c r="G70" s="2">
        <v>0.04</v>
      </c>
      <c r="H70" s="2" t="s">
        <v>51</v>
      </c>
    </row>
    <row r="71" spans="1:11" x14ac:dyDescent="0.25">
      <c r="F71" s="2" t="s">
        <v>133</v>
      </c>
      <c r="G71" s="73">
        <f>G68*G69*G70</f>
        <v>7.2799999999999991E-4</v>
      </c>
      <c r="H71" s="2" t="s">
        <v>274</v>
      </c>
    </row>
    <row r="72" spans="1:11" x14ac:dyDescent="0.25">
      <c r="A72" s="298" t="s">
        <v>263</v>
      </c>
      <c r="B72" s="299"/>
      <c r="C72" s="299"/>
      <c r="D72" s="299"/>
    </row>
    <row r="73" spans="1:11" x14ac:dyDescent="0.25">
      <c r="A73" s="299"/>
      <c r="B73" s="299"/>
      <c r="C73" s="299"/>
      <c r="D73" s="299"/>
    </row>
    <row r="75" spans="1:11" x14ac:dyDescent="0.25">
      <c r="A75" s="156" t="s">
        <v>398</v>
      </c>
      <c r="B75" s="156"/>
      <c r="C75" s="156"/>
      <c r="D75" s="156"/>
      <c r="E75" s="156"/>
    </row>
    <row r="77" spans="1:11" x14ac:dyDescent="0.25">
      <c r="A77" s="155" t="s">
        <v>264</v>
      </c>
      <c r="B77" s="155"/>
    </row>
    <row r="78" spans="1:11" x14ac:dyDescent="0.25">
      <c r="A78" s="302" t="s">
        <v>216</v>
      </c>
      <c r="B78" s="302"/>
      <c r="C78" s="302"/>
      <c r="D78" s="79">
        <f>Lht</f>
        <v>0.54621848739495804</v>
      </c>
      <c r="E78" s="78" t="s">
        <v>51</v>
      </c>
    </row>
    <row r="79" spans="1:11" x14ac:dyDescent="0.25">
      <c r="A79" s="303" t="s">
        <v>206</v>
      </c>
      <c r="B79" s="303"/>
      <c r="C79" s="303"/>
      <c r="D79" s="79">
        <f>Sht</f>
        <v>4.1042857142857145E-2</v>
      </c>
      <c r="E79" s="80" t="s">
        <v>48</v>
      </c>
    </row>
    <row r="80" spans="1:11" x14ac:dyDescent="0.25">
      <c r="A80" s="193" t="s">
        <v>253</v>
      </c>
      <c r="B80" s="193"/>
      <c r="C80" s="193"/>
      <c r="D80" s="81">
        <f>Cht</f>
        <v>0.11696560340951685</v>
      </c>
      <c r="E80" s="78" t="s">
        <v>51</v>
      </c>
    </row>
    <row r="81" spans="1:11" x14ac:dyDescent="0.25">
      <c r="A81" s="193" t="s">
        <v>265</v>
      </c>
      <c r="B81" s="193"/>
      <c r="C81" s="193"/>
      <c r="D81" s="79">
        <f>bht</f>
        <v>0.35089681022855057</v>
      </c>
      <c r="E81" s="80" t="s">
        <v>51</v>
      </c>
    </row>
    <row r="82" spans="1:11" x14ac:dyDescent="0.25">
      <c r="A82" s="142" t="s">
        <v>219</v>
      </c>
      <c r="B82" s="142"/>
      <c r="C82" s="142"/>
      <c r="D82" s="76">
        <f>Cht/4</f>
        <v>2.9241400852379213E-2</v>
      </c>
      <c r="E82" s="78" t="s">
        <v>51</v>
      </c>
    </row>
    <row r="83" spans="1:11" x14ac:dyDescent="0.25">
      <c r="A83" s="142" t="s">
        <v>266</v>
      </c>
      <c r="B83" s="142"/>
      <c r="C83" s="142"/>
      <c r="D83" s="76">
        <f>Celev</f>
        <v>5.2634521534282587E-2</v>
      </c>
      <c r="E83" s="80" t="s">
        <v>51</v>
      </c>
    </row>
    <row r="85" spans="1:11" x14ac:dyDescent="0.25">
      <c r="A85" s="277" t="s">
        <v>399</v>
      </c>
      <c r="B85" s="277"/>
    </row>
    <row r="86" spans="1:11" x14ac:dyDescent="0.25">
      <c r="A86" s="172" t="s">
        <v>400</v>
      </c>
      <c r="B86" s="172"/>
      <c r="C86" s="172"/>
      <c r="D86" s="172"/>
      <c r="E86" s="172"/>
      <c r="G86" s="172" t="s">
        <v>401</v>
      </c>
      <c r="H86" s="172"/>
      <c r="I86" s="172"/>
      <c r="J86" s="172"/>
      <c r="K86" s="172"/>
    </row>
    <row r="87" spans="1:11" x14ac:dyDescent="0.25">
      <c r="A87" s="302" t="s">
        <v>216</v>
      </c>
      <c r="B87" s="302"/>
      <c r="C87" s="302"/>
      <c r="D87" s="79">
        <f>Lht</f>
        <v>0.54621848739495804</v>
      </c>
      <c r="E87" s="78" t="s">
        <v>51</v>
      </c>
      <c r="G87" s="302" t="s">
        <v>216</v>
      </c>
      <c r="H87" s="302"/>
      <c r="I87" s="302"/>
      <c r="J87" s="79">
        <f>Lht</f>
        <v>0.54621848739495804</v>
      </c>
      <c r="K87" s="78" t="s">
        <v>51</v>
      </c>
    </row>
    <row r="88" spans="1:11" x14ac:dyDescent="0.25">
      <c r="A88" s="303" t="s">
        <v>267</v>
      </c>
      <c r="B88" s="303"/>
      <c r="C88" s="303"/>
      <c r="D88" s="79">
        <f>Svt</f>
        <v>2.2935714285714288E-2</v>
      </c>
      <c r="E88" s="80" t="s">
        <v>48</v>
      </c>
      <c r="G88" s="303" t="s">
        <v>267</v>
      </c>
      <c r="H88" s="303"/>
      <c r="I88" s="303"/>
      <c r="J88" s="79">
        <f>Svt/2</f>
        <v>1.1467857142857144E-2</v>
      </c>
      <c r="K88" s="80" t="s">
        <v>48</v>
      </c>
    </row>
    <row r="89" spans="1:11" x14ac:dyDescent="0.25">
      <c r="A89" s="193" t="s">
        <v>253</v>
      </c>
      <c r="B89" s="193"/>
      <c r="C89" s="193"/>
      <c r="D89" s="81">
        <f>Cvt</f>
        <v>8.7437052187491413E-2</v>
      </c>
      <c r="E89" s="78" t="s">
        <v>51</v>
      </c>
      <c r="G89" s="193" t="s">
        <v>253</v>
      </c>
      <c r="H89" s="193"/>
      <c r="I89" s="193"/>
      <c r="J89" s="81">
        <f>Cvt</f>
        <v>8.7437052187491413E-2</v>
      </c>
      <c r="K89" s="78" t="s">
        <v>51</v>
      </c>
    </row>
    <row r="90" spans="1:11" x14ac:dyDescent="0.25">
      <c r="A90" s="193" t="s">
        <v>265</v>
      </c>
      <c r="B90" s="193"/>
      <c r="C90" s="193"/>
      <c r="D90" s="79">
        <f>bvt</f>
        <v>0.26231115656247422</v>
      </c>
      <c r="E90" s="80" t="s">
        <v>48</v>
      </c>
      <c r="G90" s="193" t="s">
        <v>265</v>
      </c>
      <c r="H90" s="193"/>
      <c r="I90" s="193"/>
      <c r="J90" s="79">
        <f>bvt/2</f>
        <v>0.13115557828123711</v>
      </c>
      <c r="K90" s="80" t="s">
        <v>48</v>
      </c>
    </row>
    <row r="91" spans="1:11" x14ac:dyDescent="0.25">
      <c r="A91" s="142" t="s">
        <v>219</v>
      </c>
      <c r="B91" s="142"/>
      <c r="C91" s="142"/>
      <c r="D91" s="76">
        <f>Cvt/4</f>
        <v>2.1859263046872853E-2</v>
      </c>
      <c r="E91" s="78" t="s">
        <v>51</v>
      </c>
      <c r="G91" s="142" t="s">
        <v>219</v>
      </c>
      <c r="H91" s="142"/>
      <c r="I91" s="142"/>
      <c r="J91" s="76">
        <f>Cvt/4</f>
        <v>2.1859263046872853E-2</v>
      </c>
      <c r="K91" s="78" t="s">
        <v>51</v>
      </c>
    </row>
    <row r="92" spans="1:11" x14ac:dyDescent="0.25">
      <c r="A92" s="142" t="s">
        <v>266</v>
      </c>
      <c r="B92" s="142"/>
      <c r="C92" s="142"/>
      <c r="D92" s="76">
        <f>Crudd</f>
        <v>3.0602968265621991E-2</v>
      </c>
      <c r="E92" s="80" t="s">
        <v>51</v>
      </c>
      <c r="G92" s="142" t="s">
        <v>266</v>
      </c>
      <c r="H92" s="142"/>
      <c r="I92" s="142"/>
      <c r="J92" s="76">
        <f>Crudd</f>
        <v>3.0602968265621991E-2</v>
      </c>
      <c r="K92" s="80" t="s">
        <v>51</v>
      </c>
    </row>
  </sheetData>
  <mergeCells count="56">
    <mergeCell ref="A72:D73"/>
    <mergeCell ref="A75:E75"/>
    <mergeCell ref="G90:I90"/>
    <mergeCell ref="G91:I91"/>
    <mergeCell ref="G92:I92"/>
    <mergeCell ref="A86:E86"/>
    <mergeCell ref="G86:K86"/>
    <mergeCell ref="G87:I87"/>
    <mergeCell ref="G88:I88"/>
    <mergeCell ref="G89:I89"/>
    <mergeCell ref="A91:C91"/>
    <mergeCell ref="A92:C92"/>
    <mergeCell ref="A87:C87"/>
    <mergeCell ref="A88:C88"/>
    <mergeCell ref="A89:C89"/>
    <mergeCell ref="A90:C90"/>
    <mergeCell ref="A83:C83"/>
    <mergeCell ref="A85:B85"/>
    <mergeCell ref="A77:B77"/>
    <mergeCell ref="A78:C78"/>
    <mergeCell ref="A79:C79"/>
    <mergeCell ref="A80:C80"/>
    <mergeCell ref="A81:C81"/>
    <mergeCell ref="A82:C82"/>
    <mergeCell ref="A26:C26"/>
    <mergeCell ref="A27:C27"/>
    <mergeCell ref="A28:C28"/>
    <mergeCell ref="F65:G65"/>
    <mergeCell ref="F66:G67"/>
    <mergeCell ref="A37:C37"/>
    <mergeCell ref="A38:C38"/>
    <mergeCell ref="A40:C40"/>
    <mergeCell ref="A41:B41"/>
    <mergeCell ref="C41:D41"/>
    <mergeCell ref="A30:B30"/>
    <mergeCell ref="A31:C31"/>
    <mergeCell ref="A32:C32"/>
    <mergeCell ref="A44:I63"/>
    <mergeCell ref="A65:B65"/>
    <mergeCell ref="A66:B67"/>
    <mergeCell ref="J65:K65"/>
    <mergeCell ref="A1:F3"/>
    <mergeCell ref="A5:D6"/>
    <mergeCell ref="A8:C8"/>
    <mergeCell ref="A9:C9"/>
    <mergeCell ref="A10:C10"/>
    <mergeCell ref="A34:D35"/>
    <mergeCell ref="A11:C11"/>
    <mergeCell ref="A13:D14"/>
    <mergeCell ref="A17:H17"/>
    <mergeCell ref="A16:B16"/>
    <mergeCell ref="B20:C20"/>
    <mergeCell ref="A23:C23"/>
    <mergeCell ref="B18:C18"/>
    <mergeCell ref="A24:C24"/>
    <mergeCell ref="A25:C2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8685-CDA0-464C-B685-4CAF8D48853C}">
  <dimension ref="A1:F22"/>
  <sheetViews>
    <sheetView workbookViewId="0">
      <selection activeCell="O11" sqref="O11"/>
    </sheetView>
  </sheetViews>
  <sheetFormatPr defaultRowHeight="15" x14ac:dyDescent="0.25"/>
  <sheetData>
    <row r="1" spans="1:6" x14ac:dyDescent="0.25">
      <c r="A1" s="182" t="s">
        <v>397</v>
      </c>
      <c r="B1" s="183"/>
      <c r="C1" s="183"/>
      <c r="D1" s="183"/>
      <c r="E1" s="183"/>
      <c r="F1" s="184"/>
    </row>
    <row r="2" spans="1:6" x14ac:dyDescent="0.25">
      <c r="A2" s="185"/>
      <c r="B2" s="186"/>
      <c r="C2" s="186"/>
      <c r="D2" s="186"/>
      <c r="E2" s="186"/>
      <c r="F2" s="187"/>
    </row>
    <row r="3" spans="1:6" ht="15.75" thickBot="1" x14ac:dyDescent="0.3">
      <c r="A3" s="188"/>
      <c r="B3" s="189"/>
      <c r="C3" s="189"/>
      <c r="D3" s="189"/>
      <c r="E3" s="189"/>
      <c r="F3" s="190"/>
    </row>
    <row r="6" spans="1:6" x14ac:dyDescent="0.25">
      <c r="A6" s="191" t="s">
        <v>239</v>
      </c>
      <c r="B6" s="191"/>
      <c r="C6" s="191"/>
      <c r="D6" s="191"/>
      <c r="E6">
        <f>2000+100</f>
        <v>2100</v>
      </c>
    </row>
    <row r="7" spans="1:6" x14ac:dyDescent="0.25">
      <c r="A7" s="191" t="s">
        <v>392</v>
      </c>
      <c r="B7" s="191"/>
      <c r="C7" s="191"/>
      <c r="D7" s="191"/>
      <c r="E7">
        <f>1110+100</f>
        <v>1210</v>
      </c>
    </row>
    <row r="8" spans="1:6" x14ac:dyDescent="0.25">
      <c r="A8" s="191" t="s">
        <v>393</v>
      </c>
      <c r="B8" s="191"/>
      <c r="C8" s="191"/>
      <c r="D8" s="191"/>
      <c r="E8">
        <f>1490+100</f>
        <v>1590</v>
      </c>
    </row>
    <row r="9" spans="1:6" x14ac:dyDescent="0.25">
      <c r="A9" s="191" t="s">
        <v>32</v>
      </c>
      <c r="B9" s="191"/>
      <c r="C9" s="191"/>
      <c r="D9" s="191"/>
      <c r="E9">
        <f>600+100</f>
        <v>700</v>
      </c>
    </row>
    <row r="10" spans="1:6" x14ac:dyDescent="0.25">
      <c r="A10" s="191" t="s">
        <v>394</v>
      </c>
      <c r="B10" s="191"/>
      <c r="C10" s="191"/>
      <c r="D10" s="191"/>
      <c r="E10">
        <v>700</v>
      </c>
    </row>
    <row r="11" spans="1:6" x14ac:dyDescent="0.25">
      <c r="A11" s="191" t="s">
        <v>395</v>
      </c>
      <c r="B11" s="191"/>
      <c r="C11" s="191"/>
      <c r="D11" s="191"/>
      <c r="E11">
        <v>3000</v>
      </c>
    </row>
    <row r="12" spans="1:6" x14ac:dyDescent="0.25">
      <c r="A12" s="191" t="s">
        <v>396</v>
      </c>
      <c r="B12" s="191"/>
      <c r="C12" s="191"/>
      <c r="D12" s="191"/>
      <c r="E12">
        <v>5000</v>
      </c>
    </row>
    <row r="13" spans="1:6" x14ac:dyDescent="0.25">
      <c r="A13" s="191"/>
      <c r="B13" s="191"/>
      <c r="C13" s="191"/>
      <c r="D13" s="191"/>
    </row>
    <row r="14" spans="1:6" x14ac:dyDescent="0.25">
      <c r="A14" s="191"/>
      <c r="B14" s="191"/>
      <c r="C14" s="191"/>
      <c r="D14" s="191"/>
    </row>
    <row r="15" spans="1:6" x14ac:dyDescent="0.25">
      <c r="A15" s="191"/>
      <c r="B15" s="191"/>
      <c r="C15" s="191"/>
      <c r="D15" s="191"/>
    </row>
    <row r="16" spans="1:6" x14ac:dyDescent="0.25">
      <c r="A16" s="191"/>
      <c r="B16" s="191"/>
      <c r="C16" s="191"/>
      <c r="D16" s="191"/>
    </row>
    <row r="17" spans="1:5" x14ac:dyDescent="0.25">
      <c r="A17" s="191"/>
      <c r="B17" s="191"/>
      <c r="C17" s="191"/>
      <c r="D17" s="191"/>
    </row>
    <row r="18" spans="1:5" x14ac:dyDescent="0.25">
      <c r="A18" s="191"/>
      <c r="B18" s="191"/>
      <c r="C18" s="191"/>
      <c r="D18" s="191"/>
    </row>
    <row r="19" spans="1:5" x14ac:dyDescent="0.25">
      <c r="A19" s="191"/>
      <c r="B19" s="191"/>
      <c r="C19" s="191"/>
      <c r="D19" s="191"/>
    </row>
    <row r="20" spans="1:5" x14ac:dyDescent="0.25">
      <c r="A20" s="191"/>
      <c r="B20" s="191"/>
      <c r="C20" s="191"/>
      <c r="D20" s="191"/>
    </row>
    <row r="21" spans="1:5" x14ac:dyDescent="0.25">
      <c r="A21" s="191"/>
      <c r="B21" s="191"/>
      <c r="C21" s="191"/>
      <c r="D21" s="191"/>
    </row>
    <row r="22" spans="1:5" x14ac:dyDescent="0.25">
      <c r="E22">
        <f>SUM(E6:E21)</f>
        <v>14300</v>
      </c>
    </row>
  </sheetData>
  <mergeCells count="17">
    <mergeCell ref="A17:D17"/>
    <mergeCell ref="A18:D18"/>
    <mergeCell ref="A19:D19"/>
    <mergeCell ref="A20:D20"/>
    <mergeCell ref="A21:D21"/>
    <mergeCell ref="A16:D16"/>
    <mergeCell ref="A1:F3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G11" sqref="G11"/>
    </sheetView>
  </sheetViews>
  <sheetFormatPr defaultRowHeight="15" x14ac:dyDescent="0.25"/>
  <cols>
    <col min="2" max="2" width="28.7109375" customWidth="1"/>
    <col min="3" max="3" width="15.7109375" customWidth="1"/>
    <col min="4" max="4" width="17.85546875" customWidth="1"/>
    <col min="5" max="5" width="11.85546875" customWidth="1"/>
  </cols>
  <sheetData>
    <row r="1" spans="1:10" ht="36.75" customHeight="1" thickBot="1" x14ac:dyDescent="0.3">
      <c r="A1" s="152" t="s">
        <v>0</v>
      </c>
      <c r="B1" s="153"/>
      <c r="C1" s="153"/>
      <c r="D1" s="153"/>
      <c r="E1" s="154"/>
    </row>
    <row r="2" spans="1:10" ht="27.75" customHeight="1" x14ac:dyDescent="0.25">
      <c r="A2" s="38" t="s">
        <v>1</v>
      </c>
      <c r="B2" s="38" t="s">
        <v>2</v>
      </c>
      <c r="C2" s="38" t="s">
        <v>4</v>
      </c>
      <c r="D2" s="38" t="s">
        <v>3</v>
      </c>
      <c r="E2" s="38" t="s">
        <v>124</v>
      </c>
    </row>
    <row r="3" spans="1:10" ht="15.75" x14ac:dyDescent="0.25">
      <c r="A3" s="32">
        <v>1</v>
      </c>
      <c r="B3" s="33" t="s">
        <v>5</v>
      </c>
      <c r="C3" s="33">
        <v>1</v>
      </c>
      <c r="D3" s="33">
        <v>100</v>
      </c>
      <c r="E3" s="33">
        <f>D3/1000</f>
        <v>0.1</v>
      </c>
    </row>
    <row r="4" spans="1:10" x14ac:dyDescent="0.25">
      <c r="A4" s="33">
        <v>2</v>
      </c>
      <c r="B4" s="33" t="s">
        <v>6</v>
      </c>
      <c r="C4" s="33">
        <v>1</v>
      </c>
      <c r="D4" s="33">
        <v>40</v>
      </c>
      <c r="E4" s="33">
        <f t="shared" ref="E4:E12" si="0">D4/1000</f>
        <v>0.04</v>
      </c>
    </row>
    <row r="5" spans="1:10" x14ac:dyDescent="0.25">
      <c r="A5" s="33">
        <v>3</v>
      </c>
      <c r="B5" s="33" t="s">
        <v>29</v>
      </c>
      <c r="C5" s="33">
        <v>5</v>
      </c>
      <c r="D5" s="33">
        <v>50</v>
      </c>
      <c r="E5" s="33">
        <f t="shared" si="0"/>
        <v>0.05</v>
      </c>
      <c r="H5" s="155" t="s">
        <v>198</v>
      </c>
      <c r="I5" s="155"/>
      <c r="J5" s="155"/>
    </row>
    <row r="6" spans="1:10" x14ac:dyDescent="0.25">
      <c r="A6" s="33">
        <v>4</v>
      </c>
      <c r="B6" s="33" t="s">
        <v>30</v>
      </c>
      <c r="C6" s="33">
        <v>1</v>
      </c>
      <c r="D6" s="33">
        <v>160</v>
      </c>
      <c r="E6" s="33">
        <f t="shared" si="0"/>
        <v>0.16</v>
      </c>
      <c r="H6" s="2" t="s">
        <v>199</v>
      </c>
      <c r="I6" s="2">
        <v>304.8</v>
      </c>
      <c r="J6" s="2" t="s">
        <v>202</v>
      </c>
    </row>
    <row r="7" spans="1:10" x14ac:dyDescent="0.25">
      <c r="A7" s="33">
        <v>5</v>
      </c>
      <c r="B7" s="33" t="s">
        <v>7</v>
      </c>
      <c r="C7" s="33">
        <v>1</v>
      </c>
      <c r="D7" s="33">
        <v>1000</v>
      </c>
      <c r="E7" s="33">
        <f t="shared" si="0"/>
        <v>1</v>
      </c>
      <c r="H7" s="2" t="s">
        <v>200</v>
      </c>
      <c r="I7" s="2">
        <v>25.4</v>
      </c>
      <c r="J7" s="2" t="s">
        <v>202</v>
      </c>
    </row>
    <row r="8" spans="1:10" x14ac:dyDescent="0.25">
      <c r="A8" s="33">
        <v>6</v>
      </c>
      <c r="B8" s="33" t="s">
        <v>8</v>
      </c>
      <c r="C8" s="33">
        <v>1</v>
      </c>
      <c r="D8" s="33">
        <v>20</v>
      </c>
      <c r="E8" s="33">
        <f t="shared" si="0"/>
        <v>0.02</v>
      </c>
      <c r="H8" s="2" t="s">
        <v>201</v>
      </c>
      <c r="I8" s="2">
        <v>100</v>
      </c>
      <c r="J8" s="2" t="s">
        <v>202</v>
      </c>
    </row>
    <row r="9" spans="1:10" x14ac:dyDescent="0.25">
      <c r="A9" s="33">
        <v>7</v>
      </c>
      <c r="B9" s="33" t="s">
        <v>10</v>
      </c>
      <c r="C9" s="33" t="s">
        <v>12</v>
      </c>
      <c r="D9" s="33">
        <v>1000</v>
      </c>
      <c r="E9" s="33">
        <f t="shared" si="0"/>
        <v>1</v>
      </c>
    </row>
    <row r="10" spans="1:10" x14ac:dyDescent="0.25">
      <c r="A10" s="33">
        <v>8</v>
      </c>
      <c r="B10" s="33" t="s">
        <v>11</v>
      </c>
      <c r="C10" s="33">
        <v>5</v>
      </c>
      <c r="D10" s="33">
        <v>60</v>
      </c>
      <c r="E10" s="33">
        <f t="shared" si="0"/>
        <v>0.06</v>
      </c>
    </row>
    <row r="11" spans="1:10" x14ac:dyDescent="0.25">
      <c r="A11" s="33">
        <v>9</v>
      </c>
      <c r="B11" s="33" t="s">
        <v>31</v>
      </c>
      <c r="C11" s="33">
        <v>1</v>
      </c>
      <c r="D11" s="33">
        <v>50</v>
      </c>
      <c r="E11" s="33">
        <f t="shared" si="0"/>
        <v>0.05</v>
      </c>
    </row>
    <row r="12" spans="1:10" x14ac:dyDescent="0.25">
      <c r="A12" s="33">
        <v>10</v>
      </c>
      <c r="B12" s="33" t="s">
        <v>32</v>
      </c>
      <c r="C12" s="33">
        <v>1</v>
      </c>
      <c r="D12" s="33">
        <v>20</v>
      </c>
      <c r="E12" s="33">
        <f t="shared" si="0"/>
        <v>0.02</v>
      </c>
    </row>
    <row r="13" spans="1:10" ht="32.25" customHeight="1" x14ac:dyDescent="0.25">
      <c r="A13" s="33"/>
      <c r="B13" s="34" t="s">
        <v>9</v>
      </c>
      <c r="C13" s="33"/>
      <c r="D13" s="35">
        <f>SUM(D3:D12)</f>
        <v>2500</v>
      </c>
      <c r="E13" s="35">
        <f>D13/1000</f>
        <v>2.5</v>
      </c>
    </row>
    <row r="14" spans="1:10" x14ac:dyDescent="0.25">
      <c r="A14" s="1"/>
      <c r="B14" s="1"/>
      <c r="C14" s="1"/>
      <c r="D14" s="1"/>
    </row>
    <row r="15" spans="1:10" x14ac:dyDescent="0.25">
      <c r="A15" s="1"/>
      <c r="B15" s="100" t="s">
        <v>33</v>
      </c>
      <c r="C15" s="101">
        <f>D3+D4+D5+D6+D7+D8+D10+D11+D12</f>
        <v>1500</v>
      </c>
      <c r="D15" s="1"/>
    </row>
    <row r="16" spans="1:10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B18" s="1"/>
      <c r="C18" s="1"/>
      <c r="D18" s="1"/>
    </row>
  </sheetData>
  <mergeCells count="2">
    <mergeCell ref="A1:E1"/>
    <mergeCell ref="H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9"/>
  <sheetViews>
    <sheetView topLeftCell="A7" zoomScale="70" zoomScaleNormal="70" workbookViewId="0">
      <selection activeCell="O21" sqref="O21"/>
    </sheetView>
  </sheetViews>
  <sheetFormatPr defaultRowHeight="15" x14ac:dyDescent="0.25"/>
  <cols>
    <col min="1" max="1" width="10.85546875" customWidth="1"/>
    <col min="4" max="4" width="12.42578125" customWidth="1"/>
    <col min="7" max="7" width="7.5703125" customWidth="1"/>
    <col min="8" max="8" width="11.7109375" customWidth="1"/>
  </cols>
  <sheetData>
    <row r="1" spans="1:24" ht="41.25" customHeight="1" thickBot="1" x14ac:dyDescent="0.3">
      <c r="A1" s="157" t="s">
        <v>18</v>
      </c>
      <c r="B1" s="158"/>
      <c r="C1" s="158"/>
      <c r="D1" s="159"/>
      <c r="E1" s="162" t="s">
        <v>34</v>
      </c>
      <c r="F1" s="163"/>
      <c r="G1" s="163"/>
      <c r="H1" s="163"/>
      <c r="I1" s="163"/>
      <c r="J1" s="163"/>
      <c r="K1" s="163"/>
      <c r="L1" s="163"/>
      <c r="M1" s="164"/>
    </row>
    <row r="2" spans="1:24" x14ac:dyDescent="0.25">
      <c r="A2" s="160"/>
      <c r="B2" s="160"/>
      <c r="C2" s="160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0"/>
      <c r="Q2" s="142"/>
      <c r="R2" s="142"/>
      <c r="S2" s="142"/>
      <c r="T2" s="142"/>
      <c r="U2" s="142"/>
      <c r="V2" s="142"/>
      <c r="W2" s="142"/>
      <c r="X2" s="142"/>
    </row>
    <row r="3" spans="1:24" x14ac:dyDescent="0.2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Q3" s="142"/>
      <c r="R3" s="142"/>
      <c r="S3" s="142"/>
      <c r="T3" s="142"/>
      <c r="U3" s="142"/>
      <c r="V3" s="142"/>
      <c r="W3" s="142"/>
      <c r="X3" s="142"/>
    </row>
    <row r="4" spans="1:24" x14ac:dyDescent="0.25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Q4" s="142"/>
      <c r="R4" s="142"/>
      <c r="S4" s="142"/>
      <c r="T4" s="142"/>
      <c r="U4" s="142"/>
      <c r="V4" s="142"/>
      <c r="W4" s="142"/>
      <c r="X4" s="142"/>
    </row>
    <row r="5" spans="1:24" x14ac:dyDescent="0.25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Q5" s="142"/>
      <c r="R5" s="142"/>
      <c r="S5" s="142"/>
      <c r="T5" s="142"/>
      <c r="U5" s="142"/>
      <c r="V5" s="142"/>
      <c r="W5" s="142"/>
      <c r="X5" s="142"/>
    </row>
    <row r="6" spans="1:24" x14ac:dyDescent="0.25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Q6" s="142"/>
      <c r="R6" s="142"/>
      <c r="S6" s="142"/>
      <c r="T6" s="142"/>
      <c r="U6" s="142"/>
      <c r="V6" s="142"/>
      <c r="W6" s="142"/>
      <c r="X6" s="142"/>
    </row>
    <row r="7" spans="1:24" x14ac:dyDescent="0.25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Q7" s="142"/>
      <c r="R7" s="142"/>
      <c r="S7" s="142"/>
      <c r="T7" s="142"/>
      <c r="U7" s="142"/>
      <c r="V7" s="142"/>
      <c r="W7" s="142"/>
      <c r="X7" s="142"/>
    </row>
    <row r="8" spans="1:24" x14ac:dyDescent="0.25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Q8" s="142"/>
      <c r="R8" s="142"/>
      <c r="S8" s="142"/>
      <c r="T8" s="142"/>
      <c r="U8" s="142"/>
      <c r="V8" s="142"/>
      <c r="W8" s="142"/>
      <c r="X8" s="142"/>
    </row>
    <row r="9" spans="1:24" x14ac:dyDescent="0.25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Q9" s="142"/>
      <c r="R9" s="142"/>
      <c r="S9" s="142"/>
      <c r="T9" s="142"/>
      <c r="U9" s="142"/>
      <c r="V9" s="142"/>
      <c r="W9" s="142"/>
      <c r="X9" s="142"/>
    </row>
    <row r="10" spans="1:24" x14ac:dyDescent="0.25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Q10" s="142"/>
      <c r="R10" s="142"/>
      <c r="S10" s="142"/>
      <c r="T10" s="142"/>
      <c r="U10" s="142"/>
      <c r="V10" s="142"/>
      <c r="W10" s="142"/>
      <c r="X10" s="142"/>
    </row>
    <row r="11" spans="1:24" x14ac:dyDescent="0.25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Q11" s="142"/>
      <c r="R11" s="142"/>
      <c r="S11" s="142"/>
      <c r="T11" s="142"/>
      <c r="U11" s="142"/>
      <c r="V11" s="142"/>
      <c r="W11" s="142"/>
      <c r="X11" s="142"/>
    </row>
    <row r="13" spans="1:24" x14ac:dyDescent="0.25">
      <c r="G13" s="156" t="s">
        <v>19</v>
      </c>
      <c r="H13" s="156"/>
      <c r="I13" s="156"/>
      <c r="J13" s="156"/>
      <c r="K13" s="156"/>
      <c r="L13" s="156"/>
    </row>
    <row r="14" spans="1:24" x14ac:dyDescent="0.25">
      <c r="G14" s="156" t="s">
        <v>20</v>
      </c>
      <c r="H14" s="156"/>
      <c r="I14" s="156"/>
      <c r="J14" s="156"/>
      <c r="K14" s="156"/>
      <c r="L14" s="156"/>
    </row>
    <row r="16" spans="1:24" x14ac:dyDescent="0.25">
      <c r="G16" s="2"/>
      <c r="H16" s="28" t="s">
        <v>21</v>
      </c>
      <c r="I16" s="28" t="s">
        <v>22</v>
      </c>
      <c r="J16" s="28" t="s">
        <v>23</v>
      </c>
      <c r="K16" s="28" t="s">
        <v>24</v>
      </c>
      <c r="L16" s="28" t="s">
        <v>25</v>
      </c>
    </row>
    <row r="17" spans="1:18" x14ac:dyDescent="0.25">
      <c r="A17" s="156" t="s">
        <v>27</v>
      </c>
      <c r="B17" s="156"/>
      <c r="C17" s="156"/>
      <c r="G17" s="2"/>
      <c r="H17" s="2">
        <v>0</v>
      </c>
      <c r="I17" s="2">
        <v>1.1729000000000001</v>
      </c>
      <c r="J17" s="2">
        <v>2.3369999999999998E-2</v>
      </c>
      <c r="K17" s="2">
        <v>-0.26879999999999998</v>
      </c>
      <c r="L17" s="2">
        <f>I17/J17</f>
        <v>50.188275566966205</v>
      </c>
    </row>
    <row r="18" spans="1:18" x14ac:dyDescent="0.25">
      <c r="A18" s="156" t="s">
        <v>28</v>
      </c>
      <c r="B18" s="156"/>
      <c r="C18" s="156"/>
      <c r="G18" s="2"/>
      <c r="H18" s="2">
        <v>3</v>
      </c>
      <c r="I18" s="2">
        <v>1.5223</v>
      </c>
      <c r="J18" s="2">
        <v>2.811E-2</v>
      </c>
      <c r="K18" s="2">
        <v>-0.27110000000000001</v>
      </c>
      <c r="L18" s="2">
        <f>I18/J18</f>
        <v>54.155104944859481</v>
      </c>
    </row>
    <row r="19" spans="1:18" x14ac:dyDescent="0.25">
      <c r="G19" s="27" t="s">
        <v>42</v>
      </c>
      <c r="H19" s="27">
        <v>9.75</v>
      </c>
      <c r="I19" s="27">
        <v>2.0813999999999999</v>
      </c>
      <c r="J19" s="2">
        <v>5.6120000000000003E-2</v>
      </c>
      <c r="K19" s="2">
        <v>-0.2422</v>
      </c>
      <c r="L19" s="2">
        <f>I19/J19</f>
        <v>37.088382038488952</v>
      </c>
    </row>
    <row r="20" spans="1:18" x14ac:dyDescent="0.25">
      <c r="G20" s="2" t="s">
        <v>26</v>
      </c>
      <c r="H20" s="2">
        <v>10.75</v>
      </c>
      <c r="I20" s="2">
        <v>2.0777999999999999</v>
      </c>
      <c r="J20" s="2">
        <v>6.3329999999999997E-2</v>
      </c>
      <c r="K20" s="2">
        <v>-0.22550000000000001</v>
      </c>
      <c r="L20" s="2">
        <f>I20/J20</f>
        <v>32.80909521553766</v>
      </c>
    </row>
    <row r="23" spans="1:18" x14ac:dyDescent="0.2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</row>
    <row r="24" spans="1:18" x14ac:dyDescent="0.25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</row>
    <row r="25" spans="1:18" x14ac:dyDescent="0.25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</row>
    <row r="26" spans="1:18" x14ac:dyDescent="0.25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</row>
    <row r="27" spans="1:18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</row>
    <row r="28" spans="1:18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</row>
    <row r="29" spans="1:18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</row>
    <row r="30" spans="1:18" x14ac:dyDescent="0.25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</row>
    <row r="31" spans="1:18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</row>
    <row r="32" spans="1:18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</row>
    <row r="33" spans="1:18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</row>
    <row r="34" spans="1:18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</row>
    <row r="35" spans="1:18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</row>
    <row r="36" spans="1:18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</row>
    <row r="37" spans="1:18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</row>
    <row r="38" spans="1:18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</row>
    <row r="39" spans="1:18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</row>
    <row r="40" spans="1:18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</row>
    <row r="41" spans="1:18" x14ac:dyDescent="0.25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</row>
    <row r="42" spans="1:18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</row>
    <row r="43" spans="1:18" x14ac:dyDescent="0.25">
      <c r="A43" s="142"/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</row>
    <row r="44" spans="1:18" x14ac:dyDescent="0.25">
      <c r="A44" s="142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</row>
    <row r="45" spans="1:18" x14ac:dyDescent="0.2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</row>
    <row r="46" spans="1:18" x14ac:dyDescent="0.25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</row>
    <row r="47" spans="1:18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</row>
    <row r="48" spans="1:18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</row>
    <row r="49" spans="1:18" x14ac:dyDescent="0.25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</row>
    <row r="50" spans="1:18" x14ac:dyDescent="0.25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</row>
    <row r="51" spans="1:18" x14ac:dyDescent="0.25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</row>
    <row r="52" spans="1:18" x14ac:dyDescent="0.25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</row>
    <row r="53" spans="1:18" x14ac:dyDescent="0.25">
      <c r="A53" s="142"/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</row>
    <row r="54" spans="1:18" x14ac:dyDescent="0.25">
      <c r="A54" s="142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</row>
    <row r="55" spans="1:18" x14ac:dyDescent="0.2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</row>
    <row r="56" spans="1:18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</row>
    <row r="57" spans="1:18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</row>
    <row r="58" spans="1:18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</row>
    <row r="59" spans="1:18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</row>
  </sheetData>
  <mergeCells count="9">
    <mergeCell ref="G14:L14"/>
    <mergeCell ref="A23:R59"/>
    <mergeCell ref="A17:C17"/>
    <mergeCell ref="A18:C18"/>
    <mergeCell ref="A1:D1"/>
    <mergeCell ref="G13:L13"/>
    <mergeCell ref="A2:N11"/>
    <mergeCell ref="E1:M1"/>
    <mergeCell ref="Q2:X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7"/>
  <sheetViews>
    <sheetView zoomScale="85" zoomScaleNormal="85" workbookViewId="0">
      <selection activeCell="J24" sqref="J24"/>
    </sheetView>
  </sheetViews>
  <sheetFormatPr defaultRowHeight="15" x14ac:dyDescent="0.25"/>
  <cols>
    <col min="1" max="1" width="11.42578125" customWidth="1"/>
    <col min="2" max="2" width="11.140625" customWidth="1"/>
    <col min="3" max="3" width="11" customWidth="1"/>
    <col min="6" max="6" width="11.140625" customWidth="1"/>
    <col min="7" max="7" width="11.28515625" customWidth="1"/>
    <col min="10" max="10" width="12.28515625" customWidth="1"/>
    <col min="11" max="11" width="14" customWidth="1"/>
  </cols>
  <sheetData>
    <row r="1" spans="1:24" ht="15" customHeight="1" x14ac:dyDescent="0.25">
      <c r="A1" s="166" t="s">
        <v>77</v>
      </c>
      <c r="B1" s="167"/>
      <c r="C1" s="167"/>
      <c r="D1" s="167"/>
      <c r="E1" s="167"/>
      <c r="F1" s="167"/>
      <c r="G1" s="168"/>
    </row>
    <row r="2" spans="1:24" ht="15.75" thickBot="1" x14ac:dyDescent="0.3">
      <c r="A2" s="169"/>
      <c r="B2" s="170"/>
      <c r="C2" s="170"/>
      <c r="D2" s="170"/>
      <c r="E2" s="170"/>
      <c r="F2" s="170"/>
      <c r="G2" s="171"/>
    </row>
    <row r="3" spans="1:24" ht="15.75" customHeight="1" x14ac:dyDescent="0.25">
      <c r="I3" s="15" t="s">
        <v>72</v>
      </c>
      <c r="J3" s="16"/>
      <c r="K3" s="16"/>
      <c r="L3" s="16" t="s">
        <v>76</v>
      </c>
      <c r="M3" s="16">
        <f>SQRT((2*W_N)/(rho*Sw*Clmax))</f>
        <v>8.9337577102804762</v>
      </c>
      <c r="N3" s="17" t="s">
        <v>75</v>
      </c>
      <c r="P3" t="s">
        <v>360</v>
      </c>
      <c r="Q3">
        <v>10</v>
      </c>
    </row>
    <row r="4" spans="1:24" ht="15.75" customHeight="1" x14ac:dyDescent="0.25">
      <c r="A4" s="2" t="s">
        <v>16</v>
      </c>
      <c r="B4" s="2">
        <f>W</f>
        <v>2.5</v>
      </c>
      <c r="C4" s="2" t="s">
        <v>14</v>
      </c>
      <c r="D4" s="2">
        <f>W*9.81</f>
        <v>24.525000000000002</v>
      </c>
      <c r="E4" s="2" t="s">
        <v>15</v>
      </c>
      <c r="I4" s="18" t="s">
        <v>70</v>
      </c>
      <c r="J4" s="19"/>
      <c r="K4" s="19"/>
      <c r="L4" s="19" t="s">
        <v>76</v>
      </c>
      <c r="M4" s="19">
        <f>1.2*M3</f>
        <v>10.720509252336571</v>
      </c>
      <c r="N4" s="20" t="s">
        <v>75</v>
      </c>
      <c r="T4" s="1"/>
      <c r="X4" s="1"/>
    </row>
    <row r="5" spans="1:24" ht="15.75" customHeight="1" x14ac:dyDescent="0.25">
      <c r="A5" s="2" t="s">
        <v>13</v>
      </c>
      <c r="B5" s="2">
        <v>1.2230000000000001</v>
      </c>
      <c r="C5" s="2" t="s">
        <v>17</v>
      </c>
      <c r="I5" s="21" t="s">
        <v>71</v>
      </c>
      <c r="J5" s="22"/>
      <c r="K5" s="22"/>
      <c r="L5" s="22" t="s">
        <v>76</v>
      </c>
      <c r="M5" s="22">
        <f>1.1*M3</f>
        <v>9.8271334813085254</v>
      </c>
      <c r="N5" s="23" t="s">
        <v>75</v>
      </c>
      <c r="T5" s="1"/>
      <c r="X5" s="1"/>
    </row>
    <row r="6" spans="1:24" x14ac:dyDescent="0.25">
      <c r="T6" s="1"/>
      <c r="X6" s="1"/>
    </row>
    <row r="7" spans="1:24" x14ac:dyDescent="0.25">
      <c r="A7" s="102" t="s">
        <v>35</v>
      </c>
      <c r="B7" s="103"/>
      <c r="C7" s="104"/>
      <c r="E7" s="9" t="s">
        <v>47</v>
      </c>
      <c r="F7" s="10">
        <f>W</f>
        <v>2.5</v>
      </c>
      <c r="T7" s="1"/>
      <c r="X7" s="1"/>
    </row>
    <row r="8" spans="1:24" x14ac:dyDescent="0.25">
      <c r="A8" s="105"/>
      <c r="B8" s="98"/>
      <c r="C8" s="106"/>
      <c r="I8" s="172" t="s">
        <v>73</v>
      </c>
      <c r="J8" s="172"/>
      <c r="K8" s="172"/>
      <c r="O8" t="s">
        <v>273</v>
      </c>
      <c r="P8">
        <f>1.2*W</f>
        <v>3</v>
      </c>
      <c r="T8" s="1"/>
      <c r="X8" s="1"/>
    </row>
    <row r="9" spans="1:24" x14ac:dyDescent="0.25">
      <c r="A9" s="107" t="s">
        <v>36</v>
      </c>
      <c r="B9" s="108"/>
      <c r="C9" s="109"/>
      <c r="E9" s="174" t="s">
        <v>41</v>
      </c>
      <c r="F9" s="175"/>
      <c r="G9" s="176"/>
      <c r="I9" s="172" t="s">
        <v>74</v>
      </c>
      <c r="J9" s="172"/>
      <c r="K9" s="172"/>
      <c r="T9" s="1"/>
      <c r="X9" s="1"/>
    </row>
    <row r="10" spans="1:24" x14ac:dyDescent="0.25">
      <c r="A10" s="105"/>
      <c r="B10" s="98"/>
      <c r="C10" s="106"/>
      <c r="E10" s="7" t="s">
        <v>40</v>
      </c>
      <c r="F10" s="49">
        <f>(2*W*9.81)/(rho*(10*10)*Clmax)</f>
        <v>0.19268903619419001</v>
      </c>
      <c r="G10" s="8" t="s">
        <v>48</v>
      </c>
      <c r="T10" s="1"/>
      <c r="X10" s="1"/>
    </row>
    <row r="11" spans="1:24" x14ac:dyDescent="0.25">
      <c r="A11" s="107" t="s">
        <v>37</v>
      </c>
      <c r="B11" s="108"/>
      <c r="C11" s="109"/>
      <c r="K11" s="177" t="s">
        <v>336</v>
      </c>
      <c r="L11" s="178"/>
      <c r="M11" s="50">
        <f>F10</f>
        <v>0.19268903619419001</v>
      </c>
      <c r="N11" s="29" t="s">
        <v>335</v>
      </c>
      <c r="T11" s="1"/>
      <c r="X11" s="1"/>
    </row>
    <row r="12" spans="1:24" x14ac:dyDescent="0.25">
      <c r="A12" s="105"/>
      <c r="B12" s="98"/>
      <c r="C12" s="106"/>
      <c r="E12" s="28" t="s">
        <v>49</v>
      </c>
      <c r="F12" s="155" t="s">
        <v>160</v>
      </c>
      <c r="G12" s="155"/>
      <c r="H12" s="155" t="s">
        <v>52</v>
      </c>
      <c r="I12" s="155"/>
      <c r="K12" s="173" t="s">
        <v>107</v>
      </c>
      <c r="L12" s="173"/>
      <c r="M12" s="113">
        <f>b*Cw</f>
        <v>0.24142857142857144</v>
      </c>
      <c r="N12" s="114" t="s">
        <v>48</v>
      </c>
      <c r="T12" s="1"/>
      <c r="X12" s="1"/>
    </row>
    <row r="13" spans="1:24" x14ac:dyDescent="0.25">
      <c r="A13" s="107" t="s">
        <v>38</v>
      </c>
      <c r="B13" s="108"/>
      <c r="C13" s="109"/>
      <c r="E13" s="2">
        <v>4</v>
      </c>
      <c r="F13" s="142">
        <f>b</f>
        <v>1.3</v>
      </c>
      <c r="G13" s="142"/>
      <c r="H13" s="142">
        <f>F13/E13</f>
        <v>0.32500000000000001</v>
      </c>
      <c r="I13" s="142"/>
      <c r="T13" s="1"/>
      <c r="X13" s="1"/>
    </row>
    <row r="14" spans="1:24" x14ac:dyDescent="0.25">
      <c r="A14" s="105"/>
      <c r="B14" s="98"/>
      <c r="C14" s="106"/>
      <c r="E14" s="2">
        <v>5</v>
      </c>
      <c r="F14" s="142">
        <f>b</f>
        <v>1.3</v>
      </c>
      <c r="G14" s="142"/>
      <c r="H14" s="142">
        <f t="shared" ref="H14:H16" si="0">F14/E14</f>
        <v>0.26</v>
      </c>
      <c r="I14" s="142"/>
      <c r="M14" s="2" t="s">
        <v>15</v>
      </c>
      <c r="N14" s="2" t="s">
        <v>78</v>
      </c>
    </row>
    <row r="15" spans="1:24" x14ac:dyDescent="0.25">
      <c r="A15" s="110" t="s">
        <v>39</v>
      </c>
      <c r="B15" s="111"/>
      <c r="C15" s="112"/>
      <c r="E15" s="2">
        <v>6</v>
      </c>
      <c r="F15" s="142">
        <f>b</f>
        <v>1.3</v>
      </c>
      <c r="G15" s="142"/>
      <c r="H15" s="179">
        <f t="shared" si="0"/>
        <v>0.21666666666666667</v>
      </c>
      <c r="I15" s="179"/>
      <c r="K15" s="46" t="s">
        <v>192</v>
      </c>
      <c r="L15" s="45">
        <f>F10</f>
        <v>0.19268903619419001</v>
      </c>
      <c r="M15" s="45">
        <f>0.5*rho*(Vstall*Vstall)*F10*Clmax</f>
        <v>24.525000000000002</v>
      </c>
      <c r="N15" s="2">
        <f>M15/9.81</f>
        <v>2.5</v>
      </c>
    </row>
    <row r="16" spans="1:24" x14ac:dyDescent="0.25">
      <c r="E16" s="26">
        <v>7</v>
      </c>
      <c r="F16" s="173">
        <v>1.3</v>
      </c>
      <c r="G16" s="173"/>
      <c r="H16" s="165">
        <f t="shared" si="0"/>
        <v>0.18571428571428572</v>
      </c>
      <c r="I16" s="165"/>
      <c r="K16" s="46" t="s">
        <v>192</v>
      </c>
      <c r="L16" s="45">
        <f>Sw</f>
        <v>0.24142857142857144</v>
      </c>
      <c r="M16" s="47">
        <f>0.5*B5*Vstall^2*Sw*Clmax</f>
        <v>30.728451557142858</v>
      </c>
      <c r="N16" s="47">
        <f>M16/9.81</f>
        <v>3.1323599956312798</v>
      </c>
    </row>
    <row r="18" spans="1:10" x14ac:dyDescent="0.25">
      <c r="A18" s="142"/>
      <c r="B18" s="142"/>
      <c r="C18" s="142"/>
      <c r="D18" s="142"/>
      <c r="E18" s="142"/>
    </row>
    <row r="19" spans="1:10" x14ac:dyDescent="0.25">
      <c r="A19" s="142"/>
      <c r="B19" s="142"/>
      <c r="C19" s="142"/>
      <c r="D19" s="142"/>
      <c r="E19" s="142"/>
      <c r="G19" s="156" t="s">
        <v>106</v>
      </c>
      <c r="H19" s="156"/>
      <c r="I19" s="156"/>
      <c r="J19" s="50">
        <f>Cw/4</f>
        <v>4.642857142857143E-2</v>
      </c>
    </row>
    <row r="20" spans="1:10" x14ac:dyDescent="0.25">
      <c r="A20" s="142"/>
      <c r="B20" s="142"/>
      <c r="C20" s="142"/>
      <c r="D20" s="142"/>
      <c r="E20" s="142"/>
    </row>
    <row r="21" spans="1:10" x14ac:dyDescent="0.25">
      <c r="A21" s="142"/>
      <c r="B21" s="142"/>
      <c r="C21" s="142"/>
      <c r="D21" s="142"/>
      <c r="E21" s="142"/>
    </row>
    <row r="22" spans="1:10" x14ac:dyDescent="0.25">
      <c r="A22" s="142"/>
      <c r="B22" s="142"/>
      <c r="C22" s="142"/>
      <c r="D22" s="142"/>
      <c r="E22" s="142"/>
    </row>
    <row r="23" spans="1:10" x14ac:dyDescent="0.25">
      <c r="A23" s="142"/>
      <c r="B23" s="142"/>
      <c r="C23" s="142"/>
      <c r="D23" s="142"/>
      <c r="E23" s="142"/>
    </row>
    <row r="24" spans="1:10" x14ac:dyDescent="0.25">
      <c r="A24" s="142"/>
      <c r="B24" s="142"/>
      <c r="C24" s="142"/>
      <c r="D24" s="142"/>
      <c r="E24" s="142"/>
    </row>
    <row r="25" spans="1:10" x14ac:dyDescent="0.25">
      <c r="A25" s="142"/>
      <c r="B25" s="142"/>
      <c r="C25" s="142"/>
      <c r="D25" s="142"/>
      <c r="E25" s="142"/>
    </row>
    <row r="26" spans="1:10" x14ac:dyDescent="0.25">
      <c r="A26" s="142"/>
      <c r="B26" s="142"/>
      <c r="C26" s="142"/>
      <c r="D26" s="142"/>
      <c r="E26" s="142"/>
    </row>
    <row r="27" spans="1:10" x14ac:dyDescent="0.25">
      <c r="A27" s="142"/>
      <c r="B27" s="142"/>
      <c r="C27" s="142"/>
      <c r="D27" s="142"/>
      <c r="E27" s="142"/>
    </row>
    <row r="28" spans="1:10" x14ac:dyDescent="0.25">
      <c r="A28" s="142"/>
      <c r="B28" s="142"/>
      <c r="C28" s="142"/>
      <c r="D28" s="142"/>
      <c r="E28" s="142"/>
    </row>
    <row r="29" spans="1:10" x14ac:dyDescent="0.25">
      <c r="A29" s="142"/>
      <c r="B29" s="142"/>
      <c r="C29" s="142"/>
      <c r="D29" s="142"/>
      <c r="E29" s="142"/>
    </row>
    <row r="30" spans="1:10" x14ac:dyDescent="0.25">
      <c r="A30" s="142"/>
      <c r="B30" s="142"/>
      <c r="C30" s="142"/>
      <c r="D30" s="142"/>
      <c r="E30" s="142"/>
    </row>
    <row r="31" spans="1:10" x14ac:dyDescent="0.25">
      <c r="A31" s="142"/>
      <c r="B31" s="142"/>
      <c r="C31" s="142"/>
      <c r="D31" s="142"/>
      <c r="E31" s="142"/>
    </row>
    <row r="32" spans="1:10" x14ac:dyDescent="0.25">
      <c r="A32" s="142"/>
      <c r="B32" s="142"/>
      <c r="C32" s="142"/>
      <c r="D32" s="142"/>
      <c r="E32" s="142"/>
    </row>
    <row r="33" spans="1:5" x14ac:dyDescent="0.25">
      <c r="A33" s="142"/>
      <c r="B33" s="142"/>
      <c r="C33" s="142"/>
      <c r="D33" s="142"/>
      <c r="E33" s="142"/>
    </row>
    <row r="34" spans="1:5" x14ac:dyDescent="0.25">
      <c r="A34" s="142"/>
      <c r="B34" s="142"/>
      <c r="C34" s="142"/>
      <c r="D34" s="142"/>
      <c r="E34" s="142"/>
    </row>
    <row r="35" spans="1:5" x14ac:dyDescent="0.25">
      <c r="A35" s="142"/>
      <c r="B35" s="142"/>
      <c r="C35" s="142"/>
      <c r="D35" s="142"/>
      <c r="E35" s="142"/>
    </row>
    <row r="36" spans="1:5" x14ac:dyDescent="0.25">
      <c r="A36" s="142"/>
      <c r="B36" s="142"/>
      <c r="C36" s="142"/>
      <c r="D36" s="142"/>
      <c r="E36" s="142"/>
    </row>
    <row r="37" spans="1:5" x14ac:dyDescent="0.25">
      <c r="A37" s="142"/>
      <c r="B37" s="142"/>
      <c r="C37" s="142"/>
      <c r="D37" s="142"/>
      <c r="E37" s="142"/>
    </row>
  </sheetData>
  <mergeCells count="18">
    <mergeCell ref="K11:L11"/>
    <mergeCell ref="H15:I15"/>
    <mergeCell ref="A18:E37"/>
    <mergeCell ref="H16:I16"/>
    <mergeCell ref="G19:I19"/>
    <mergeCell ref="H12:I12"/>
    <mergeCell ref="A1:G2"/>
    <mergeCell ref="I8:K8"/>
    <mergeCell ref="I9:K9"/>
    <mergeCell ref="F16:G16"/>
    <mergeCell ref="F12:G12"/>
    <mergeCell ref="F13:G13"/>
    <mergeCell ref="E9:G9"/>
    <mergeCell ref="F14:G14"/>
    <mergeCell ref="F15:G15"/>
    <mergeCell ref="K12:L12"/>
    <mergeCell ref="H13:I13"/>
    <mergeCell ref="H14:I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AEF1-E9CE-4593-9555-B125D71EFB9C}">
  <dimension ref="A1:U82"/>
  <sheetViews>
    <sheetView topLeftCell="A22" zoomScale="85" zoomScaleNormal="85" workbookViewId="0">
      <selection activeCell="H18" sqref="H18"/>
    </sheetView>
  </sheetViews>
  <sheetFormatPr defaultRowHeight="15" x14ac:dyDescent="0.25"/>
  <cols>
    <col min="8" max="8" width="11.5703125" customWidth="1"/>
    <col min="16" max="16" width="18.5703125" customWidth="1"/>
  </cols>
  <sheetData>
    <row r="1" spans="1:21" x14ac:dyDescent="0.25">
      <c r="A1" s="182" t="s">
        <v>317</v>
      </c>
      <c r="B1" s="183"/>
      <c r="C1" s="183"/>
      <c r="D1" s="183"/>
      <c r="E1" s="183"/>
      <c r="F1" s="183"/>
      <c r="G1" s="184"/>
    </row>
    <row r="2" spans="1:21" x14ac:dyDescent="0.25">
      <c r="A2" s="185"/>
      <c r="B2" s="186"/>
      <c r="C2" s="186"/>
      <c r="D2" s="186"/>
      <c r="E2" s="186"/>
      <c r="F2" s="186"/>
      <c r="G2" s="187"/>
    </row>
    <row r="3" spans="1:21" ht="15.75" thickBot="1" x14ac:dyDescent="0.3">
      <c r="A3" s="188"/>
      <c r="B3" s="189"/>
      <c r="C3" s="189"/>
      <c r="D3" s="189"/>
      <c r="E3" s="189"/>
      <c r="F3" s="189"/>
      <c r="G3" s="190"/>
    </row>
    <row r="5" spans="1:21" x14ac:dyDescent="0.25">
      <c r="A5" s="89" t="s">
        <v>318</v>
      </c>
      <c r="B5" s="90"/>
      <c r="C5" s="90"/>
      <c r="D5" s="90"/>
      <c r="E5" s="90"/>
      <c r="F5" s="90"/>
      <c r="G5" s="91"/>
      <c r="Q5" s="93"/>
      <c r="R5" s="181"/>
      <c r="S5" s="181"/>
      <c r="T5" s="181"/>
    </row>
    <row r="6" spans="1:21" x14ac:dyDescent="0.25">
      <c r="A6" s="3" t="s">
        <v>319</v>
      </c>
      <c r="B6" t="s">
        <v>320</v>
      </c>
      <c r="G6" s="4"/>
      <c r="Q6" s="93"/>
      <c r="R6" s="181"/>
      <c r="S6" s="181"/>
      <c r="T6" s="181"/>
    </row>
    <row r="7" spans="1:21" x14ac:dyDescent="0.25">
      <c r="A7" s="3" t="s">
        <v>251</v>
      </c>
      <c r="B7" t="s">
        <v>321</v>
      </c>
      <c r="G7" s="4"/>
      <c r="Q7" s="93"/>
      <c r="R7" s="191"/>
      <c r="S7" s="191"/>
      <c r="T7" s="191"/>
      <c r="U7" s="93"/>
    </row>
    <row r="8" spans="1:21" x14ac:dyDescent="0.25">
      <c r="A8" s="3" t="s">
        <v>322</v>
      </c>
      <c r="B8">
        <v>100000</v>
      </c>
      <c r="G8" s="4"/>
      <c r="Q8" s="93"/>
      <c r="R8" s="191"/>
      <c r="S8" s="191"/>
      <c r="T8" s="191"/>
      <c r="U8" s="93"/>
    </row>
    <row r="9" spans="1:21" x14ac:dyDescent="0.25">
      <c r="A9" s="3" t="s">
        <v>323</v>
      </c>
      <c r="B9">
        <v>9</v>
      </c>
      <c r="G9" s="4"/>
      <c r="Q9" s="93"/>
      <c r="R9" s="181"/>
      <c r="S9" s="181"/>
      <c r="T9" s="181"/>
    </row>
    <row r="10" spans="1:21" x14ac:dyDescent="0.25">
      <c r="A10" s="3" t="s">
        <v>324</v>
      </c>
      <c r="B10">
        <v>0</v>
      </c>
      <c r="G10" s="4"/>
      <c r="R10" s="191"/>
      <c r="S10" s="191"/>
      <c r="T10" s="191"/>
    </row>
    <row r="11" spans="1:21" x14ac:dyDescent="0.25">
      <c r="A11" s="3" t="s">
        <v>325</v>
      </c>
      <c r="B11">
        <v>54.477499999999999</v>
      </c>
      <c r="G11" s="4"/>
      <c r="R11" s="191"/>
      <c r="S11" s="191"/>
      <c r="T11" s="191"/>
    </row>
    <row r="12" spans="1:21" x14ac:dyDescent="0.25">
      <c r="A12" s="3" t="s">
        <v>326</v>
      </c>
      <c r="B12">
        <v>3.25</v>
      </c>
      <c r="G12" s="4"/>
      <c r="R12" s="191"/>
      <c r="S12" s="191"/>
      <c r="T12" s="191"/>
    </row>
    <row r="13" spans="1:21" x14ac:dyDescent="0.25">
      <c r="A13" s="92" t="s">
        <v>327</v>
      </c>
      <c r="B13" s="5" t="s">
        <v>328</v>
      </c>
      <c r="C13" s="5"/>
      <c r="D13" s="5"/>
      <c r="E13" s="5"/>
      <c r="F13" s="5"/>
      <c r="G13" s="6"/>
      <c r="Q13" s="93"/>
      <c r="R13" s="191"/>
      <c r="S13" s="191"/>
      <c r="T13" s="191"/>
    </row>
    <row r="14" spans="1:21" x14ac:dyDescent="0.25">
      <c r="R14" s="192"/>
      <c r="S14" s="192"/>
      <c r="T14" s="192"/>
    </row>
    <row r="15" spans="1:21" x14ac:dyDescent="0.25">
      <c r="A15" s="28" t="s">
        <v>329</v>
      </c>
      <c r="B15" s="28" t="s">
        <v>22</v>
      </c>
      <c r="C15" s="28" t="s">
        <v>23</v>
      </c>
      <c r="D15" s="28" t="s">
        <v>330</v>
      </c>
      <c r="E15" s="28" t="s">
        <v>24</v>
      </c>
      <c r="F15" s="28" t="s">
        <v>331</v>
      </c>
      <c r="G15" s="28" t="s">
        <v>332</v>
      </c>
      <c r="H15" s="28" t="s">
        <v>333</v>
      </c>
      <c r="R15" s="192"/>
      <c r="S15" s="192"/>
      <c r="T15" s="192"/>
    </row>
    <row r="16" spans="1:21" x14ac:dyDescent="0.25">
      <c r="A16" s="2">
        <v>-5.5</v>
      </c>
      <c r="B16" s="2">
        <v>-1.0500000000000001E-2</v>
      </c>
      <c r="C16" s="2">
        <v>0.10503</v>
      </c>
      <c r="D16" s="2">
        <v>0.10101</v>
      </c>
      <c r="E16" s="2">
        <v>-5.4699999999999999E-2</v>
      </c>
      <c r="F16" s="2">
        <v>0.93200000000000005</v>
      </c>
      <c r="G16" s="2">
        <v>6.8599999999999994E-2</v>
      </c>
      <c r="H16" s="47" t="e">
        <f t="shared" ref="H16:H47" si="0">SQRT((2*W_N)/(rho*Sw*B16))</f>
        <v>#NUM!</v>
      </c>
      <c r="R16" s="192"/>
      <c r="S16" s="192"/>
      <c r="T16" s="192"/>
    </row>
    <row r="17" spans="1:20" x14ac:dyDescent="0.25">
      <c r="A17" s="2">
        <v>-5.25</v>
      </c>
      <c r="B17" s="2">
        <v>4.7000000000000002E-3</v>
      </c>
      <c r="C17" s="2">
        <v>0.10263</v>
      </c>
      <c r="D17" s="2">
        <v>9.8629999999999995E-2</v>
      </c>
      <c r="E17" s="2">
        <v>-5.9200000000000003E-2</v>
      </c>
      <c r="F17" s="2">
        <v>0.91910000000000003</v>
      </c>
      <c r="G17" s="2">
        <v>7.1400000000000005E-2</v>
      </c>
      <c r="H17" s="47">
        <f t="shared" si="0"/>
        <v>188.00223665239673</v>
      </c>
      <c r="R17" s="191"/>
      <c r="S17" s="191"/>
      <c r="T17" s="191"/>
    </row>
    <row r="18" spans="1:20" x14ac:dyDescent="0.25">
      <c r="A18" s="2">
        <v>-5</v>
      </c>
      <c r="B18" s="2">
        <v>1.03E-2</v>
      </c>
      <c r="C18" s="2">
        <v>0.10224999999999999</v>
      </c>
      <c r="D18" s="2">
        <v>9.8280000000000006E-2</v>
      </c>
      <c r="E18" s="2">
        <v>-6.88E-2</v>
      </c>
      <c r="F18" s="2">
        <v>0.90139999999999998</v>
      </c>
      <c r="G18" s="2">
        <v>7.2700000000000001E-2</v>
      </c>
      <c r="H18" s="47">
        <f t="shared" si="0"/>
        <v>126.99696221258993</v>
      </c>
    </row>
    <row r="19" spans="1:20" x14ac:dyDescent="0.25">
      <c r="A19" s="2">
        <v>-4.75</v>
      </c>
      <c r="B19" s="2">
        <v>3.8600000000000002E-2</v>
      </c>
      <c r="C19" s="2">
        <v>9.5579999999999998E-2</v>
      </c>
      <c r="D19" s="2">
        <v>9.1630000000000003E-2</v>
      </c>
      <c r="E19" s="2">
        <v>-6.4799999999999996E-2</v>
      </c>
      <c r="F19" s="2">
        <v>0.89319999999999999</v>
      </c>
      <c r="G19" s="2">
        <v>7.46E-2</v>
      </c>
      <c r="H19" s="47">
        <f t="shared" si="0"/>
        <v>65.602183205572558</v>
      </c>
    </row>
    <row r="20" spans="1:20" x14ac:dyDescent="0.25">
      <c r="A20" s="2">
        <v>-4.5</v>
      </c>
      <c r="B20" s="2">
        <v>7.0199999999999999E-2</v>
      </c>
      <c r="C20" s="2">
        <v>9.1340000000000005E-2</v>
      </c>
      <c r="D20" s="2">
        <v>8.7389999999999995E-2</v>
      </c>
      <c r="E20" s="2">
        <v>-6.8699999999999997E-2</v>
      </c>
      <c r="F20" s="2">
        <v>0.88580000000000003</v>
      </c>
      <c r="G20" s="2">
        <v>7.8100000000000003E-2</v>
      </c>
      <c r="H20" s="47">
        <f t="shared" si="0"/>
        <v>48.645580351014473</v>
      </c>
    </row>
    <row r="21" spans="1:20" x14ac:dyDescent="0.25">
      <c r="A21" s="2">
        <v>-4.25</v>
      </c>
      <c r="B21" s="2">
        <v>8.8400000000000006E-2</v>
      </c>
      <c r="C21" s="2">
        <v>8.8389999999999996E-2</v>
      </c>
      <c r="D21" s="2">
        <v>8.4449999999999997E-2</v>
      </c>
      <c r="E21" s="2">
        <v>-7.3099999999999998E-2</v>
      </c>
      <c r="F21" s="2">
        <v>0.87009999999999998</v>
      </c>
      <c r="G21" s="2">
        <v>8.2100000000000006E-2</v>
      </c>
      <c r="H21" s="47">
        <f t="shared" si="0"/>
        <v>43.349671675108226</v>
      </c>
    </row>
    <row r="22" spans="1:20" x14ac:dyDescent="0.25">
      <c r="A22" s="2">
        <v>-4</v>
      </c>
      <c r="B22" s="2">
        <v>0.1103</v>
      </c>
      <c r="C22" s="2">
        <v>8.4640000000000007E-2</v>
      </c>
      <c r="D22" s="2">
        <v>8.072E-2</v>
      </c>
      <c r="E22" s="2">
        <v>-8.1799999999999998E-2</v>
      </c>
      <c r="F22" s="2">
        <v>0.85340000000000005</v>
      </c>
      <c r="G22" s="2">
        <v>8.4699999999999998E-2</v>
      </c>
      <c r="H22" s="47">
        <f t="shared" si="0"/>
        <v>38.808261571914805</v>
      </c>
    </row>
    <row r="23" spans="1:20" x14ac:dyDescent="0.25">
      <c r="A23" s="2">
        <v>-3.75</v>
      </c>
      <c r="B23" s="2">
        <v>0.12889999999999999</v>
      </c>
      <c r="C23" s="2">
        <v>8.072E-2</v>
      </c>
      <c r="D23" s="2">
        <v>7.6810000000000003E-2</v>
      </c>
      <c r="E23" s="2">
        <v>-7.8299999999999995E-2</v>
      </c>
      <c r="F23" s="2">
        <v>0.8397</v>
      </c>
      <c r="G23" s="2">
        <v>8.7400000000000005E-2</v>
      </c>
      <c r="H23" s="47">
        <f t="shared" si="0"/>
        <v>35.899259165823835</v>
      </c>
    </row>
    <row r="24" spans="1:20" x14ac:dyDescent="0.25">
      <c r="A24" s="2">
        <v>-3.5</v>
      </c>
      <c r="B24" s="2">
        <v>0.1542</v>
      </c>
      <c r="C24" s="2">
        <v>7.7149999999999996E-2</v>
      </c>
      <c r="D24" s="2">
        <v>7.3230000000000003E-2</v>
      </c>
      <c r="E24" s="2">
        <v>-8.1299999999999997E-2</v>
      </c>
      <c r="F24" s="2">
        <v>0.82479999999999998</v>
      </c>
      <c r="G24" s="2">
        <v>9.2200000000000004E-2</v>
      </c>
      <c r="H24" s="47">
        <f t="shared" si="0"/>
        <v>32.822356494227556</v>
      </c>
    </row>
    <row r="25" spans="1:20" x14ac:dyDescent="0.25">
      <c r="A25" s="2">
        <v>-3.25</v>
      </c>
      <c r="B25" s="2">
        <v>0.18970000000000001</v>
      </c>
      <c r="C25" s="2">
        <v>7.2599999999999998E-2</v>
      </c>
      <c r="D25" s="2">
        <v>6.8650000000000003E-2</v>
      </c>
      <c r="E25" s="2">
        <v>-9.2299999999999993E-2</v>
      </c>
      <c r="F25" s="2">
        <v>0.80820000000000003</v>
      </c>
      <c r="G25" s="2">
        <v>9.8299999999999998E-2</v>
      </c>
      <c r="H25" s="47">
        <f t="shared" si="0"/>
        <v>29.5922699158928</v>
      </c>
    </row>
    <row r="26" spans="1:20" x14ac:dyDescent="0.25">
      <c r="A26" s="2">
        <v>-3</v>
      </c>
      <c r="B26" s="2">
        <v>0.224</v>
      </c>
      <c r="C26" s="2">
        <v>6.862E-2</v>
      </c>
      <c r="D26" s="2">
        <v>6.4610000000000001E-2</v>
      </c>
      <c r="E26" s="2">
        <v>-9.3100000000000002E-2</v>
      </c>
      <c r="F26" s="2">
        <v>0.79620000000000002</v>
      </c>
      <c r="G26" s="2">
        <v>0.1062</v>
      </c>
      <c r="H26" s="47">
        <f t="shared" si="0"/>
        <v>27.23252655993608</v>
      </c>
    </row>
    <row r="27" spans="1:20" x14ac:dyDescent="0.25">
      <c r="A27" s="2">
        <v>-2.75</v>
      </c>
      <c r="B27" s="2">
        <v>0.27139999999999997</v>
      </c>
      <c r="C27" s="2">
        <v>6.3769999999999993E-2</v>
      </c>
      <c r="D27" s="2">
        <v>5.9650000000000002E-2</v>
      </c>
      <c r="E27" s="2">
        <v>-0.1031</v>
      </c>
      <c r="F27" s="2">
        <v>0.77890000000000004</v>
      </c>
      <c r="G27" s="2">
        <v>0.11509999999999999</v>
      </c>
      <c r="H27" s="47">
        <f t="shared" si="0"/>
        <v>24.740417454893553</v>
      </c>
    </row>
    <row r="28" spans="1:20" x14ac:dyDescent="0.25">
      <c r="A28" s="2">
        <v>-2.5</v>
      </c>
      <c r="B28" s="2">
        <v>0.33550000000000002</v>
      </c>
      <c r="C28" s="2">
        <v>5.8889999999999998E-2</v>
      </c>
      <c r="D28" s="2">
        <v>5.459E-2</v>
      </c>
      <c r="E28" s="2">
        <v>-0.1188</v>
      </c>
      <c r="F28" s="2">
        <v>0.75539999999999996</v>
      </c>
      <c r="G28" s="2">
        <v>0.12839999999999999</v>
      </c>
      <c r="H28" s="47">
        <f t="shared" si="0"/>
        <v>22.251827409383992</v>
      </c>
    </row>
    <row r="29" spans="1:20" x14ac:dyDescent="0.25">
      <c r="A29" s="2">
        <v>-2.25</v>
      </c>
      <c r="B29" s="2">
        <v>0.40649999999999997</v>
      </c>
      <c r="C29" s="2">
        <v>5.4109999999999998E-2</v>
      </c>
      <c r="D29" s="2">
        <v>4.9540000000000001E-2</v>
      </c>
      <c r="E29" s="2">
        <v>-0.13320000000000001</v>
      </c>
      <c r="F29" s="2">
        <v>0.73080000000000001</v>
      </c>
      <c r="G29" s="2">
        <v>0.14419999999999999</v>
      </c>
      <c r="H29" s="47">
        <f t="shared" si="0"/>
        <v>20.215368858742728</v>
      </c>
    </row>
    <row r="30" spans="1:20" x14ac:dyDescent="0.25">
      <c r="A30" s="2">
        <v>-2</v>
      </c>
      <c r="B30" s="2">
        <v>0.47720000000000001</v>
      </c>
      <c r="C30" s="2">
        <v>4.9829999999999999E-2</v>
      </c>
      <c r="D30" s="2">
        <v>4.4929999999999998E-2</v>
      </c>
      <c r="E30" s="2">
        <v>-0.14580000000000001</v>
      </c>
      <c r="F30" s="2">
        <v>0.70640000000000003</v>
      </c>
      <c r="G30" s="2">
        <v>0.16120000000000001</v>
      </c>
      <c r="H30" s="47">
        <f t="shared" si="0"/>
        <v>18.657855597970713</v>
      </c>
    </row>
    <row r="31" spans="1:20" x14ac:dyDescent="0.25">
      <c r="A31" s="2">
        <v>-1.75</v>
      </c>
      <c r="B31" s="2">
        <v>0.8569</v>
      </c>
      <c r="C31" s="2">
        <v>2.4510000000000001E-2</v>
      </c>
      <c r="D31" s="2">
        <v>1.6809999999999999E-2</v>
      </c>
      <c r="E31" s="2">
        <v>-0.24510000000000001</v>
      </c>
      <c r="F31" s="2">
        <v>0.66649999999999998</v>
      </c>
      <c r="G31" s="2">
        <v>8.2500000000000004E-2</v>
      </c>
      <c r="H31" s="47">
        <f t="shared" si="0"/>
        <v>13.923450450304729</v>
      </c>
    </row>
    <row r="32" spans="1:20" x14ac:dyDescent="0.25">
      <c r="A32" s="2">
        <v>-1.5</v>
      </c>
      <c r="B32" s="2">
        <v>0.93159999999999998</v>
      </c>
      <c r="C32" s="2">
        <v>2.2890000000000001E-2</v>
      </c>
      <c r="D32" s="2">
        <v>1.4250000000000001E-2</v>
      </c>
      <c r="E32" s="2">
        <v>-0.25509999999999999</v>
      </c>
      <c r="F32" s="2">
        <v>0.64270000000000005</v>
      </c>
      <c r="G32" s="2">
        <v>8.3799999999999999E-2</v>
      </c>
      <c r="H32" s="47">
        <f t="shared" si="0"/>
        <v>13.353564396468332</v>
      </c>
    </row>
    <row r="33" spans="1:14" x14ac:dyDescent="0.25">
      <c r="A33" s="2">
        <v>-1.25</v>
      </c>
      <c r="B33" s="2">
        <v>0.98340000000000005</v>
      </c>
      <c r="C33" s="2">
        <v>2.2069999999999999E-2</v>
      </c>
      <c r="D33" s="2">
        <v>1.3129999999999999E-2</v>
      </c>
      <c r="E33" s="2">
        <v>-0.26019999999999999</v>
      </c>
      <c r="F33" s="2">
        <v>0.62480000000000002</v>
      </c>
      <c r="G33" s="2">
        <v>9.0899999999999995E-2</v>
      </c>
      <c r="H33" s="47">
        <f t="shared" si="0"/>
        <v>12.997111451260915</v>
      </c>
    </row>
    <row r="34" spans="1:14" x14ac:dyDescent="0.25">
      <c r="A34" s="2">
        <v>-1</v>
      </c>
      <c r="B34" s="2">
        <v>1.0275000000000001</v>
      </c>
      <c r="C34" s="2">
        <v>2.1690000000000001E-2</v>
      </c>
      <c r="D34" s="2">
        <v>1.2409999999999999E-2</v>
      </c>
      <c r="E34" s="2">
        <v>-0.26319999999999999</v>
      </c>
      <c r="F34" s="2">
        <v>0.60980000000000001</v>
      </c>
      <c r="G34" s="2">
        <v>9.7600000000000006E-2</v>
      </c>
      <c r="H34" s="47">
        <f t="shared" si="0"/>
        <v>12.715136587108878</v>
      </c>
    </row>
    <row r="35" spans="1:14" x14ac:dyDescent="0.25">
      <c r="A35" s="2">
        <v>-0.75</v>
      </c>
      <c r="B35" s="2">
        <v>1.0710999999999999</v>
      </c>
      <c r="C35" s="2">
        <v>2.145E-2</v>
      </c>
      <c r="D35" s="2">
        <v>1.2160000000000001E-2</v>
      </c>
      <c r="E35" s="2">
        <v>-0.26640000000000003</v>
      </c>
      <c r="F35" s="2">
        <v>0.59660000000000002</v>
      </c>
      <c r="G35" s="2">
        <v>0.1168</v>
      </c>
      <c r="H35" s="47">
        <f t="shared" si="0"/>
        <v>12.453658009995314</v>
      </c>
    </row>
    <row r="36" spans="1:14" x14ac:dyDescent="0.25">
      <c r="A36" s="2">
        <v>-0.5</v>
      </c>
      <c r="B36" s="2">
        <v>1.1235999999999999</v>
      </c>
      <c r="C36" s="2">
        <v>2.1669999999999998E-2</v>
      </c>
      <c r="D36" s="2">
        <v>1.264E-2</v>
      </c>
      <c r="E36" s="2">
        <v>-0.2712</v>
      </c>
      <c r="F36" s="2">
        <v>0.58530000000000004</v>
      </c>
      <c r="G36" s="2">
        <v>0.28589999999999999</v>
      </c>
      <c r="H36" s="47">
        <f t="shared" si="0"/>
        <v>12.159230175393297</v>
      </c>
      <c r="J36" s="180" t="s">
        <v>402</v>
      </c>
      <c r="K36" s="180"/>
      <c r="L36" s="180"/>
      <c r="M36" s="180"/>
      <c r="N36" s="180"/>
    </row>
    <row r="37" spans="1:14" x14ac:dyDescent="0.25">
      <c r="A37" s="2">
        <v>-0.25</v>
      </c>
      <c r="B37" s="2">
        <v>1.1483000000000001</v>
      </c>
      <c r="C37" s="2">
        <v>2.2460000000000001E-2</v>
      </c>
      <c r="D37" s="2">
        <v>1.342E-2</v>
      </c>
      <c r="E37" s="2">
        <v>-0.27010000000000001</v>
      </c>
      <c r="F37" s="2">
        <v>0.57509999999999994</v>
      </c>
      <c r="G37" s="2">
        <v>0.34489999999999998</v>
      </c>
      <c r="H37" s="47">
        <f t="shared" si="0"/>
        <v>12.027746400557309</v>
      </c>
    </row>
    <row r="38" spans="1:14" x14ac:dyDescent="0.25">
      <c r="A38" s="27">
        <v>0</v>
      </c>
      <c r="B38" s="27">
        <v>1.1729000000000001</v>
      </c>
      <c r="C38" s="27">
        <v>2.3369999999999998E-2</v>
      </c>
      <c r="D38" s="27">
        <v>1.43E-2</v>
      </c>
      <c r="E38" s="27">
        <v>-0.26879999999999998</v>
      </c>
      <c r="F38" s="27">
        <v>0.56710000000000005</v>
      </c>
      <c r="G38" s="27">
        <v>0.40039999999999998</v>
      </c>
      <c r="H38" s="48">
        <f t="shared" si="0"/>
        <v>11.900945103674255</v>
      </c>
    </row>
    <row r="39" spans="1:14" x14ac:dyDescent="0.25">
      <c r="A39" s="2">
        <v>0.25</v>
      </c>
      <c r="B39" s="2">
        <v>1.1995</v>
      </c>
      <c r="C39" s="2">
        <v>2.3720000000000001E-2</v>
      </c>
      <c r="D39" s="2">
        <v>1.464E-2</v>
      </c>
      <c r="E39" s="2">
        <v>-0.26840000000000003</v>
      </c>
      <c r="F39" s="2">
        <v>0.55830000000000002</v>
      </c>
      <c r="G39" s="2">
        <v>0.42520000000000002</v>
      </c>
      <c r="H39" s="47">
        <f t="shared" si="0"/>
        <v>11.768248186976221</v>
      </c>
    </row>
    <row r="40" spans="1:14" x14ac:dyDescent="0.25">
      <c r="A40" s="2">
        <v>0.5</v>
      </c>
      <c r="B40" s="2">
        <v>1.2338</v>
      </c>
      <c r="C40" s="2">
        <v>2.4049999999999998E-2</v>
      </c>
      <c r="D40" s="2">
        <v>1.477E-2</v>
      </c>
      <c r="E40" s="2">
        <v>-0.26960000000000001</v>
      </c>
      <c r="F40" s="2">
        <v>0.55089999999999995</v>
      </c>
      <c r="G40" s="2">
        <v>0.44440000000000002</v>
      </c>
      <c r="H40" s="47">
        <f t="shared" si="0"/>
        <v>11.60351484176736</v>
      </c>
    </row>
    <row r="41" spans="1:14" x14ac:dyDescent="0.25">
      <c r="A41" s="2">
        <v>0.75</v>
      </c>
      <c r="B41" s="2">
        <v>1.2672000000000001</v>
      </c>
      <c r="C41" s="2">
        <v>2.443E-2</v>
      </c>
      <c r="D41" s="2">
        <v>1.503E-2</v>
      </c>
      <c r="E41" s="2">
        <v>-0.2707</v>
      </c>
      <c r="F41" s="2">
        <v>0.54449999999999998</v>
      </c>
      <c r="G41" s="2">
        <v>0.4607</v>
      </c>
      <c r="H41" s="47">
        <f t="shared" si="0"/>
        <v>11.449574911459173</v>
      </c>
    </row>
    <row r="42" spans="1:14" x14ac:dyDescent="0.25">
      <c r="A42" s="2">
        <v>1</v>
      </c>
      <c r="B42" s="2">
        <v>1.2977000000000001</v>
      </c>
      <c r="C42" s="2">
        <v>2.4760000000000001E-2</v>
      </c>
      <c r="D42" s="2">
        <v>1.533E-2</v>
      </c>
      <c r="E42" s="2">
        <v>-0.27129999999999999</v>
      </c>
      <c r="F42" s="2">
        <v>0.53779999999999994</v>
      </c>
      <c r="G42" s="2">
        <v>0.47710000000000002</v>
      </c>
      <c r="H42" s="47">
        <f t="shared" si="0"/>
        <v>11.314224521903371</v>
      </c>
    </row>
    <row r="43" spans="1:14" x14ac:dyDescent="0.25">
      <c r="A43" s="2">
        <v>1.25</v>
      </c>
      <c r="B43" s="2">
        <v>1.3312999999999999</v>
      </c>
      <c r="C43" s="2">
        <v>2.513E-2</v>
      </c>
      <c r="D43" s="2">
        <v>1.5559999999999999E-2</v>
      </c>
      <c r="E43" s="2">
        <v>-0.27239999999999998</v>
      </c>
      <c r="F43" s="2">
        <v>0.53169999999999995</v>
      </c>
      <c r="G43" s="2">
        <v>0.49490000000000001</v>
      </c>
      <c r="H43" s="47">
        <f t="shared" si="0"/>
        <v>11.170535138525119</v>
      </c>
    </row>
    <row r="44" spans="1:14" x14ac:dyDescent="0.25">
      <c r="A44" s="2">
        <v>1.5</v>
      </c>
      <c r="B44" s="2">
        <v>1.365</v>
      </c>
      <c r="C44" s="2">
        <v>2.5610000000000001E-2</v>
      </c>
      <c r="D44" s="2">
        <v>1.592E-2</v>
      </c>
      <c r="E44" s="2">
        <v>-0.27360000000000001</v>
      </c>
      <c r="F44" s="2">
        <v>0.52629999999999999</v>
      </c>
      <c r="G44" s="2">
        <v>0.51549999999999996</v>
      </c>
      <c r="H44" s="47">
        <f t="shared" si="0"/>
        <v>11.031780684959523</v>
      </c>
    </row>
    <row r="45" spans="1:14" x14ac:dyDescent="0.25">
      <c r="A45" s="2">
        <v>1.75</v>
      </c>
      <c r="B45" s="2">
        <v>1.3917999999999999</v>
      </c>
      <c r="C45" s="2">
        <v>2.6009999999999998E-2</v>
      </c>
      <c r="D45" s="2">
        <v>1.6410000000000001E-2</v>
      </c>
      <c r="E45" s="2">
        <v>-0.27339999999999998</v>
      </c>
      <c r="F45" s="2">
        <v>0.52039999999999997</v>
      </c>
      <c r="G45" s="2">
        <v>0.5383</v>
      </c>
      <c r="H45" s="47">
        <f t="shared" si="0"/>
        <v>10.925052407540509</v>
      </c>
    </row>
    <row r="46" spans="1:14" x14ac:dyDescent="0.25">
      <c r="A46" s="2">
        <v>2</v>
      </c>
      <c r="B46" s="2">
        <v>1.4218999999999999</v>
      </c>
      <c r="C46" s="2">
        <v>2.6440000000000002E-2</v>
      </c>
      <c r="D46" s="2">
        <v>1.685E-2</v>
      </c>
      <c r="E46" s="2">
        <v>-0.27389999999999998</v>
      </c>
      <c r="F46" s="2">
        <v>0.51529999999999998</v>
      </c>
      <c r="G46" s="2">
        <v>0.56620000000000004</v>
      </c>
      <c r="H46" s="47">
        <f t="shared" si="0"/>
        <v>10.808798430990661</v>
      </c>
    </row>
    <row r="47" spans="1:14" x14ac:dyDescent="0.25">
      <c r="A47" s="2">
        <v>2.25</v>
      </c>
      <c r="B47" s="2">
        <v>1.4531000000000001</v>
      </c>
      <c r="C47" s="2">
        <v>2.69E-2</v>
      </c>
      <c r="D47" s="2">
        <v>1.7260000000000001E-2</v>
      </c>
      <c r="E47" s="2">
        <v>-0.27450000000000002</v>
      </c>
      <c r="F47" s="2">
        <v>0.51090000000000002</v>
      </c>
      <c r="G47" s="2">
        <v>0.60189999999999999</v>
      </c>
      <c r="H47" s="47">
        <f t="shared" si="0"/>
        <v>10.692129093468337</v>
      </c>
    </row>
    <row r="48" spans="1:14" x14ac:dyDescent="0.25">
      <c r="A48" s="2">
        <v>2.5</v>
      </c>
      <c r="B48" s="2">
        <v>1.4823</v>
      </c>
      <c r="C48" s="2">
        <v>2.7439999999999999E-2</v>
      </c>
      <c r="D48" s="2">
        <v>1.7819999999999999E-2</v>
      </c>
      <c r="E48" s="2">
        <v>-0.27460000000000001</v>
      </c>
      <c r="F48" s="2">
        <v>0.50680000000000003</v>
      </c>
      <c r="G48" s="2">
        <v>0.64649999999999996</v>
      </c>
      <c r="H48" s="47">
        <f t="shared" ref="H48:H82" si="1">SQRT((2*W_N)/(rho*Sw*B48))</f>
        <v>10.586292532364924</v>
      </c>
    </row>
    <row r="49" spans="1:8" x14ac:dyDescent="0.25">
      <c r="A49" s="2">
        <v>2.75</v>
      </c>
      <c r="B49" s="2">
        <v>1.5037</v>
      </c>
      <c r="C49" s="2">
        <v>2.784E-2</v>
      </c>
      <c r="D49" s="2">
        <v>1.847E-2</v>
      </c>
      <c r="E49" s="2">
        <v>-0.2732</v>
      </c>
      <c r="F49" s="2">
        <v>0.502</v>
      </c>
      <c r="G49" s="2">
        <v>0.7026</v>
      </c>
      <c r="H49" s="47">
        <f t="shared" si="1"/>
        <v>10.510692853086823</v>
      </c>
    </row>
    <row r="50" spans="1:8" x14ac:dyDescent="0.25">
      <c r="A50" s="2">
        <v>3</v>
      </c>
      <c r="B50" s="2">
        <v>1.5223</v>
      </c>
      <c r="C50" s="2">
        <v>2.811E-2</v>
      </c>
      <c r="D50" s="2">
        <v>1.899E-2</v>
      </c>
      <c r="E50" s="2">
        <v>-0.27110000000000001</v>
      </c>
      <c r="F50" s="2">
        <v>0.49759999999999999</v>
      </c>
      <c r="G50" s="2">
        <v>0.78979999999999995</v>
      </c>
      <c r="H50" s="47">
        <f t="shared" si="1"/>
        <v>10.446283823322988</v>
      </c>
    </row>
    <row r="51" spans="1:8" x14ac:dyDescent="0.25">
      <c r="A51" s="2">
        <v>3.25</v>
      </c>
      <c r="B51" s="2">
        <v>1.5379</v>
      </c>
      <c r="C51" s="2">
        <v>2.8230000000000002E-2</v>
      </c>
      <c r="D51" s="2">
        <v>1.917E-2</v>
      </c>
      <c r="E51" s="2">
        <v>-0.26860000000000001</v>
      </c>
      <c r="F51" s="2">
        <v>0.49390000000000001</v>
      </c>
      <c r="G51" s="2">
        <v>1</v>
      </c>
      <c r="H51" s="47">
        <f t="shared" si="1"/>
        <v>10.393166781708436</v>
      </c>
    </row>
    <row r="52" spans="1:8" x14ac:dyDescent="0.25">
      <c r="A52" s="2">
        <v>3.5</v>
      </c>
      <c r="B52" s="2">
        <v>1.5728</v>
      </c>
      <c r="C52" s="2">
        <v>2.903E-2</v>
      </c>
      <c r="D52" s="2">
        <v>1.9730000000000001E-2</v>
      </c>
      <c r="E52" s="2">
        <v>-0.27029999999999998</v>
      </c>
      <c r="F52" s="2">
        <v>0.49020000000000002</v>
      </c>
      <c r="G52" s="2">
        <v>1</v>
      </c>
      <c r="H52" s="47">
        <f t="shared" si="1"/>
        <v>10.277209147967927</v>
      </c>
    </row>
    <row r="53" spans="1:8" x14ac:dyDescent="0.25">
      <c r="A53" s="2">
        <v>3.75</v>
      </c>
      <c r="B53" s="2">
        <v>1.6028</v>
      </c>
      <c r="C53" s="2">
        <v>2.9960000000000001E-2</v>
      </c>
      <c r="D53" s="2">
        <v>2.0549999999999999E-2</v>
      </c>
      <c r="E53" s="2">
        <v>-0.27089999999999997</v>
      </c>
      <c r="F53" s="2">
        <v>0.48670000000000002</v>
      </c>
      <c r="G53" s="2">
        <v>1</v>
      </c>
      <c r="H53" s="47">
        <f t="shared" si="1"/>
        <v>10.180574307675755</v>
      </c>
    </row>
    <row r="54" spans="1:8" x14ac:dyDescent="0.25">
      <c r="A54" s="2">
        <v>4</v>
      </c>
      <c r="B54" s="2">
        <v>1.6248</v>
      </c>
      <c r="C54" s="2">
        <v>3.0790000000000001E-2</v>
      </c>
      <c r="D54" s="2">
        <v>2.1499999999999998E-2</v>
      </c>
      <c r="E54" s="2">
        <v>-0.27</v>
      </c>
      <c r="F54" s="2">
        <v>0.48249999999999998</v>
      </c>
      <c r="G54" s="2">
        <v>1</v>
      </c>
      <c r="H54" s="47">
        <f t="shared" si="1"/>
        <v>10.111416267943918</v>
      </c>
    </row>
    <row r="55" spans="1:8" x14ac:dyDescent="0.25">
      <c r="A55" s="2">
        <v>4.25</v>
      </c>
      <c r="B55" s="2">
        <v>1.649</v>
      </c>
      <c r="C55" s="2">
        <v>3.1609999999999999E-2</v>
      </c>
      <c r="D55" s="2">
        <v>2.2349999999999998E-2</v>
      </c>
      <c r="E55" s="2">
        <v>-0.26939999999999997</v>
      </c>
      <c r="F55" s="2">
        <v>0.47810000000000002</v>
      </c>
      <c r="G55" s="2">
        <v>1</v>
      </c>
      <c r="H55" s="47">
        <f t="shared" si="1"/>
        <v>10.03694668453044</v>
      </c>
    </row>
    <row r="56" spans="1:8" x14ac:dyDescent="0.25">
      <c r="A56" s="2">
        <v>4.5</v>
      </c>
      <c r="B56" s="2">
        <v>1.6752</v>
      </c>
      <c r="C56" s="2">
        <v>3.2399999999999998E-2</v>
      </c>
      <c r="D56" s="2">
        <v>2.3109999999999999E-2</v>
      </c>
      <c r="E56" s="2">
        <v>-0.26919999999999999</v>
      </c>
      <c r="F56" s="2">
        <v>0.4743</v>
      </c>
      <c r="G56" s="2">
        <v>1</v>
      </c>
      <c r="H56" s="47">
        <f t="shared" si="1"/>
        <v>9.9581488326460672</v>
      </c>
    </row>
    <row r="57" spans="1:8" x14ac:dyDescent="0.25">
      <c r="A57" s="2">
        <v>4.75</v>
      </c>
      <c r="B57" s="2">
        <v>1.7032</v>
      </c>
      <c r="C57" s="2">
        <v>3.3230000000000003E-2</v>
      </c>
      <c r="D57" s="2">
        <v>2.3869999999999999E-2</v>
      </c>
      <c r="E57" s="2">
        <v>-0.26929999999999998</v>
      </c>
      <c r="F57" s="2">
        <v>0.47110000000000002</v>
      </c>
      <c r="G57" s="2">
        <v>1</v>
      </c>
      <c r="H57" s="47">
        <f t="shared" si="1"/>
        <v>9.875955419163418</v>
      </c>
    </row>
    <row r="58" spans="1:8" x14ac:dyDescent="0.25">
      <c r="A58" s="2">
        <v>5</v>
      </c>
      <c r="B58" s="2">
        <v>1.7335</v>
      </c>
      <c r="C58" s="2">
        <v>3.4270000000000002E-2</v>
      </c>
      <c r="D58" s="2">
        <v>2.4809999999999999E-2</v>
      </c>
      <c r="E58" s="2">
        <v>-0.27</v>
      </c>
      <c r="F58" s="2">
        <v>0.46810000000000002</v>
      </c>
      <c r="G58" s="2">
        <v>1</v>
      </c>
      <c r="H58" s="47">
        <f t="shared" si="1"/>
        <v>9.7892635759226216</v>
      </c>
    </row>
    <row r="59" spans="1:8" x14ac:dyDescent="0.25">
      <c r="A59" s="2">
        <v>5.25</v>
      </c>
      <c r="B59" s="2">
        <v>1.7484</v>
      </c>
      <c r="C59" s="2">
        <v>3.5349999999999999E-2</v>
      </c>
      <c r="D59" s="2">
        <v>2.614E-2</v>
      </c>
      <c r="E59" s="2">
        <v>-0.26779999999999998</v>
      </c>
      <c r="F59" s="2">
        <v>0.4642</v>
      </c>
      <c r="G59" s="2">
        <v>1</v>
      </c>
      <c r="H59" s="47">
        <f t="shared" si="1"/>
        <v>9.7474618954906642</v>
      </c>
    </row>
    <row r="60" spans="1:8" x14ac:dyDescent="0.25">
      <c r="A60" s="2">
        <v>5.5</v>
      </c>
      <c r="B60" s="2">
        <v>1.7673000000000001</v>
      </c>
      <c r="C60" s="2">
        <v>3.6420000000000001E-2</v>
      </c>
      <c r="D60" s="2">
        <v>2.733E-2</v>
      </c>
      <c r="E60" s="2">
        <v>-0.26629999999999998</v>
      </c>
      <c r="F60" s="2">
        <v>0.46010000000000001</v>
      </c>
      <c r="G60" s="2">
        <v>1</v>
      </c>
      <c r="H60" s="47">
        <f t="shared" si="1"/>
        <v>9.6952007555894912</v>
      </c>
    </row>
    <row r="61" spans="1:8" x14ac:dyDescent="0.25">
      <c r="A61" s="2">
        <v>5.75</v>
      </c>
      <c r="B61" s="2">
        <v>1.7899</v>
      </c>
      <c r="C61" s="2">
        <v>3.739E-2</v>
      </c>
      <c r="D61" s="2">
        <v>2.836E-2</v>
      </c>
      <c r="E61" s="2">
        <v>-0.26550000000000001</v>
      </c>
      <c r="F61" s="2">
        <v>0.45639999999999997</v>
      </c>
      <c r="G61" s="2">
        <v>1</v>
      </c>
      <c r="H61" s="47">
        <f t="shared" si="1"/>
        <v>9.6337985582503389</v>
      </c>
    </row>
    <row r="62" spans="1:8" x14ac:dyDescent="0.25">
      <c r="A62" s="2">
        <v>6</v>
      </c>
      <c r="B62" s="2">
        <v>1.8151999999999999</v>
      </c>
      <c r="C62" s="2">
        <v>3.8260000000000002E-2</v>
      </c>
      <c r="D62" s="2">
        <v>2.9250000000000002E-2</v>
      </c>
      <c r="E62" s="2">
        <v>-0.26519999999999999</v>
      </c>
      <c r="F62" s="2">
        <v>0.45290000000000002</v>
      </c>
      <c r="G62" s="2">
        <v>1</v>
      </c>
      <c r="H62" s="47">
        <f t="shared" si="1"/>
        <v>9.5664257176467817</v>
      </c>
    </row>
    <row r="63" spans="1:8" x14ac:dyDescent="0.25">
      <c r="A63" s="2">
        <v>6.25</v>
      </c>
      <c r="B63" s="2">
        <v>1.8443000000000001</v>
      </c>
      <c r="C63" s="2">
        <v>3.9140000000000001E-2</v>
      </c>
      <c r="D63" s="2">
        <v>3.005E-2</v>
      </c>
      <c r="E63" s="2">
        <v>-0.26550000000000001</v>
      </c>
      <c r="F63" s="2">
        <v>0.4496</v>
      </c>
      <c r="G63" s="2">
        <v>1</v>
      </c>
      <c r="H63" s="47">
        <f t="shared" si="1"/>
        <v>9.4906544647164726</v>
      </c>
    </row>
    <row r="64" spans="1:8" x14ac:dyDescent="0.25">
      <c r="A64" s="2">
        <v>6.5</v>
      </c>
      <c r="B64" s="2">
        <v>1.8582000000000001</v>
      </c>
      <c r="C64" s="2">
        <v>4.061E-2</v>
      </c>
      <c r="D64" s="2">
        <v>3.1719999999999998E-2</v>
      </c>
      <c r="E64" s="2">
        <v>-0.26329999999999998</v>
      </c>
      <c r="F64" s="2">
        <v>0.44590000000000002</v>
      </c>
      <c r="G64" s="2">
        <v>1</v>
      </c>
      <c r="H64" s="47">
        <f t="shared" si="1"/>
        <v>9.4550910898177793</v>
      </c>
    </row>
    <row r="65" spans="1:8" x14ac:dyDescent="0.25">
      <c r="A65" s="2">
        <v>6.75</v>
      </c>
      <c r="B65" s="2">
        <v>1.8685</v>
      </c>
      <c r="C65" s="2">
        <v>4.2130000000000001E-2</v>
      </c>
      <c r="D65" s="2">
        <v>3.3480000000000003E-2</v>
      </c>
      <c r="E65" s="2">
        <v>-0.26050000000000001</v>
      </c>
      <c r="F65" s="2">
        <v>0.44159999999999999</v>
      </c>
      <c r="G65" s="2">
        <v>1</v>
      </c>
      <c r="H65" s="47">
        <f t="shared" si="1"/>
        <v>9.4289947504820191</v>
      </c>
    </row>
    <row r="66" spans="1:8" x14ac:dyDescent="0.25">
      <c r="A66" s="2">
        <v>7</v>
      </c>
      <c r="B66" s="2">
        <v>1.8859999999999999</v>
      </c>
      <c r="C66" s="2">
        <v>4.3319999999999997E-2</v>
      </c>
      <c r="D66" s="2">
        <v>3.4799999999999998E-2</v>
      </c>
      <c r="E66" s="2">
        <v>-0.25890000000000002</v>
      </c>
      <c r="F66" s="2">
        <v>0.4375</v>
      </c>
      <c r="G66" s="2">
        <v>1</v>
      </c>
      <c r="H66" s="47">
        <f t="shared" si="1"/>
        <v>9.3851474636207275</v>
      </c>
    </row>
    <row r="67" spans="1:8" x14ac:dyDescent="0.25">
      <c r="A67" s="2">
        <v>7.25</v>
      </c>
      <c r="B67" s="2">
        <v>1.911</v>
      </c>
      <c r="C67" s="2">
        <v>4.4110000000000003E-2</v>
      </c>
      <c r="D67" s="2">
        <v>3.5589999999999997E-2</v>
      </c>
      <c r="E67" s="2">
        <v>-0.25850000000000001</v>
      </c>
      <c r="F67" s="2">
        <v>0.43369999999999997</v>
      </c>
      <c r="G67" s="2">
        <v>1</v>
      </c>
      <c r="H67" s="47">
        <f t="shared" si="1"/>
        <v>9.3235563831254087</v>
      </c>
    </row>
    <row r="68" spans="1:8" x14ac:dyDescent="0.25">
      <c r="A68" s="2">
        <v>7.5</v>
      </c>
      <c r="B68" s="2">
        <v>1.9414</v>
      </c>
      <c r="C68" s="2">
        <v>4.4850000000000001E-2</v>
      </c>
      <c r="D68" s="2">
        <v>3.6260000000000001E-2</v>
      </c>
      <c r="E68" s="2">
        <v>-0.25900000000000001</v>
      </c>
      <c r="F68" s="2">
        <v>0.4304</v>
      </c>
      <c r="G68" s="2">
        <v>1</v>
      </c>
      <c r="H68" s="47">
        <f t="shared" si="1"/>
        <v>9.250270492834165</v>
      </c>
    </row>
    <row r="69" spans="1:8" x14ac:dyDescent="0.25">
      <c r="A69" s="2">
        <v>7.75</v>
      </c>
      <c r="B69" s="2">
        <v>1.9462999999999999</v>
      </c>
      <c r="C69" s="2">
        <v>4.684E-2</v>
      </c>
      <c r="D69" s="2">
        <v>3.8519999999999999E-2</v>
      </c>
      <c r="E69" s="2">
        <v>-0.2555</v>
      </c>
      <c r="F69" s="2">
        <v>0.42630000000000001</v>
      </c>
      <c r="G69" s="2">
        <v>1</v>
      </c>
      <c r="H69" s="47">
        <f t="shared" si="1"/>
        <v>9.2386189258240012</v>
      </c>
    </row>
    <row r="70" spans="1:8" x14ac:dyDescent="0.25">
      <c r="A70" s="2">
        <v>8</v>
      </c>
      <c r="B70" s="2">
        <v>1.9457</v>
      </c>
      <c r="C70" s="2">
        <v>4.8959999999999997E-2</v>
      </c>
      <c r="D70" s="2">
        <v>4.095E-2</v>
      </c>
      <c r="E70" s="2">
        <v>-0.25109999999999999</v>
      </c>
      <c r="F70" s="2">
        <v>0.42149999999999999</v>
      </c>
      <c r="G70" s="2">
        <v>1</v>
      </c>
      <c r="H70" s="47">
        <f t="shared" si="1"/>
        <v>9.2400432831455905</v>
      </c>
    </row>
    <row r="71" spans="1:8" x14ac:dyDescent="0.25">
      <c r="A71" s="2">
        <v>8.25</v>
      </c>
      <c r="B71" s="2">
        <v>1.9622999999999999</v>
      </c>
      <c r="C71" s="2">
        <v>5.0110000000000002E-2</v>
      </c>
      <c r="D71" s="2">
        <v>4.2189999999999998E-2</v>
      </c>
      <c r="E71" s="2">
        <v>-0.24940000000000001</v>
      </c>
      <c r="F71" s="2">
        <v>0.41710000000000003</v>
      </c>
      <c r="G71" s="2">
        <v>1</v>
      </c>
      <c r="H71" s="47">
        <f t="shared" si="1"/>
        <v>9.200877384486768</v>
      </c>
    </row>
    <row r="72" spans="1:8" x14ac:dyDescent="0.25">
      <c r="A72" s="2">
        <v>8.5</v>
      </c>
      <c r="B72" s="2">
        <v>1.9937</v>
      </c>
      <c r="C72" s="2">
        <v>5.0410000000000003E-2</v>
      </c>
      <c r="D72" s="2">
        <v>4.2439999999999999E-2</v>
      </c>
      <c r="E72" s="2">
        <v>-0.24990000000000001</v>
      </c>
      <c r="F72" s="2">
        <v>0.41320000000000001</v>
      </c>
      <c r="G72" s="2">
        <v>1</v>
      </c>
      <c r="H72" s="47">
        <f t="shared" si="1"/>
        <v>9.1281347094643266</v>
      </c>
    </row>
    <row r="73" spans="1:8" x14ac:dyDescent="0.25">
      <c r="A73" s="2">
        <v>8.75</v>
      </c>
      <c r="B73" s="2">
        <v>2.0219999999999998</v>
      </c>
      <c r="C73" s="2">
        <v>5.1299999999999998E-2</v>
      </c>
      <c r="D73" s="2">
        <v>4.3310000000000001E-2</v>
      </c>
      <c r="E73" s="2">
        <v>-0.25009999999999999</v>
      </c>
      <c r="F73" s="2">
        <v>0.40949999999999998</v>
      </c>
      <c r="G73" s="2">
        <v>1</v>
      </c>
      <c r="H73" s="47">
        <f t="shared" si="1"/>
        <v>9.0640307332525687</v>
      </c>
    </row>
    <row r="74" spans="1:8" x14ac:dyDescent="0.25">
      <c r="A74" s="2">
        <v>9</v>
      </c>
      <c r="B74" s="2">
        <v>1.9896</v>
      </c>
      <c r="C74" s="2">
        <v>5.5129999999999998E-2</v>
      </c>
      <c r="D74" s="2">
        <v>4.7640000000000002E-2</v>
      </c>
      <c r="E74" s="2">
        <v>-0.2412</v>
      </c>
      <c r="F74" s="2">
        <v>0.4042</v>
      </c>
      <c r="G74" s="2">
        <v>1</v>
      </c>
      <c r="H74" s="47">
        <f t="shared" si="1"/>
        <v>9.1375351144191814</v>
      </c>
    </row>
    <row r="75" spans="1:8" x14ac:dyDescent="0.25">
      <c r="A75" s="2">
        <v>9.25</v>
      </c>
      <c r="B75" s="2">
        <v>1.9883</v>
      </c>
      <c r="C75" s="2">
        <v>5.7209999999999997E-2</v>
      </c>
      <c r="D75" s="2">
        <v>4.9930000000000002E-2</v>
      </c>
      <c r="E75" s="2">
        <v>-0.23699999999999999</v>
      </c>
      <c r="F75" s="2">
        <v>0.39929999999999999</v>
      </c>
      <c r="G75" s="2">
        <v>1</v>
      </c>
      <c r="H75" s="47">
        <f t="shared" si="1"/>
        <v>9.1405218001859705</v>
      </c>
    </row>
    <row r="76" spans="1:8" x14ac:dyDescent="0.25">
      <c r="A76" s="2">
        <v>9.5</v>
      </c>
      <c r="B76" s="2">
        <v>2.0272000000000001</v>
      </c>
      <c r="C76" s="2">
        <v>5.688E-2</v>
      </c>
      <c r="D76" s="2">
        <v>4.9540000000000001E-2</v>
      </c>
      <c r="E76" s="2">
        <v>-0.2384</v>
      </c>
      <c r="F76" s="2">
        <v>0.3952</v>
      </c>
      <c r="G76" s="2">
        <v>1</v>
      </c>
      <c r="H76" s="47">
        <f t="shared" si="1"/>
        <v>9.0523981306480081</v>
      </c>
    </row>
    <row r="77" spans="1:8" x14ac:dyDescent="0.25">
      <c r="A77" s="2">
        <v>9.75</v>
      </c>
      <c r="B77" s="2">
        <v>2.0813999999999999</v>
      </c>
      <c r="C77" s="2">
        <v>5.6120000000000003E-2</v>
      </c>
      <c r="D77" s="2">
        <v>4.8590000000000001E-2</v>
      </c>
      <c r="E77" s="2">
        <v>-0.2422</v>
      </c>
      <c r="F77" s="2">
        <v>0.39140000000000003</v>
      </c>
      <c r="G77" s="2">
        <v>1</v>
      </c>
      <c r="H77" s="47">
        <f t="shared" si="1"/>
        <v>8.9337577102804762</v>
      </c>
    </row>
    <row r="78" spans="1:8" x14ac:dyDescent="0.25">
      <c r="A78" s="2">
        <v>10</v>
      </c>
      <c r="B78" s="2">
        <v>1.9821</v>
      </c>
      <c r="C78" s="2">
        <v>6.3710000000000003E-2</v>
      </c>
      <c r="D78" s="2">
        <v>5.6869999999999997E-2</v>
      </c>
      <c r="E78" s="2">
        <v>-0.22470000000000001</v>
      </c>
      <c r="F78" s="2">
        <v>0.38650000000000001</v>
      </c>
      <c r="G78" s="2">
        <v>1</v>
      </c>
      <c r="H78" s="47">
        <f t="shared" si="1"/>
        <v>9.1548063941757789</v>
      </c>
    </row>
    <row r="79" spans="1:8" x14ac:dyDescent="0.25">
      <c r="A79" s="2">
        <v>10.5</v>
      </c>
      <c r="B79" s="2">
        <v>1.9679</v>
      </c>
      <c r="C79" s="2">
        <v>6.8349999999999994E-2</v>
      </c>
      <c r="D79" s="2">
        <v>6.1809999999999997E-2</v>
      </c>
      <c r="E79" s="2">
        <v>-0.2157</v>
      </c>
      <c r="F79" s="2">
        <v>0.37709999999999999</v>
      </c>
      <c r="G79" s="2">
        <v>1</v>
      </c>
      <c r="H79" s="47">
        <f t="shared" si="1"/>
        <v>9.18777671337401</v>
      </c>
    </row>
    <row r="80" spans="1:8" x14ac:dyDescent="0.25">
      <c r="A80" s="27">
        <v>10.75</v>
      </c>
      <c r="B80" s="27">
        <v>2.0777999999999999</v>
      </c>
      <c r="C80" s="27">
        <v>6.3329999999999997E-2</v>
      </c>
      <c r="D80" s="27">
        <v>5.6520000000000001E-2</v>
      </c>
      <c r="E80" s="27">
        <v>-0.22550000000000001</v>
      </c>
      <c r="F80" s="27">
        <v>0.37209999999999999</v>
      </c>
      <c r="G80" s="27">
        <v>1</v>
      </c>
      <c r="H80" s="48">
        <f t="shared" si="1"/>
        <v>8.9414936831922258</v>
      </c>
    </row>
    <row r="81" spans="1:8" x14ac:dyDescent="0.25">
      <c r="A81" s="2">
        <v>11.5</v>
      </c>
      <c r="B81" s="2">
        <v>1.8149</v>
      </c>
      <c r="C81" s="2">
        <v>9.4049999999999995E-2</v>
      </c>
      <c r="D81" s="2">
        <v>8.8200000000000001E-2</v>
      </c>
      <c r="E81" s="2">
        <v>-0.19700000000000001</v>
      </c>
      <c r="F81" s="2">
        <v>0.35520000000000002</v>
      </c>
      <c r="G81" s="2">
        <v>1</v>
      </c>
      <c r="H81" s="47">
        <f t="shared" si="1"/>
        <v>9.5672163422339498</v>
      </c>
    </row>
    <row r="82" spans="1:8" x14ac:dyDescent="0.25">
      <c r="A82" s="2">
        <v>11.75</v>
      </c>
      <c r="B82" s="2">
        <v>1.4189000000000001</v>
      </c>
      <c r="C82" s="2">
        <v>0.16839000000000001</v>
      </c>
      <c r="D82" s="2">
        <v>0.16288</v>
      </c>
      <c r="E82" s="2">
        <v>-0.2248</v>
      </c>
      <c r="F82" s="2">
        <v>0.31140000000000001</v>
      </c>
      <c r="G82" s="2">
        <v>1</v>
      </c>
      <c r="H82" s="47">
        <f t="shared" si="1"/>
        <v>10.820218993924627</v>
      </c>
    </row>
  </sheetData>
  <mergeCells count="15">
    <mergeCell ref="J36:N36"/>
    <mergeCell ref="R9:T9"/>
    <mergeCell ref="A1:G3"/>
    <mergeCell ref="R5:T5"/>
    <mergeCell ref="R6:T6"/>
    <mergeCell ref="R7:T7"/>
    <mergeCell ref="R8:T8"/>
    <mergeCell ref="R16:T16"/>
    <mergeCell ref="R17:T17"/>
    <mergeCell ref="R10:T10"/>
    <mergeCell ref="R11:T11"/>
    <mergeCell ref="R12:T12"/>
    <mergeCell ref="R13:T13"/>
    <mergeCell ref="R14:T14"/>
    <mergeCell ref="R15:T15"/>
  </mergeCells>
  <pageMargins left="0.7" right="0.7" top="0.75" bottom="0.75" header="0.3" footer="0.3"/>
  <ignoredErrors>
    <ignoredError sqref="H16" evalErro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"/>
  <sheetViews>
    <sheetView topLeftCell="D1" workbookViewId="0">
      <selection activeCell="P15" sqref="P15"/>
    </sheetView>
  </sheetViews>
  <sheetFormatPr defaultRowHeight="15" x14ac:dyDescent="0.25"/>
  <cols>
    <col min="14" max="15" width="14.28515625" customWidth="1"/>
    <col min="16" max="16" width="11" customWidth="1"/>
    <col min="17" max="17" width="11.5703125" customWidth="1"/>
    <col min="18" max="18" width="11.7109375" customWidth="1"/>
    <col min="19" max="19" width="22.85546875" customWidth="1"/>
  </cols>
  <sheetData>
    <row r="1" spans="1:16" x14ac:dyDescent="0.25">
      <c r="A1" s="182" t="s">
        <v>122</v>
      </c>
      <c r="B1" s="183"/>
      <c r="C1" s="183"/>
      <c r="D1" s="183"/>
      <c r="E1" s="183"/>
      <c r="F1" s="184"/>
    </row>
    <row r="2" spans="1:16" x14ac:dyDescent="0.25">
      <c r="A2" s="185"/>
      <c r="B2" s="186"/>
      <c r="C2" s="186"/>
      <c r="D2" s="186"/>
      <c r="E2" s="186"/>
      <c r="F2" s="187"/>
    </row>
    <row r="3" spans="1:16" ht="15.75" thickBot="1" x14ac:dyDescent="0.3">
      <c r="A3" s="188"/>
      <c r="B3" s="189"/>
      <c r="C3" s="189"/>
      <c r="D3" s="189"/>
      <c r="E3" s="189"/>
      <c r="F3" s="190"/>
      <c r="L3" s="156"/>
      <c r="M3" s="156"/>
      <c r="N3" s="156"/>
      <c r="O3" s="156"/>
      <c r="P3" s="156"/>
    </row>
    <row r="4" spans="1:16" x14ac:dyDescent="0.25">
      <c r="L4" s="156"/>
      <c r="M4" s="156"/>
      <c r="N4" s="156"/>
      <c r="O4" s="156"/>
      <c r="P4" s="156"/>
    </row>
    <row r="5" spans="1:16" x14ac:dyDescent="0.25">
      <c r="A5" s="40" t="s">
        <v>168</v>
      </c>
      <c r="B5" s="40" t="s">
        <v>162</v>
      </c>
      <c r="C5" s="40" t="s">
        <v>167</v>
      </c>
      <c r="D5" s="40" t="s">
        <v>165</v>
      </c>
      <c r="E5" s="40" t="s">
        <v>163</v>
      </c>
      <c r="F5" s="40" t="s">
        <v>157</v>
      </c>
      <c r="G5" s="40" t="s">
        <v>169</v>
      </c>
      <c r="H5" s="40" t="s">
        <v>164</v>
      </c>
      <c r="I5" s="40" t="s">
        <v>166</v>
      </c>
      <c r="J5" s="40" t="s">
        <v>49</v>
      </c>
      <c r="L5" s="156"/>
      <c r="M5" s="156"/>
      <c r="N5" s="156"/>
      <c r="O5" s="156"/>
      <c r="P5" s="156"/>
    </row>
    <row r="6" spans="1:16" x14ac:dyDescent="0.25">
      <c r="A6" s="39">
        <v>1.5</v>
      </c>
      <c r="B6" s="39">
        <v>0.7</v>
      </c>
      <c r="C6" s="39">
        <f>A6+B6</f>
        <v>2.2000000000000002</v>
      </c>
      <c r="D6" s="39">
        <f>B6/C6</f>
        <v>0.31818181818181812</v>
      </c>
      <c r="E6" s="39">
        <f t="shared" ref="E6:E13" si="0">SQRT(2*C6*9.81)/(rho*H6*Clmax)</f>
        <v>18.066618529938616</v>
      </c>
      <c r="F6" s="39">
        <f t="shared" ref="F6:F13" si="1">0.5*rho*(E6^2)*H6*Clmax</f>
        <v>59.348223147810529</v>
      </c>
      <c r="G6" s="39">
        <f>F6/9.81</f>
        <v>6.0497679049755888</v>
      </c>
      <c r="H6" s="39">
        <f>I6^2/J6</f>
        <v>0.14285714285714285</v>
      </c>
      <c r="I6" s="39">
        <v>1</v>
      </c>
      <c r="J6" s="39">
        <v>7</v>
      </c>
      <c r="L6" s="156"/>
      <c r="M6" s="156"/>
      <c r="N6" s="156"/>
      <c r="O6" s="156"/>
      <c r="P6" s="156"/>
    </row>
    <row r="7" spans="1:16" x14ac:dyDescent="0.25">
      <c r="A7" s="86">
        <v>1.5</v>
      </c>
      <c r="B7" s="86">
        <v>1</v>
      </c>
      <c r="C7" s="86">
        <f t="shared" ref="C7:C13" si="2">A7+B7</f>
        <v>2.5</v>
      </c>
      <c r="D7" s="87">
        <f t="shared" ref="D7:D13" si="3">B7/C7</f>
        <v>0.4</v>
      </c>
      <c r="E7" s="41">
        <f t="shared" si="0"/>
        <v>15.916595093828336</v>
      </c>
      <c r="F7" s="41">
        <f t="shared" si="1"/>
        <v>55.736498072699575</v>
      </c>
      <c r="G7" s="41">
        <f t="shared" ref="G7:G13" si="4">F7/9.81</f>
        <v>5.6816002112843602</v>
      </c>
      <c r="H7" s="41">
        <f t="shared" ref="H7:H13" si="5">I7^2/J7</f>
        <v>0.17285714285714288</v>
      </c>
      <c r="I7" s="41">
        <v>1.1000000000000001</v>
      </c>
      <c r="J7" s="41">
        <v>7</v>
      </c>
      <c r="L7" s="72"/>
      <c r="M7" s="72"/>
      <c r="N7" s="72"/>
    </row>
    <row r="8" spans="1:16" x14ac:dyDescent="0.25">
      <c r="A8" s="39">
        <v>1.5</v>
      </c>
      <c r="B8" s="39">
        <v>1.5</v>
      </c>
      <c r="C8" s="39">
        <f t="shared" si="2"/>
        <v>3</v>
      </c>
      <c r="D8" s="39">
        <f t="shared" si="3"/>
        <v>0.5</v>
      </c>
      <c r="E8" s="85">
        <f>SQRT(2*C8*9.81)/(rho*H8*Clmax)</f>
        <v>14.650878593881474</v>
      </c>
      <c r="F8" s="39">
        <f t="shared" si="1"/>
        <v>56.200968889972074</v>
      </c>
      <c r="G8" s="39">
        <f t="shared" si="4"/>
        <v>5.7289468797117298</v>
      </c>
      <c r="H8" s="39">
        <f t="shared" si="5"/>
        <v>0.20571428571428571</v>
      </c>
      <c r="I8" s="39">
        <v>1.2</v>
      </c>
      <c r="J8" s="39">
        <v>7</v>
      </c>
      <c r="L8" s="72"/>
      <c r="M8" s="72"/>
      <c r="N8" s="72"/>
    </row>
    <row r="9" spans="1:16" x14ac:dyDescent="0.25">
      <c r="A9" s="42">
        <v>1.5</v>
      </c>
      <c r="B9" s="42">
        <v>2</v>
      </c>
      <c r="C9" s="42">
        <f t="shared" si="2"/>
        <v>3.5</v>
      </c>
      <c r="D9" s="42">
        <f t="shared" si="3"/>
        <v>0.5714285714285714</v>
      </c>
      <c r="E9" s="39">
        <f t="shared" si="0"/>
        <v>13.483817065675769</v>
      </c>
      <c r="F9" s="39">
        <f t="shared" si="1"/>
        <v>55.868418778197118</v>
      </c>
      <c r="G9" s="39">
        <f t="shared" si="4"/>
        <v>5.6950477857489412</v>
      </c>
      <c r="H9" s="39">
        <f t="shared" si="5"/>
        <v>0.24142857142857146</v>
      </c>
      <c r="I9" s="39">
        <v>1.3</v>
      </c>
      <c r="J9" s="39">
        <v>7</v>
      </c>
      <c r="L9" s="72"/>
      <c r="M9" s="72"/>
      <c r="N9" s="72"/>
    </row>
    <row r="10" spans="1:16" x14ac:dyDescent="0.25">
      <c r="A10" s="39">
        <v>1.5</v>
      </c>
      <c r="B10" s="39">
        <v>2.5</v>
      </c>
      <c r="C10" s="39">
        <f t="shared" si="2"/>
        <v>4</v>
      </c>
      <c r="D10" s="39">
        <f t="shared" si="3"/>
        <v>0.625</v>
      </c>
      <c r="E10" s="39">
        <f t="shared" si="0"/>
        <v>12.42909360006171</v>
      </c>
      <c r="F10" s="39">
        <f t="shared" si="1"/>
        <v>55.054010341197163</v>
      </c>
      <c r="G10" s="39">
        <f t="shared" si="4"/>
        <v>5.6120295964523095</v>
      </c>
      <c r="H10" s="39">
        <f t="shared" si="5"/>
        <v>0.27999999999999997</v>
      </c>
      <c r="I10" s="39">
        <v>1.4</v>
      </c>
      <c r="J10" s="39">
        <v>7</v>
      </c>
      <c r="L10" s="72"/>
      <c r="M10" s="72"/>
      <c r="N10" s="72"/>
    </row>
    <row r="11" spans="1:16" x14ac:dyDescent="0.25">
      <c r="A11" s="39">
        <v>1.5</v>
      </c>
      <c r="B11" s="39">
        <v>3</v>
      </c>
      <c r="C11" s="39">
        <f t="shared" si="2"/>
        <v>4.5</v>
      </c>
      <c r="D11" s="39">
        <f t="shared" si="3"/>
        <v>0.66666666666666663</v>
      </c>
      <c r="E11" s="39">
        <f t="shared" si="0"/>
        <v>11.483896588311776</v>
      </c>
      <c r="F11" s="39">
        <f t="shared" si="1"/>
        <v>53.952930134373197</v>
      </c>
      <c r="G11" s="39">
        <f t="shared" si="4"/>
        <v>5.4997890045232616</v>
      </c>
      <c r="H11" s="39">
        <f t="shared" si="5"/>
        <v>0.32142857142857145</v>
      </c>
      <c r="I11" s="39">
        <v>1.5</v>
      </c>
      <c r="J11" s="39">
        <v>7</v>
      </c>
      <c r="L11" s="72"/>
      <c r="M11" s="72"/>
      <c r="N11" s="72"/>
    </row>
    <row r="12" spans="1:16" x14ac:dyDescent="0.25">
      <c r="A12" s="39">
        <v>1.5</v>
      </c>
      <c r="B12" s="39">
        <v>3.5</v>
      </c>
      <c r="C12" s="39">
        <f t="shared" si="2"/>
        <v>5</v>
      </c>
      <c r="D12" s="39">
        <f t="shared" si="3"/>
        <v>0.7</v>
      </c>
      <c r="E12" s="39">
        <f t="shared" si="0"/>
        <v>10.639239150264316</v>
      </c>
      <c r="F12" s="39">
        <f t="shared" si="1"/>
        <v>52.688408334348829</v>
      </c>
      <c r="G12" s="39">
        <f t="shared" si="4"/>
        <v>5.3708876997297477</v>
      </c>
      <c r="H12" s="39">
        <f t="shared" si="5"/>
        <v>0.36571428571428577</v>
      </c>
      <c r="I12" s="39">
        <v>1.6</v>
      </c>
      <c r="J12" s="39">
        <v>7</v>
      </c>
      <c r="L12" s="72"/>
      <c r="M12" s="72"/>
      <c r="N12" s="72"/>
    </row>
    <row r="13" spans="1:16" x14ac:dyDescent="0.25">
      <c r="A13" s="39">
        <v>1.5</v>
      </c>
      <c r="B13" s="39">
        <v>4</v>
      </c>
      <c r="C13" s="39">
        <f t="shared" si="2"/>
        <v>5.5</v>
      </c>
      <c r="D13" s="39">
        <f t="shared" si="3"/>
        <v>0.72727272727272729</v>
      </c>
      <c r="E13" s="39">
        <f t="shared" si="0"/>
        <v>9.8843709640153925</v>
      </c>
      <c r="F13" s="39">
        <f t="shared" si="1"/>
        <v>51.33929338045894</v>
      </c>
      <c r="G13" s="39">
        <f t="shared" si="4"/>
        <v>5.233363239598261</v>
      </c>
      <c r="H13" s="39">
        <f t="shared" si="5"/>
        <v>0.41285714285714281</v>
      </c>
      <c r="I13" s="39">
        <v>1.7</v>
      </c>
      <c r="J13" s="39">
        <v>7</v>
      </c>
      <c r="L13" s="72"/>
      <c r="M13" s="72"/>
      <c r="N13" s="72"/>
    </row>
  </sheetData>
  <mergeCells count="2">
    <mergeCell ref="A1:F3"/>
    <mergeCell ref="L3:P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5"/>
  <sheetViews>
    <sheetView topLeftCell="A29" zoomScale="90" zoomScaleNormal="90" workbookViewId="0">
      <selection activeCell="N8" sqref="N8"/>
    </sheetView>
  </sheetViews>
  <sheetFormatPr defaultRowHeight="15" x14ac:dyDescent="0.25"/>
  <cols>
    <col min="4" max="4" width="10" customWidth="1"/>
    <col min="7" max="7" width="10.5703125" customWidth="1"/>
    <col min="8" max="8" width="8.7109375" customWidth="1"/>
    <col min="12" max="12" width="11.5703125" customWidth="1"/>
    <col min="13" max="13" width="11.42578125" customWidth="1"/>
    <col min="14" max="15" width="11.28515625" customWidth="1"/>
    <col min="16" max="16" width="11.7109375" customWidth="1"/>
    <col min="17" max="17" width="11.5703125" bestFit="1" customWidth="1"/>
  </cols>
  <sheetData>
    <row r="1" spans="1:12" x14ac:dyDescent="0.25">
      <c r="A1" s="182" t="s">
        <v>43</v>
      </c>
      <c r="B1" s="183"/>
      <c r="C1" s="183"/>
      <c r="D1" s="183"/>
      <c r="E1" s="183"/>
      <c r="F1" s="184"/>
    </row>
    <row r="2" spans="1:12" x14ac:dyDescent="0.25">
      <c r="A2" s="185"/>
      <c r="B2" s="186"/>
      <c r="C2" s="186"/>
      <c r="D2" s="186"/>
      <c r="E2" s="186"/>
      <c r="F2" s="187"/>
    </row>
    <row r="3" spans="1:12" ht="15.75" thickBot="1" x14ac:dyDescent="0.3">
      <c r="A3" s="188"/>
      <c r="B3" s="189"/>
      <c r="C3" s="189"/>
      <c r="D3" s="189"/>
      <c r="E3" s="189"/>
      <c r="F3" s="190"/>
    </row>
    <row r="4" spans="1:12" ht="18.75" customHeight="1" x14ac:dyDescent="0.25">
      <c r="A4" s="196" t="s">
        <v>44</v>
      </c>
      <c r="B4" s="197"/>
      <c r="C4" s="197"/>
      <c r="D4" s="197"/>
      <c r="E4" s="198"/>
      <c r="G4" s="11" t="s">
        <v>50</v>
      </c>
      <c r="H4" s="12">
        <v>0.30480000000000002</v>
      </c>
      <c r="I4" s="13" t="s">
        <v>51</v>
      </c>
    </row>
    <row r="5" spans="1:12" ht="15" customHeight="1" x14ac:dyDescent="0.25">
      <c r="A5" s="199"/>
      <c r="B5" s="200"/>
      <c r="C5" s="200"/>
      <c r="D5" s="200"/>
      <c r="E5" s="201"/>
      <c r="G5" s="2" t="s">
        <v>50</v>
      </c>
      <c r="H5" s="2">
        <v>30.48</v>
      </c>
      <c r="I5" s="2" t="s">
        <v>62</v>
      </c>
    </row>
    <row r="6" spans="1:12" ht="15" customHeight="1" x14ac:dyDescent="0.25"/>
    <row r="7" spans="1:12" x14ac:dyDescent="0.25">
      <c r="A7" s="202" t="s">
        <v>291</v>
      </c>
      <c r="B7" s="202"/>
      <c r="C7" s="202"/>
      <c r="D7" s="202"/>
      <c r="E7" s="202"/>
      <c r="F7" s="202"/>
      <c r="G7" s="202"/>
    </row>
    <row r="8" spans="1:12" x14ac:dyDescent="0.25">
      <c r="A8" s="14" t="s">
        <v>110</v>
      </c>
      <c r="B8" s="155" t="s">
        <v>51</v>
      </c>
      <c r="C8" s="155"/>
      <c r="D8" s="28" t="s">
        <v>231</v>
      </c>
      <c r="E8" s="28" t="s">
        <v>62</v>
      </c>
      <c r="F8" s="155" t="s">
        <v>282</v>
      </c>
      <c r="G8" s="155"/>
    </row>
    <row r="9" spans="1:12" x14ac:dyDescent="0.25">
      <c r="A9" s="2" t="s">
        <v>265</v>
      </c>
      <c r="B9" s="2">
        <f>b</f>
        <v>1.3</v>
      </c>
      <c r="C9" s="193">
        <f>B10+B12+B13</f>
        <v>0.99</v>
      </c>
      <c r="D9" s="194">
        <f>C9/H4</f>
        <v>3.2480314960629921</v>
      </c>
      <c r="E9" s="193">
        <f>D9*H5</f>
        <v>99</v>
      </c>
      <c r="F9" s="193">
        <f>D9*D15*D18</f>
        <v>2.9595485339331611</v>
      </c>
      <c r="G9" s="193"/>
    </row>
    <row r="10" spans="1:12" x14ac:dyDescent="0.25">
      <c r="A10" s="2" t="s">
        <v>255</v>
      </c>
      <c r="B10" s="2">
        <f>Fl</f>
        <v>0.90999999999999992</v>
      </c>
      <c r="C10" s="193"/>
      <c r="D10" s="194"/>
      <c r="E10" s="193"/>
      <c r="F10" s="193"/>
      <c r="G10" s="193"/>
    </row>
    <row r="11" spans="1:12" x14ac:dyDescent="0.25">
      <c r="A11" s="2" t="s">
        <v>275</v>
      </c>
      <c r="B11" s="2">
        <f>b/2</f>
        <v>0.65</v>
      </c>
      <c r="C11" s="193"/>
      <c r="D11" s="194"/>
      <c r="E11" s="193"/>
      <c r="F11" s="193"/>
      <c r="G11" s="193"/>
      <c r="J11" s="203" t="s">
        <v>408</v>
      </c>
      <c r="K11" s="203"/>
      <c r="L11" s="203"/>
    </row>
    <row r="12" spans="1:12" x14ac:dyDescent="0.25">
      <c r="A12" s="2" t="s">
        <v>239</v>
      </c>
      <c r="B12" s="2">
        <v>0.05</v>
      </c>
      <c r="C12" s="193"/>
      <c r="D12" s="194"/>
      <c r="E12" s="193"/>
      <c r="F12" s="193"/>
      <c r="G12" s="193"/>
      <c r="J12" s="203"/>
      <c r="K12" s="203"/>
      <c r="L12" s="203"/>
    </row>
    <row r="13" spans="1:12" x14ac:dyDescent="0.25">
      <c r="A13" s="2" t="s">
        <v>276</v>
      </c>
      <c r="B13" s="2">
        <v>0.03</v>
      </c>
      <c r="C13" s="193"/>
      <c r="D13" s="194"/>
      <c r="E13" s="193"/>
      <c r="F13" s="193"/>
      <c r="G13" s="193"/>
    </row>
    <row r="14" spans="1:12" x14ac:dyDescent="0.25">
      <c r="A14" s="14" t="s">
        <v>277</v>
      </c>
      <c r="B14" s="155" t="s">
        <v>51</v>
      </c>
      <c r="C14" s="155"/>
      <c r="D14" s="28" t="s">
        <v>231</v>
      </c>
      <c r="E14" s="28" t="s">
        <v>62</v>
      </c>
      <c r="F14" s="193"/>
      <c r="G14" s="193"/>
    </row>
    <row r="15" spans="1:12" x14ac:dyDescent="0.25">
      <c r="A15" s="2" t="s">
        <v>278</v>
      </c>
      <c r="B15" s="2">
        <f>bht</f>
        <v>0.35089681022855057</v>
      </c>
      <c r="C15" s="193">
        <f>B15+B16</f>
        <v>0.40089681022855056</v>
      </c>
      <c r="D15" s="195">
        <f>C15/H4</f>
        <v>1.3152782487813337</v>
      </c>
      <c r="E15" s="193">
        <f>D15*H5</f>
        <v>40.089681022855054</v>
      </c>
      <c r="F15" s="193"/>
      <c r="G15" s="193"/>
      <c r="L15" s="54"/>
    </row>
    <row r="16" spans="1:12" x14ac:dyDescent="0.25">
      <c r="A16" s="2" t="s">
        <v>276</v>
      </c>
      <c r="B16" s="2">
        <v>0.05</v>
      </c>
      <c r="C16" s="193"/>
      <c r="D16" s="195"/>
      <c r="E16" s="193"/>
      <c r="F16" s="193"/>
      <c r="G16" s="193"/>
    </row>
    <row r="17" spans="1:16" x14ac:dyDescent="0.25">
      <c r="A17" s="14" t="s">
        <v>279</v>
      </c>
      <c r="B17" s="155" t="s">
        <v>51</v>
      </c>
      <c r="C17" s="155"/>
      <c r="D17" s="28" t="s">
        <v>231</v>
      </c>
      <c r="E17" s="28" t="s">
        <v>62</v>
      </c>
      <c r="F17" s="193"/>
      <c r="G17" s="193"/>
    </row>
    <row r="18" spans="1:16" x14ac:dyDescent="0.25">
      <c r="A18" s="2" t="s">
        <v>280</v>
      </c>
      <c r="B18" s="2">
        <f>bvt/2</f>
        <v>0.13115557828123711</v>
      </c>
      <c r="C18" s="193">
        <f>B18+B20+0.05</f>
        <v>0.2111555782812371</v>
      </c>
      <c r="D18" s="195">
        <f>C18/H4</f>
        <v>0.69276764527964929</v>
      </c>
      <c r="E18" s="193">
        <f>D18*H5</f>
        <v>21.115557828123709</v>
      </c>
      <c r="F18" s="193"/>
      <c r="G18" s="193"/>
    </row>
    <row r="19" spans="1:16" x14ac:dyDescent="0.25">
      <c r="A19" s="2" t="s">
        <v>281</v>
      </c>
      <c r="B19" s="2">
        <f>0.074</f>
        <v>7.3999999999999996E-2</v>
      </c>
      <c r="C19" s="193"/>
      <c r="D19" s="195"/>
      <c r="E19" s="193"/>
      <c r="F19" s="193"/>
      <c r="G19" s="193"/>
      <c r="K19" s="54"/>
    </row>
    <row r="20" spans="1:16" x14ac:dyDescent="0.25">
      <c r="A20" s="2" t="s">
        <v>276</v>
      </c>
      <c r="B20" s="2">
        <v>0.03</v>
      </c>
      <c r="C20" s="193"/>
      <c r="D20" s="195"/>
      <c r="E20" s="193"/>
      <c r="F20" s="193"/>
      <c r="G20" s="193"/>
      <c r="L20" s="54"/>
      <c r="M20" s="1"/>
    </row>
    <row r="21" spans="1:16" x14ac:dyDescent="0.25">
      <c r="E21" s="53"/>
      <c r="F21" s="53"/>
      <c r="M21" s="1"/>
    </row>
    <row r="22" spans="1:16" x14ac:dyDescent="0.25">
      <c r="A22" s="202" t="s">
        <v>359</v>
      </c>
      <c r="B22" s="202"/>
      <c r="C22" s="202"/>
      <c r="D22" s="202"/>
      <c r="E22" s="202"/>
      <c r="F22" s="202"/>
      <c r="G22" s="202"/>
      <c r="M22" s="1"/>
    </row>
    <row r="23" spans="1:16" x14ac:dyDescent="0.25">
      <c r="A23" s="14" t="s">
        <v>110</v>
      </c>
      <c r="B23" s="155" t="s">
        <v>51</v>
      </c>
      <c r="C23" s="155"/>
      <c r="D23" s="28" t="s">
        <v>231</v>
      </c>
      <c r="E23" s="28" t="s">
        <v>62</v>
      </c>
      <c r="F23" s="155" t="s">
        <v>282</v>
      </c>
      <c r="G23" s="155"/>
    </row>
    <row r="24" spans="1:16" x14ac:dyDescent="0.25">
      <c r="A24" s="2" t="s">
        <v>265</v>
      </c>
      <c r="B24" s="2">
        <f>b</f>
        <v>1.3</v>
      </c>
      <c r="C24" s="193">
        <f>B25+B27+B28</f>
        <v>0.99</v>
      </c>
      <c r="D24" s="194">
        <f>C24/H4</f>
        <v>3.2480314960629921</v>
      </c>
      <c r="E24" s="193">
        <f>D24*H5</f>
        <v>99</v>
      </c>
      <c r="F24" s="193">
        <f>D24*D30*D33</f>
        <v>2.9926932585218262</v>
      </c>
      <c r="G24" s="193"/>
    </row>
    <row r="25" spans="1:16" x14ac:dyDescent="0.25">
      <c r="A25" s="2" t="s">
        <v>255</v>
      </c>
      <c r="B25" s="2">
        <f>Fl</f>
        <v>0.90999999999999992</v>
      </c>
      <c r="C25" s="193"/>
      <c r="D25" s="194"/>
      <c r="E25" s="193"/>
      <c r="F25" s="193"/>
      <c r="G25" s="193"/>
      <c r="M25" s="54"/>
      <c r="N25" s="54"/>
      <c r="O25" s="54"/>
      <c r="P25" s="54"/>
    </row>
    <row r="26" spans="1:16" x14ac:dyDescent="0.25">
      <c r="A26" s="2" t="s">
        <v>275</v>
      </c>
      <c r="B26" s="2">
        <f>b/2</f>
        <v>0.65</v>
      </c>
      <c r="C26" s="193"/>
      <c r="D26" s="194"/>
      <c r="E26" s="193"/>
      <c r="F26" s="193"/>
      <c r="G26" s="193"/>
      <c r="M26" s="1"/>
    </row>
    <row r="27" spans="1:16" x14ac:dyDescent="0.25">
      <c r="A27" s="2" t="s">
        <v>239</v>
      </c>
      <c r="B27" s="2">
        <v>0.05</v>
      </c>
      <c r="C27" s="193"/>
      <c r="D27" s="194"/>
      <c r="E27" s="193"/>
      <c r="F27" s="193"/>
      <c r="G27" s="193"/>
      <c r="O27" s="1"/>
    </row>
    <row r="28" spans="1:16" x14ac:dyDescent="0.25">
      <c r="A28" s="2" t="s">
        <v>276</v>
      </c>
      <c r="B28" s="2">
        <v>0.03</v>
      </c>
      <c r="C28" s="193"/>
      <c r="D28" s="194"/>
      <c r="E28" s="193"/>
      <c r="F28" s="193"/>
      <c r="G28" s="193"/>
      <c r="O28" s="83"/>
      <c r="P28" s="54"/>
    </row>
    <row r="29" spans="1:16" x14ac:dyDescent="0.25">
      <c r="A29" s="14" t="s">
        <v>277</v>
      </c>
      <c r="B29" s="155" t="s">
        <v>51</v>
      </c>
      <c r="C29" s="155"/>
      <c r="D29" s="28" t="s">
        <v>231</v>
      </c>
      <c r="E29" s="28" t="s">
        <v>62</v>
      </c>
      <c r="F29" s="193"/>
      <c r="G29" s="193"/>
      <c r="M29" s="1"/>
    </row>
    <row r="30" spans="1:16" x14ac:dyDescent="0.25">
      <c r="A30" s="2" t="s">
        <v>278</v>
      </c>
      <c r="B30" s="2">
        <f>bht</f>
        <v>0.35089681022855057</v>
      </c>
      <c r="C30" s="193">
        <f>B30+B31+0.1</f>
        <v>0.48089681022855058</v>
      </c>
      <c r="D30" s="195">
        <f>C30/H4</f>
        <v>1.5777454403823836</v>
      </c>
      <c r="E30" s="193">
        <f>D30*H5</f>
        <v>48.089681022855054</v>
      </c>
      <c r="F30" s="193"/>
      <c r="G30" s="193"/>
    </row>
    <row r="31" spans="1:16" x14ac:dyDescent="0.25">
      <c r="A31" s="2" t="s">
        <v>276</v>
      </c>
      <c r="B31" s="2">
        <v>0.03</v>
      </c>
      <c r="C31" s="193"/>
      <c r="D31" s="195"/>
      <c r="E31" s="193"/>
      <c r="F31" s="193"/>
      <c r="G31" s="193"/>
    </row>
    <row r="32" spans="1:16" x14ac:dyDescent="0.25">
      <c r="A32" s="14" t="s">
        <v>279</v>
      </c>
      <c r="B32" s="155" t="s">
        <v>51</v>
      </c>
      <c r="C32" s="155"/>
      <c r="D32" s="28" t="s">
        <v>231</v>
      </c>
      <c r="E32" s="28" t="s">
        <v>62</v>
      </c>
      <c r="F32" s="193"/>
      <c r="G32" s="193"/>
    </row>
    <row r="33" spans="1:17" x14ac:dyDescent="0.25">
      <c r="A33" s="2" t="s">
        <v>280</v>
      </c>
      <c r="B33" s="2">
        <f>bvt</f>
        <v>0.26231115656247422</v>
      </c>
      <c r="C33" s="193">
        <f>(2*B34)+B35</f>
        <v>0.17799999999999999</v>
      </c>
      <c r="D33" s="195">
        <f>C33/H4</f>
        <v>0.58398950131233585</v>
      </c>
      <c r="E33" s="193">
        <f>D33*H5</f>
        <v>17.799999999999997</v>
      </c>
      <c r="F33" s="193"/>
      <c r="G33" s="193"/>
    </row>
    <row r="34" spans="1:17" x14ac:dyDescent="0.25">
      <c r="A34" s="2" t="s">
        <v>281</v>
      </c>
      <c r="B34" s="2">
        <f>0.074</f>
        <v>7.3999999999999996E-2</v>
      </c>
      <c r="C34" s="193"/>
      <c r="D34" s="195"/>
      <c r="E34" s="193"/>
      <c r="F34" s="193"/>
      <c r="G34" s="193"/>
    </row>
    <row r="35" spans="1:17" x14ac:dyDescent="0.25">
      <c r="A35" s="2" t="s">
        <v>276</v>
      </c>
      <c r="B35" s="2">
        <v>0.03</v>
      </c>
      <c r="C35" s="193"/>
      <c r="D35" s="195"/>
      <c r="E35" s="193"/>
      <c r="F35" s="193"/>
      <c r="G35" s="193"/>
      <c r="M35" s="54"/>
    </row>
    <row r="37" spans="1:17" x14ac:dyDescent="0.25">
      <c r="A37" s="202" t="s">
        <v>292</v>
      </c>
      <c r="B37" s="202"/>
      <c r="C37" s="202"/>
      <c r="D37" s="202"/>
      <c r="E37" s="202"/>
      <c r="F37" s="202"/>
      <c r="G37" s="202"/>
    </row>
    <row r="38" spans="1:17" x14ac:dyDescent="0.25">
      <c r="A38" s="14" t="s">
        <v>110</v>
      </c>
      <c r="B38" s="155" t="s">
        <v>51</v>
      </c>
      <c r="C38" s="155"/>
      <c r="D38" s="28" t="s">
        <v>231</v>
      </c>
      <c r="E38" s="28" t="s">
        <v>62</v>
      </c>
      <c r="F38" s="155" t="s">
        <v>282</v>
      </c>
      <c r="G38" s="155"/>
    </row>
    <row r="39" spans="1:17" x14ac:dyDescent="0.25">
      <c r="A39" s="2" t="s">
        <v>265</v>
      </c>
      <c r="B39" s="2">
        <f>b</f>
        <v>1.3</v>
      </c>
      <c r="C39" s="193">
        <f>B40+B42+B43</f>
        <v>0.97</v>
      </c>
      <c r="D39" s="194">
        <f>C39/H4</f>
        <v>3.1824146981627295</v>
      </c>
      <c r="E39" s="193">
        <f>D39*H20</f>
        <v>0</v>
      </c>
      <c r="F39" s="193">
        <f>D39*D45*D48</f>
        <v>4.7008944592722672</v>
      </c>
      <c r="G39" s="193"/>
      <c r="K39" s="191" t="s">
        <v>110</v>
      </c>
      <c r="L39" s="191"/>
      <c r="M39" s="191" t="s">
        <v>269</v>
      </c>
      <c r="N39" s="191"/>
      <c r="O39" s="191" t="s">
        <v>46</v>
      </c>
      <c r="P39" s="191"/>
      <c r="Q39" t="s">
        <v>261</v>
      </c>
    </row>
    <row r="40" spans="1:17" x14ac:dyDescent="0.25">
      <c r="A40" s="2" t="s">
        <v>255</v>
      </c>
      <c r="B40" s="2">
        <f>Fl</f>
        <v>0.90999999999999992</v>
      </c>
      <c r="C40" s="193"/>
      <c r="D40" s="194"/>
      <c r="E40" s="193"/>
      <c r="F40" s="193"/>
      <c r="G40" s="193"/>
      <c r="K40" t="s">
        <v>231</v>
      </c>
      <c r="L40" t="s">
        <v>51</v>
      </c>
      <c r="M40" t="s">
        <v>231</v>
      </c>
      <c r="N40" t="s">
        <v>51</v>
      </c>
      <c r="O40" t="s">
        <v>231</v>
      </c>
      <c r="P40" t="s">
        <v>51</v>
      </c>
      <c r="Q40" t="s">
        <v>270</v>
      </c>
    </row>
    <row r="41" spans="1:17" x14ac:dyDescent="0.25">
      <c r="A41" s="2" t="s">
        <v>275</v>
      </c>
      <c r="B41" s="2">
        <f>b/2</f>
        <v>0.65</v>
      </c>
      <c r="C41" s="193"/>
      <c r="D41" s="194"/>
      <c r="E41" s="193"/>
      <c r="F41" s="193"/>
      <c r="G41" s="193"/>
      <c r="K41">
        <v>3</v>
      </c>
      <c r="L41" s="82">
        <f>K41*H4</f>
        <v>0.9144000000000001</v>
      </c>
      <c r="M41">
        <v>1</v>
      </c>
      <c r="N41" s="82">
        <f>M41*H4</f>
        <v>0.30480000000000002</v>
      </c>
      <c r="O41" s="54">
        <f>Q41/(K41*M41)</f>
        <v>1</v>
      </c>
      <c r="P41" s="82">
        <f>O41*H4</f>
        <v>0.30480000000000002</v>
      </c>
      <c r="Q41">
        <v>3</v>
      </c>
    </row>
    <row r="42" spans="1:17" x14ac:dyDescent="0.25">
      <c r="A42" s="2" t="s">
        <v>239</v>
      </c>
      <c r="B42" s="2">
        <v>0.03</v>
      </c>
      <c r="C42" s="193"/>
      <c r="D42" s="194"/>
      <c r="E42" s="193"/>
      <c r="F42" s="193"/>
      <c r="G42" s="193"/>
      <c r="K42">
        <v>3.2</v>
      </c>
      <c r="L42" s="82">
        <f>K42*H4</f>
        <v>0.97536000000000012</v>
      </c>
      <c r="M42">
        <v>1</v>
      </c>
      <c r="N42" s="82">
        <f>M42*H4</f>
        <v>0.30480000000000002</v>
      </c>
      <c r="O42" s="54">
        <f t="shared" ref="O42:O50" si="0">Q42/(K42*M42)</f>
        <v>0.9375</v>
      </c>
      <c r="P42" s="82">
        <f>O42*H4</f>
        <v>0.28575</v>
      </c>
      <c r="Q42">
        <v>3</v>
      </c>
    </row>
    <row r="43" spans="1:17" x14ac:dyDescent="0.25">
      <c r="A43" s="2" t="s">
        <v>276</v>
      </c>
      <c r="B43" s="2">
        <v>0.03</v>
      </c>
      <c r="C43" s="193"/>
      <c r="D43" s="194"/>
      <c r="E43" s="193"/>
      <c r="F43" s="193"/>
      <c r="G43" s="193"/>
      <c r="K43">
        <v>3.4</v>
      </c>
      <c r="L43" s="82">
        <f>K43*H4</f>
        <v>1.0363200000000001</v>
      </c>
      <c r="M43">
        <v>1</v>
      </c>
      <c r="N43" s="82">
        <f>M43*H4</f>
        <v>0.30480000000000002</v>
      </c>
      <c r="O43" s="54">
        <f t="shared" si="0"/>
        <v>0.88235294117647056</v>
      </c>
      <c r="P43" s="82">
        <f>O43*H4</f>
        <v>0.26894117647058824</v>
      </c>
      <c r="Q43">
        <v>3</v>
      </c>
    </row>
    <row r="44" spans="1:17" x14ac:dyDescent="0.25">
      <c r="A44" s="14" t="s">
        <v>277</v>
      </c>
      <c r="B44" s="155" t="s">
        <v>51</v>
      </c>
      <c r="C44" s="155"/>
      <c r="D44" s="28" t="s">
        <v>231</v>
      </c>
      <c r="E44" s="28" t="s">
        <v>62</v>
      </c>
      <c r="F44" s="193"/>
      <c r="G44" s="193"/>
      <c r="K44">
        <v>3.6</v>
      </c>
      <c r="L44" s="82">
        <f>K44*H4</f>
        <v>1.09728</v>
      </c>
      <c r="M44">
        <v>1</v>
      </c>
      <c r="N44" s="82">
        <f>M44*H4</f>
        <v>0.30480000000000002</v>
      </c>
      <c r="O44" s="54">
        <f t="shared" si="0"/>
        <v>0.83333333333333326</v>
      </c>
      <c r="P44" s="82">
        <f>O44*H4</f>
        <v>0.254</v>
      </c>
      <c r="Q44">
        <v>3</v>
      </c>
    </row>
    <row r="45" spans="1:17" x14ac:dyDescent="0.25">
      <c r="A45" s="2" t="s">
        <v>278</v>
      </c>
      <c r="B45" s="2">
        <f>bht</f>
        <v>0.35089681022855057</v>
      </c>
      <c r="C45" s="193">
        <f>B45+B46</f>
        <v>0.40089681022855056</v>
      </c>
      <c r="D45" s="195">
        <f>C45/H4</f>
        <v>1.3152782487813337</v>
      </c>
      <c r="E45" s="193">
        <f>D45*H20</f>
        <v>0</v>
      </c>
      <c r="F45" s="193"/>
      <c r="G45" s="193"/>
      <c r="K45" s="2">
        <v>3.95</v>
      </c>
      <c r="L45" s="50">
        <f>K45*H4</f>
        <v>1.2039600000000001</v>
      </c>
      <c r="M45" s="2">
        <v>1</v>
      </c>
      <c r="N45" s="50">
        <f>M45*H4</f>
        <v>0.30480000000000002</v>
      </c>
      <c r="O45" s="47">
        <f t="shared" si="0"/>
        <v>0.75949367088607589</v>
      </c>
      <c r="P45" s="50">
        <f>O45*H4</f>
        <v>0.23149367088607595</v>
      </c>
      <c r="Q45" s="2">
        <v>3</v>
      </c>
    </row>
    <row r="46" spans="1:17" x14ac:dyDescent="0.25">
      <c r="A46" s="2" t="s">
        <v>276</v>
      </c>
      <c r="B46" s="2">
        <v>0.05</v>
      </c>
      <c r="C46" s="193"/>
      <c r="D46" s="195"/>
      <c r="E46" s="193"/>
      <c r="F46" s="193"/>
      <c r="G46" s="193"/>
      <c r="K46" s="27">
        <v>4</v>
      </c>
      <c r="L46" s="48">
        <f>K46*H4</f>
        <v>1.2192000000000001</v>
      </c>
      <c r="M46" s="27">
        <v>1.1000000000000001</v>
      </c>
      <c r="N46" s="48">
        <f>M46*H4</f>
        <v>0.33528000000000002</v>
      </c>
      <c r="O46" s="48">
        <v>0.68</v>
      </c>
      <c r="P46" s="48">
        <f>O46*H4</f>
        <v>0.20726400000000003</v>
      </c>
      <c r="Q46" s="27">
        <f>K46*M46*O46</f>
        <v>2.9920000000000004</v>
      </c>
    </row>
    <row r="47" spans="1:17" x14ac:dyDescent="0.25">
      <c r="A47" s="14" t="s">
        <v>279</v>
      </c>
      <c r="B47" s="155" t="s">
        <v>51</v>
      </c>
      <c r="C47" s="155"/>
      <c r="D47" s="28" t="s">
        <v>231</v>
      </c>
      <c r="E47" s="28" t="s">
        <v>62</v>
      </c>
      <c r="F47" s="193"/>
      <c r="G47" s="193"/>
      <c r="K47" s="2">
        <v>4.0999999999999996</v>
      </c>
      <c r="L47" s="50">
        <f>K47*H4</f>
        <v>1.2496799999999999</v>
      </c>
      <c r="M47" s="2">
        <v>1</v>
      </c>
      <c r="N47" s="50">
        <f>M47*H4</f>
        <v>0.30480000000000002</v>
      </c>
      <c r="O47" s="47">
        <f t="shared" si="0"/>
        <v>0.73170731707317083</v>
      </c>
      <c r="P47" s="50">
        <f>O47*H4</f>
        <v>0.22302439024390247</v>
      </c>
      <c r="Q47" s="2">
        <v>3</v>
      </c>
    </row>
    <row r="48" spans="1:17" x14ac:dyDescent="0.25">
      <c r="A48" s="2" t="s">
        <v>280</v>
      </c>
      <c r="B48" s="2">
        <f>bvt</f>
        <v>0.26231115656247422</v>
      </c>
      <c r="C48" s="193">
        <f>B48+B50+0.05</f>
        <v>0.34231115656247418</v>
      </c>
      <c r="D48" s="195">
        <f>C48/H4</f>
        <v>1.1230680989582487</v>
      </c>
      <c r="E48" s="193">
        <f>D48*H20</f>
        <v>0</v>
      </c>
      <c r="F48" s="193"/>
      <c r="G48" s="193"/>
      <c r="K48">
        <v>4.29</v>
      </c>
      <c r="L48" s="82">
        <f>K48*H4</f>
        <v>1.3075920000000001</v>
      </c>
      <c r="M48">
        <v>1</v>
      </c>
      <c r="N48" s="82">
        <f>M48*H4</f>
        <v>0.30480000000000002</v>
      </c>
      <c r="O48" s="54">
        <f t="shared" si="0"/>
        <v>0.69930069930069927</v>
      </c>
      <c r="P48" s="82">
        <f>O48*H4</f>
        <v>0.21314685314685314</v>
      </c>
      <c r="Q48">
        <v>3</v>
      </c>
    </row>
    <row r="49" spans="1:18" x14ac:dyDescent="0.25">
      <c r="A49" s="2" t="s">
        <v>281</v>
      </c>
      <c r="B49" s="2">
        <f>0.074</f>
        <v>7.3999999999999996E-2</v>
      </c>
      <c r="C49" s="193"/>
      <c r="D49" s="195"/>
      <c r="E49" s="193"/>
      <c r="F49" s="193"/>
      <c r="G49" s="193"/>
      <c r="K49">
        <v>4.4000000000000004</v>
      </c>
      <c r="L49" s="82">
        <f>K49*H4</f>
        <v>1.3411200000000001</v>
      </c>
      <c r="M49">
        <v>1</v>
      </c>
      <c r="N49" s="82">
        <f>M49*H4</f>
        <v>0.30480000000000002</v>
      </c>
      <c r="O49" s="54">
        <f t="shared" si="0"/>
        <v>0.68181818181818177</v>
      </c>
      <c r="P49" s="82">
        <f>O49*H4</f>
        <v>0.20781818181818182</v>
      </c>
      <c r="Q49">
        <v>3</v>
      </c>
    </row>
    <row r="50" spans="1:18" x14ac:dyDescent="0.25">
      <c r="A50" s="2" t="s">
        <v>276</v>
      </c>
      <c r="B50" s="2">
        <v>0.03</v>
      </c>
      <c r="C50" s="193"/>
      <c r="D50" s="195"/>
      <c r="E50" s="193"/>
      <c r="F50" s="193"/>
      <c r="G50" s="193"/>
      <c r="K50">
        <v>3</v>
      </c>
      <c r="L50" s="82">
        <f>K50*H4</f>
        <v>0.9144000000000001</v>
      </c>
      <c r="M50">
        <v>1</v>
      </c>
      <c r="N50" s="82">
        <f>M50*H4</f>
        <v>0.30480000000000002</v>
      </c>
      <c r="O50" s="54">
        <f t="shared" si="0"/>
        <v>1</v>
      </c>
      <c r="P50" s="82">
        <f>O50*H4</f>
        <v>0.30480000000000002</v>
      </c>
      <c r="Q50">
        <v>3</v>
      </c>
    </row>
    <row r="51" spans="1:18" x14ac:dyDescent="0.25">
      <c r="C51">
        <f>D51*H4</f>
        <v>0.2184549086529374</v>
      </c>
      <c r="D51">
        <f>3/(D39*D45)</f>
        <v>0.71671557957000454</v>
      </c>
      <c r="E51" t="s">
        <v>337</v>
      </c>
    </row>
    <row r="53" spans="1:18" x14ac:dyDescent="0.25">
      <c r="A53" t="s">
        <v>338</v>
      </c>
      <c r="K53" s="191" t="s">
        <v>110</v>
      </c>
      <c r="L53" s="191"/>
      <c r="M53" s="191" t="s">
        <v>269</v>
      </c>
      <c r="N53" s="191"/>
      <c r="O53" s="191" t="s">
        <v>46</v>
      </c>
      <c r="P53" s="191"/>
      <c r="Q53" t="s">
        <v>261</v>
      </c>
    </row>
    <row r="54" spans="1:18" x14ac:dyDescent="0.25">
      <c r="A54">
        <v>3.15</v>
      </c>
      <c r="B54">
        <v>1.25</v>
      </c>
      <c r="C54">
        <v>0.75</v>
      </c>
      <c r="D54">
        <f>A54*B54*C54</f>
        <v>2.953125</v>
      </c>
      <c r="K54" t="s">
        <v>231</v>
      </c>
      <c r="L54" t="s">
        <v>51</v>
      </c>
      <c r="M54" t="s">
        <v>231</v>
      </c>
      <c r="N54" t="s">
        <v>51</v>
      </c>
      <c r="O54" t="s">
        <v>231</v>
      </c>
      <c r="P54" t="s">
        <v>51</v>
      </c>
      <c r="Q54" t="s">
        <v>274</v>
      </c>
    </row>
    <row r="55" spans="1:18" x14ac:dyDescent="0.25">
      <c r="A55">
        <f>A54*H4</f>
        <v>0.96011999999999997</v>
      </c>
      <c r="B55">
        <f>B54*H4</f>
        <v>0.38100000000000001</v>
      </c>
      <c r="C55">
        <f>C54*H4</f>
        <v>0.22860000000000003</v>
      </c>
      <c r="L55">
        <f>Fl+0.2</f>
        <v>1.1099999999999999</v>
      </c>
      <c r="N55">
        <f>bht+0.0254</f>
        <v>0.37629681022855055</v>
      </c>
      <c r="P55">
        <f>bvt+0.078+0.0254</f>
        <v>0.36571115656247422</v>
      </c>
      <c r="Q55">
        <v>0.1699</v>
      </c>
      <c r="R55">
        <f>L55*N55*P55</f>
        <v>0.15275369526419291</v>
      </c>
    </row>
  </sheetData>
  <mergeCells count="54">
    <mergeCell ref="B38:C38"/>
    <mergeCell ref="D33:D35"/>
    <mergeCell ref="J11:L12"/>
    <mergeCell ref="C39:C43"/>
    <mergeCell ref="D39:D43"/>
    <mergeCell ref="E39:E43"/>
    <mergeCell ref="F39:G50"/>
    <mergeCell ref="B44:C44"/>
    <mergeCell ref="C45:C46"/>
    <mergeCell ref="D45:D46"/>
    <mergeCell ref="E45:E46"/>
    <mergeCell ref="B47:C47"/>
    <mergeCell ref="C48:C50"/>
    <mergeCell ref="D48:D50"/>
    <mergeCell ref="E48:E50"/>
    <mergeCell ref="A22:G22"/>
    <mergeCell ref="A37:G37"/>
    <mergeCell ref="A1:F3"/>
    <mergeCell ref="K39:L39"/>
    <mergeCell ref="M39:N39"/>
    <mergeCell ref="O39:P39"/>
    <mergeCell ref="B8:C8"/>
    <mergeCell ref="F8:G8"/>
    <mergeCell ref="C9:C13"/>
    <mergeCell ref="D9:D13"/>
    <mergeCell ref="E9:E13"/>
    <mergeCell ref="F9:G20"/>
    <mergeCell ref="B14:C14"/>
    <mergeCell ref="C15:C16"/>
    <mergeCell ref="D15:D16"/>
    <mergeCell ref="E15:E16"/>
    <mergeCell ref="B29:C29"/>
    <mergeCell ref="A4:E5"/>
    <mergeCell ref="B17:C17"/>
    <mergeCell ref="C18:C20"/>
    <mergeCell ref="D18:D20"/>
    <mergeCell ref="E18:E20"/>
    <mergeCell ref="A7:G7"/>
    <mergeCell ref="K53:L53"/>
    <mergeCell ref="M53:N53"/>
    <mergeCell ref="O53:P53"/>
    <mergeCell ref="B23:C23"/>
    <mergeCell ref="C24:C28"/>
    <mergeCell ref="D24:D28"/>
    <mergeCell ref="F23:G23"/>
    <mergeCell ref="F24:G35"/>
    <mergeCell ref="E24:E28"/>
    <mergeCell ref="E30:E31"/>
    <mergeCell ref="E33:E35"/>
    <mergeCell ref="F38:G38"/>
    <mergeCell ref="C30:C31"/>
    <mergeCell ref="D30:D31"/>
    <mergeCell ref="B32:C32"/>
    <mergeCell ref="C33:C3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topLeftCell="C4" zoomScale="85" zoomScaleNormal="85" workbookViewId="0">
      <selection activeCell="L28" sqref="L28"/>
    </sheetView>
  </sheetViews>
  <sheetFormatPr defaultRowHeight="15" x14ac:dyDescent="0.25"/>
  <cols>
    <col min="8" max="8" width="18.42578125" customWidth="1"/>
    <col min="9" max="9" width="16.85546875" customWidth="1"/>
    <col min="10" max="10" width="12.5703125" customWidth="1"/>
    <col min="11" max="11" width="24" customWidth="1"/>
    <col min="12" max="12" width="24.42578125" customWidth="1"/>
  </cols>
  <sheetData>
    <row r="1" spans="1:16" x14ac:dyDescent="0.25">
      <c r="A1" s="205" t="s">
        <v>69</v>
      </c>
      <c r="B1" s="183"/>
      <c r="C1" s="183"/>
      <c r="D1" s="183"/>
      <c r="E1" s="183"/>
      <c r="F1" s="183"/>
      <c r="G1" s="184"/>
    </row>
    <row r="2" spans="1:16" x14ac:dyDescent="0.25">
      <c r="A2" s="185"/>
      <c r="B2" s="186"/>
      <c r="C2" s="186"/>
      <c r="D2" s="186"/>
      <c r="E2" s="186"/>
      <c r="F2" s="186"/>
      <c r="G2" s="187"/>
    </row>
    <row r="3" spans="1:16" ht="15.75" thickBot="1" x14ac:dyDescent="0.3">
      <c r="A3" s="188"/>
      <c r="B3" s="189"/>
      <c r="C3" s="189"/>
      <c r="D3" s="189"/>
      <c r="E3" s="189"/>
      <c r="F3" s="189"/>
      <c r="G3" s="190"/>
    </row>
    <row r="5" spans="1:16" x14ac:dyDescent="0.25">
      <c r="A5" s="204" t="s">
        <v>232</v>
      </c>
      <c r="B5" s="204"/>
      <c r="C5" s="204"/>
      <c r="D5" s="204"/>
      <c r="F5" s="204" t="s">
        <v>233</v>
      </c>
      <c r="G5" s="204"/>
      <c r="H5" s="204"/>
      <c r="I5" s="204"/>
      <c r="J5" s="204"/>
      <c r="L5" s="204" t="s">
        <v>234</v>
      </c>
      <c r="M5" s="204"/>
      <c r="N5" s="204"/>
      <c r="O5" s="204"/>
      <c r="P5" s="204"/>
    </row>
    <row r="6" spans="1:16" x14ac:dyDescent="0.25">
      <c r="A6" s="142"/>
      <c r="B6" s="142"/>
      <c r="C6" s="142"/>
      <c r="D6" s="142"/>
      <c r="F6" s="142"/>
      <c r="G6" s="142"/>
      <c r="H6" s="142"/>
      <c r="I6" s="142"/>
      <c r="J6" s="142"/>
      <c r="L6" s="142"/>
      <c r="M6" s="142"/>
      <c r="N6" s="142"/>
      <c r="O6" s="142"/>
      <c r="P6" s="142"/>
    </row>
    <row r="7" spans="1:16" x14ac:dyDescent="0.25">
      <c r="A7" s="142"/>
      <c r="B7" s="142"/>
      <c r="C7" s="142"/>
      <c r="D7" s="142"/>
      <c r="F7" s="142"/>
      <c r="G7" s="142"/>
      <c r="H7" s="142"/>
      <c r="I7" s="142"/>
      <c r="J7" s="142"/>
      <c r="L7" s="142"/>
      <c r="M7" s="142"/>
      <c r="N7" s="142"/>
      <c r="O7" s="142"/>
      <c r="P7" s="142"/>
    </row>
    <row r="8" spans="1:16" x14ac:dyDescent="0.25">
      <c r="A8" s="142"/>
      <c r="B8" s="142"/>
      <c r="C8" s="142"/>
      <c r="D8" s="142"/>
      <c r="F8" s="142"/>
      <c r="G8" s="142"/>
      <c r="H8" s="142"/>
      <c r="I8" s="142"/>
      <c r="J8" s="142"/>
      <c r="L8" s="142"/>
      <c r="M8" s="142"/>
      <c r="N8" s="142"/>
      <c r="O8" s="142"/>
      <c r="P8" s="142"/>
    </row>
    <row r="9" spans="1:16" x14ac:dyDescent="0.25">
      <c r="A9" s="142"/>
      <c r="B9" s="142"/>
      <c r="C9" s="142"/>
      <c r="D9" s="142"/>
    </row>
    <row r="10" spans="1:16" x14ac:dyDescent="0.25">
      <c r="I10" s="142" t="s">
        <v>84</v>
      </c>
      <c r="J10" s="142"/>
      <c r="K10" s="142"/>
    </row>
    <row r="11" spans="1:16" x14ac:dyDescent="0.25">
      <c r="A11" s="204" t="s">
        <v>235</v>
      </c>
      <c r="B11" s="204"/>
      <c r="C11" s="204"/>
      <c r="E11" s="204" t="s">
        <v>236</v>
      </c>
      <c r="F11" s="204"/>
      <c r="G11" s="204"/>
      <c r="I11" s="142" t="s">
        <v>86</v>
      </c>
      <c r="J11" s="142"/>
      <c r="K11" s="142"/>
    </row>
    <row r="12" spans="1:16" x14ac:dyDescent="0.25">
      <c r="A12" s="142"/>
      <c r="B12" s="142"/>
      <c r="C12" s="142"/>
      <c r="E12" s="142"/>
      <c r="F12" s="142"/>
      <c r="G12" s="142"/>
      <c r="I12" s="142" t="s">
        <v>87</v>
      </c>
      <c r="J12" s="142"/>
      <c r="K12" s="142"/>
    </row>
    <row r="13" spans="1:16" x14ac:dyDescent="0.25">
      <c r="A13" s="142"/>
      <c r="B13" s="142"/>
      <c r="C13" s="142"/>
      <c r="E13" s="142"/>
      <c r="F13" s="142"/>
      <c r="G13" s="142"/>
    </row>
    <row r="14" spans="1:16" x14ac:dyDescent="0.25">
      <c r="A14" s="142"/>
      <c r="B14" s="142"/>
      <c r="C14" s="142"/>
      <c r="E14" s="142"/>
      <c r="F14" s="142"/>
      <c r="G14" s="142"/>
    </row>
    <row r="15" spans="1:16" x14ac:dyDescent="0.25">
      <c r="A15" s="142"/>
      <c r="B15" s="142"/>
      <c r="C15" s="142"/>
      <c r="E15" s="142"/>
      <c r="F15" s="142"/>
      <c r="G15" s="142"/>
    </row>
    <row r="17" spans="1:13" x14ac:dyDescent="0.25">
      <c r="A17" s="24" t="s">
        <v>79</v>
      </c>
      <c r="B17" s="24" t="s">
        <v>80</v>
      </c>
      <c r="C17" s="24" t="s">
        <v>81</v>
      </c>
      <c r="D17" s="24" t="s">
        <v>85</v>
      </c>
      <c r="E17" s="24" t="s">
        <v>82</v>
      </c>
      <c r="F17" s="24" t="s">
        <v>83</v>
      </c>
      <c r="G17" s="24" t="s">
        <v>286</v>
      </c>
      <c r="H17" s="24" t="s">
        <v>283</v>
      </c>
      <c r="I17" s="24" t="s">
        <v>284</v>
      </c>
      <c r="J17" s="88" t="s">
        <v>285</v>
      </c>
      <c r="K17" s="88" t="s">
        <v>287</v>
      </c>
      <c r="L17" s="88" t="s">
        <v>288</v>
      </c>
      <c r="M17" s="52"/>
    </row>
    <row r="18" spans="1:13" x14ac:dyDescent="0.25">
      <c r="A18" s="2">
        <f>Cd0</f>
        <v>2.3369999999999998E-2</v>
      </c>
      <c r="B18" s="2">
        <v>0.8</v>
      </c>
      <c r="C18" s="2">
        <f t="shared" ref="C18:C24" si="0">pie</f>
        <v>3.1415899999999999</v>
      </c>
      <c r="D18" s="2">
        <f t="shared" ref="D18:D24" si="1">Sw</f>
        <v>0.24142857142857144</v>
      </c>
      <c r="E18" s="2">
        <f>0.5*rho*(G18^2)</f>
        <v>61.150000000000006</v>
      </c>
      <c r="F18" s="2">
        <f t="shared" ref="F18:F24" si="2">W_N/L_N</f>
        <v>0.79812026825995863</v>
      </c>
      <c r="G18" s="2">
        <v>10</v>
      </c>
      <c r="H18" s="47">
        <f>0.5*rho*(G18^2)*Clmax</f>
        <v>127.27761000000001</v>
      </c>
      <c r="I18" s="47">
        <f>E18*SQRT(C18*D18*B18*A18)</f>
        <v>7.2818192778547592</v>
      </c>
      <c r="J18" s="47">
        <f>E18*SQRT(3*C18*D18*B18*A18)</f>
        <v>12.612480960778955</v>
      </c>
      <c r="K18" s="47">
        <f t="shared" ref="K18:K24" si="3">(E18*Clmax)/F18</f>
        <v>159.4717175614239</v>
      </c>
      <c r="L18" s="47">
        <f>(E18/F18)*SQRT(C18*D18*B18*A18)</f>
        <v>9.1237117605475611</v>
      </c>
      <c r="M18" s="54"/>
    </row>
    <row r="19" spans="1:13" x14ac:dyDescent="0.25">
      <c r="A19" s="2">
        <v>2.3369999999999998E-2</v>
      </c>
      <c r="B19" s="2">
        <v>0.8</v>
      </c>
      <c r="C19" s="2">
        <f t="shared" si="0"/>
        <v>3.1415899999999999</v>
      </c>
      <c r="D19" s="2">
        <f t="shared" si="1"/>
        <v>0.24142857142857144</v>
      </c>
      <c r="E19" s="2">
        <f t="shared" ref="E19:E24" si="4">0.5*rho*(G19^2)</f>
        <v>67.417875000000009</v>
      </c>
      <c r="F19" s="2">
        <f t="shared" si="2"/>
        <v>0.79812026825995863</v>
      </c>
      <c r="G19" s="2">
        <v>10.5</v>
      </c>
      <c r="H19" s="47">
        <f t="shared" ref="H19:H24" si="5">0.5*rho*(G19^2)*Clmax</f>
        <v>140.32356502500002</v>
      </c>
      <c r="I19" s="47">
        <f t="shared" ref="I19:I24" si="6">E19*SQRT(C19*D19*B19*A19)</f>
        <v>8.0282057538348717</v>
      </c>
      <c r="J19" s="47">
        <f t="shared" ref="J19:J24" si="7">E19*SQRT(3*C19*D19*B19*A19)</f>
        <v>13.905260259258798</v>
      </c>
      <c r="K19" s="47">
        <f t="shared" si="3"/>
        <v>175.81756861146988</v>
      </c>
      <c r="L19" s="47">
        <f t="shared" ref="L19:L24" si="8">(E19/F19)*SQRT(C19*D19*B19*A19)</f>
        <v>10.058892216003686</v>
      </c>
      <c r="M19" s="54"/>
    </row>
    <row r="20" spans="1:13" x14ac:dyDescent="0.25">
      <c r="A20" s="2">
        <v>2.3369999999999998E-2</v>
      </c>
      <c r="B20" s="2">
        <v>0.8</v>
      </c>
      <c r="C20" s="2">
        <f t="shared" si="0"/>
        <v>3.1415899999999999</v>
      </c>
      <c r="D20" s="2">
        <f t="shared" si="1"/>
        <v>0.24142857142857144</v>
      </c>
      <c r="E20" s="2">
        <f t="shared" si="4"/>
        <v>73.991500000000002</v>
      </c>
      <c r="F20" s="2">
        <f t="shared" si="2"/>
        <v>0.79812026825995863</v>
      </c>
      <c r="G20" s="2">
        <v>11</v>
      </c>
      <c r="H20" s="47">
        <f t="shared" si="5"/>
        <v>154.0059081</v>
      </c>
      <c r="I20" s="47">
        <f t="shared" si="6"/>
        <v>8.8110013262042575</v>
      </c>
      <c r="J20" s="47">
        <f t="shared" si="7"/>
        <v>15.261101962542535</v>
      </c>
      <c r="K20" s="47">
        <f t="shared" si="3"/>
        <v>192.96077824932291</v>
      </c>
      <c r="L20" s="47">
        <f t="shared" si="8"/>
        <v>11.039691230262548</v>
      </c>
      <c r="M20" s="54"/>
    </row>
    <row r="21" spans="1:13" x14ac:dyDescent="0.25">
      <c r="A21" s="2">
        <v>2.3369999999999998E-2</v>
      </c>
      <c r="B21" s="2">
        <v>0.8</v>
      </c>
      <c r="C21" s="2">
        <f t="shared" si="0"/>
        <v>3.1415899999999999</v>
      </c>
      <c r="D21" s="2">
        <f t="shared" si="1"/>
        <v>0.24142857142857144</v>
      </c>
      <c r="E21" s="2">
        <f t="shared" si="4"/>
        <v>80.870875000000012</v>
      </c>
      <c r="F21" s="2">
        <f t="shared" si="2"/>
        <v>0.79812026825995863</v>
      </c>
      <c r="G21" s="2">
        <v>11.5</v>
      </c>
      <c r="H21" s="47">
        <f t="shared" si="5"/>
        <v>168.32463922500003</v>
      </c>
      <c r="I21" s="47">
        <f t="shared" si="6"/>
        <v>9.6302059949629193</v>
      </c>
      <c r="J21" s="47">
        <f t="shared" si="7"/>
        <v>16.680006070630167</v>
      </c>
      <c r="K21" s="47">
        <f t="shared" si="3"/>
        <v>210.90134647498314</v>
      </c>
      <c r="L21" s="47">
        <f t="shared" si="8"/>
        <v>12.066108803324152</v>
      </c>
      <c r="M21" s="54"/>
    </row>
    <row r="22" spans="1:13" x14ac:dyDescent="0.25">
      <c r="A22" s="2">
        <v>2.3369999999999998E-2</v>
      </c>
      <c r="B22" s="2">
        <v>0.8</v>
      </c>
      <c r="C22" s="2">
        <f t="shared" si="0"/>
        <v>3.1415899999999999</v>
      </c>
      <c r="D22" s="2">
        <f t="shared" si="1"/>
        <v>0.24142857142857144</v>
      </c>
      <c r="E22" s="2">
        <f t="shared" si="4"/>
        <v>88.056000000000012</v>
      </c>
      <c r="F22" s="2">
        <f t="shared" si="2"/>
        <v>0.79812026825995863</v>
      </c>
      <c r="G22" s="2">
        <v>12</v>
      </c>
      <c r="H22" s="47">
        <f t="shared" si="5"/>
        <v>183.27975840000002</v>
      </c>
      <c r="I22" s="47">
        <f t="shared" si="6"/>
        <v>10.485819760110854</v>
      </c>
      <c r="J22" s="47">
        <f t="shared" si="7"/>
        <v>18.161972583521695</v>
      </c>
      <c r="K22" s="47">
        <f t="shared" si="3"/>
        <v>229.63927328845045</v>
      </c>
      <c r="L22" s="47">
        <f t="shared" si="8"/>
        <v>13.138144935188489</v>
      </c>
      <c r="M22" s="54"/>
    </row>
    <row r="23" spans="1:13" x14ac:dyDescent="0.25">
      <c r="A23" s="2">
        <v>2.3369999999999998E-2</v>
      </c>
      <c r="B23" s="2">
        <v>0.8</v>
      </c>
      <c r="C23" s="2">
        <f t="shared" si="0"/>
        <v>3.1415899999999999</v>
      </c>
      <c r="D23" s="2">
        <f t="shared" si="1"/>
        <v>0.24142857142857144</v>
      </c>
      <c r="E23" s="2">
        <f t="shared" si="4"/>
        <v>95.546875</v>
      </c>
      <c r="F23" s="2">
        <f t="shared" si="2"/>
        <v>0.79812026825995863</v>
      </c>
      <c r="G23" s="2">
        <v>12.5</v>
      </c>
      <c r="H23" s="47">
        <f t="shared" si="5"/>
        <v>198.87126562499998</v>
      </c>
      <c r="I23" s="47">
        <f t="shared" si="6"/>
        <v>11.37784262164806</v>
      </c>
      <c r="J23" s="47">
        <f t="shared" si="7"/>
        <v>19.707001501217114</v>
      </c>
      <c r="K23" s="47">
        <f t="shared" si="3"/>
        <v>249.17455868972482</v>
      </c>
      <c r="L23" s="47">
        <f t="shared" si="8"/>
        <v>14.255799625855564</v>
      </c>
      <c r="M23" s="54"/>
    </row>
    <row r="24" spans="1:13" x14ac:dyDescent="0.25">
      <c r="A24" s="2">
        <v>2.3369999999999998E-2</v>
      </c>
      <c r="B24" s="2">
        <v>0.8</v>
      </c>
      <c r="C24" s="2">
        <f t="shared" si="0"/>
        <v>3.1415899999999999</v>
      </c>
      <c r="D24" s="2">
        <f t="shared" si="1"/>
        <v>0.24142857142857144</v>
      </c>
      <c r="E24" s="2">
        <f t="shared" si="4"/>
        <v>103.34350000000001</v>
      </c>
      <c r="F24" s="2">
        <f t="shared" si="2"/>
        <v>0.79812026825995863</v>
      </c>
      <c r="G24" s="2">
        <v>13</v>
      </c>
      <c r="H24" s="47">
        <f t="shared" si="5"/>
        <v>215.09916090000002</v>
      </c>
      <c r="I24" s="47">
        <f t="shared" si="6"/>
        <v>12.306274579574543</v>
      </c>
      <c r="J24" s="47">
        <f t="shared" si="7"/>
        <v>21.315092823716434</v>
      </c>
      <c r="K24" s="47">
        <f t="shared" si="3"/>
        <v>269.50720267880644</v>
      </c>
      <c r="L24" s="47">
        <f t="shared" si="8"/>
        <v>15.419072875325378</v>
      </c>
      <c r="M24" s="54"/>
    </row>
    <row r="26" spans="1:13" x14ac:dyDescent="0.25">
      <c r="A26" s="142"/>
      <c r="B26" s="142"/>
      <c r="C26" s="142"/>
      <c r="D26" s="142"/>
      <c r="E26" s="142"/>
      <c r="F26" s="142"/>
      <c r="G26" s="142"/>
      <c r="H26" s="142"/>
      <c r="I26" s="142"/>
      <c r="J26" s="142"/>
    </row>
    <row r="27" spans="1:13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</row>
    <row r="28" spans="1:13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</row>
    <row r="29" spans="1:13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</row>
    <row r="30" spans="1:13" x14ac:dyDescent="0.25">
      <c r="A30" s="142"/>
      <c r="B30" s="142"/>
      <c r="C30" s="142"/>
      <c r="D30" s="142"/>
      <c r="E30" s="142"/>
      <c r="F30" s="142"/>
      <c r="G30" s="142"/>
      <c r="H30" s="142"/>
      <c r="I30" s="142"/>
      <c r="J30" s="142"/>
    </row>
    <row r="31" spans="1:13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</row>
    <row r="32" spans="1:13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</row>
    <row r="33" spans="1:10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</row>
    <row r="34" spans="1:10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</row>
    <row r="35" spans="1:10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</row>
    <row r="36" spans="1:10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</row>
    <row r="37" spans="1:10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</row>
    <row r="38" spans="1:10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</row>
    <row r="39" spans="1:10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</row>
    <row r="40" spans="1:10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</row>
    <row r="41" spans="1:10" x14ac:dyDescent="0.25">
      <c r="A41" s="142"/>
      <c r="B41" s="142"/>
      <c r="C41" s="142"/>
      <c r="D41" s="142"/>
      <c r="E41" s="142"/>
      <c r="F41" s="142"/>
      <c r="G41" s="142"/>
      <c r="H41" s="142"/>
      <c r="I41" s="142"/>
      <c r="J41" s="142"/>
    </row>
    <row r="42" spans="1:10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</row>
    <row r="43" spans="1:10" x14ac:dyDescent="0.25">
      <c r="A43" s="142"/>
      <c r="B43" s="142"/>
      <c r="C43" s="142"/>
      <c r="D43" s="142"/>
      <c r="E43" s="142"/>
      <c r="F43" s="142"/>
      <c r="G43" s="142"/>
      <c r="H43" s="142"/>
      <c r="I43" s="142"/>
      <c r="J43" s="142"/>
    </row>
    <row r="44" spans="1:10" x14ac:dyDescent="0.25">
      <c r="A44" s="142"/>
      <c r="B44" s="142"/>
      <c r="C44" s="142"/>
      <c r="D44" s="142"/>
      <c r="E44" s="142"/>
      <c r="F44" s="142"/>
      <c r="G44" s="142"/>
      <c r="H44" s="142"/>
      <c r="I44" s="142"/>
      <c r="J44" s="142"/>
    </row>
    <row r="45" spans="1:10" x14ac:dyDescent="0.25">
      <c r="A45" s="142"/>
      <c r="B45" s="142"/>
      <c r="C45" s="142"/>
      <c r="D45" s="142"/>
      <c r="E45" s="142"/>
      <c r="F45" s="142"/>
      <c r="G45" s="142"/>
      <c r="H45" s="142"/>
      <c r="I45" s="142"/>
      <c r="J45" s="142"/>
    </row>
    <row r="46" spans="1:10" x14ac:dyDescent="0.25">
      <c r="A46" s="142"/>
      <c r="B46" s="142"/>
      <c r="C46" s="142"/>
      <c r="D46" s="142"/>
      <c r="E46" s="142"/>
      <c r="F46" s="142"/>
      <c r="G46" s="142"/>
      <c r="H46" s="142"/>
      <c r="I46" s="142"/>
      <c r="J46" s="142"/>
    </row>
    <row r="47" spans="1:10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</row>
  </sheetData>
  <mergeCells count="15">
    <mergeCell ref="A26:J47"/>
    <mergeCell ref="A1:G3"/>
    <mergeCell ref="I10:K10"/>
    <mergeCell ref="I11:K11"/>
    <mergeCell ref="I12:K12"/>
    <mergeCell ref="L5:P5"/>
    <mergeCell ref="L6:P8"/>
    <mergeCell ref="A11:C11"/>
    <mergeCell ref="A12:C15"/>
    <mergeCell ref="E11:G11"/>
    <mergeCell ref="E12:G15"/>
    <mergeCell ref="A6:D9"/>
    <mergeCell ref="A5:D5"/>
    <mergeCell ref="F5:J5"/>
    <mergeCell ref="F6:J8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5"/>
  <sheetViews>
    <sheetView zoomScale="130" zoomScaleNormal="130" workbookViewId="0">
      <selection activeCell="G17" sqref="G17"/>
    </sheetView>
  </sheetViews>
  <sheetFormatPr defaultRowHeight="15" x14ac:dyDescent="0.25"/>
  <cols>
    <col min="3" max="3" width="12.85546875" customWidth="1"/>
    <col min="5" max="5" width="12" customWidth="1"/>
  </cols>
  <sheetData>
    <row r="1" spans="1:21" ht="15" customHeight="1" x14ac:dyDescent="0.25">
      <c r="A1" s="232" t="s">
        <v>53</v>
      </c>
      <c r="B1" s="233"/>
      <c r="C1" s="233"/>
      <c r="D1" s="233"/>
      <c r="E1" s="233"/>
      <c r="F1" s="233"/>
      <c r="G1" s="234"/>
      <c r="J1" s="222" t="s">
        <v>59</v>
      </c>
      <c r="K1" s="183"/>
      <c r="L1" s="183"/>
      <c r="M1" s="183"/>
      <c r="N1" s="183"/>
      <c r="O1" s="184"/>
    </row>
    <row r="2" spans="1:21" x14ac:dyDescent="0.25">
      <c r="A2" s="235"/>
      <c r="B2" s="236"/>
      <c r="C2" s="236"/>
      <c r="D2" s="236"/>
      <c r="E2" s="236"/>
      <c r="F2" s="236"/>
      <c r="G2" s="237"/>
      <c r="J2" s="185"/>
      <c r="K2" s="186"/>
      <c r="L2" s="186"/>
      <c r="M2" s="186"/>
      <c r="N2" s="186"/>
      <c r="O2" s="187"/>
    </row>
    <row r="3" spans="1:21" ht="15.75" thickBot="1" x14ac:dyDescent="0.3">
      <c r="A3" s="238"/>
      <c r="B3" s="239"/>
      <c r="C3" s="239"/>
      <c r="D3" s="239"/>
      <c r="E3" s="239"/>
      <c r="F3" s="239"/>
      <c r="G3" s="240"/>
      <c r="J3" s="188"/>
      <c r="K3" s="189"/>
      <c r="L3" s="189"/>
      <c r="M3" s="189"/>
      <c r="N3" s="189"/>
      <c r="O3" s="190"/>
    </row>
    <row r="5" spans="1:21" x14ac:dyDescent="0.25">
      <c r="A5" s="177" t="s">
        <v>54</v>
      </c>
      <c r="B5" s="209"/>
      <c r="C5" s="209"/>
      <c r="D5" s="178"/>
      <c r="F5" s="62" t="s">
        <v>212</v>
      </c>
      <c r="G5" s="25">
        <f>b</f>
        <v>1.3</v>
      </c>
      <c r="H5" s="29" t="s">
        <v>51</v>
      </c>
      <c r="J5" s="241" t="s">
        <v>60</v>
      </c>
      <c r="K5" s="241"/>
      <c r="L5" s="241"/>
      <c r="M5" s="241"/>
      <c r="N5" s="241"/>
      <c r="P5" s="7" t="s">
        <v>61</v>
      </c>
      <c r="Q5" s="120">
        <v>2.54</v>
      </c>
      <c r="R5" s="8" t="s">
        <v>62</v>
      </c>
    </row>
    <row r="6" spans="1:21" x14ac:dyDescent="0.25">
      <c r="J6" s="223"/>
      <c r="K6" s="224"/>
      <c r="L6" s="224"/>
      <c r="M6" s="224"/>
      <c r="N6" s="225"/>
      <c r="S6" s="174" t="s">
        <v>68</v>
      </c>
      <c r="T6" s="176"/>
    </row>
    <row r="7" spans="1:21" x14ac:dyDescent="0.25">
      <c r="A7" s="28" t="s">
        <v>55</v>
      </c>
      <c r="B7" s="28" t="s">
        <v>56</v>
      </c>
      <c r="C7" s="28" t="s">
        <v>57</v>
      </c>
      <c r="D7" s="155" t="s">
        <v>58</v>
      </c>
      <c r="E7" s="155"/>
      <c r="J7" s="226"/>
      <c r="K7" s="191"/>
      <c r="L7" s="191"/>
      <c r="M7" s="191"/>
      <c r="N7" s="227"/>
      <c r="P7" s="2" t="s">
        <v>45</v>
      </c>
      <c r="Q7" s="2">
        <f>5*Q5</f>
        <v>12.7</v>
      </c>
      <c r="R7" s="2" t="s">
        <v>62</v>
      </c>
      <c r="S7" s="2">
        <f>(2*0.5)+5</f>
        <v>6</v>
      </c>
      <c r="T7" s="2" t="s">
        <v>67</v>
      </c>
    </row>
    <row r="8" spans="1:21" x14ac:dyDescent="0.25">
      <c r="A8" s="2">
        <v>60</v>
      </c>
      <c r="B8" s="2">
        <f>A8/100</f>
        <v>0.6</v>
      </c>
      <c r="C8" s="2">
        <f t="shared" ref="C8:C16" si="0">b</f>
        <v>1.3</v>
      </c>
      <c r="D8" s="142">
        <f>C8*B8</f>
        <v>0.78</v>
      </c>
      <c r="E8" s="142"/>
      <c r="J8" s="226"/>
      <c r="K8" s="191"/>
      <c r="L8" s="191"/>
      <c r="M8" s="191"/>
      <c r="N8" s="227"/>
      <c r="P8" s="2" t="s">
        <v>63</v>
      </c>
      <c r="Q8" s="2">
        <f>1.5*Q5</f>
        <v>3.81</v>
      </c>
      <c r="R8" s="2" t="s">
        <v>62</v>
      </c>
      <c r="S8" s="2">
        <f>1.5+(2*0.5)</f>
        <v>2.5</v>
      </c>
      <c r="T8" s="2" t="s">
        <v>67</v>
      </c>
    </row>
    <row r="9" spans="1:21" x14ac:dyDescent="0.25">
      <c r="A9" s="2">
        <v>62</v>
      </c>
      <c r="B9" s="2">
        <f t="shared" ref="B9:B16" si="1">A9/100</f>
        <v>0.62</v>
      </c>
      <c r="C9" s="2">
        <f t="shared" si="0"/>
        <v>1.3</v>
      </c>
      <c r="D9" s="142">
        <f t="shared" ref="D9:D16" si="2">C9*B9</f>
        <v>0.80600000000000005</v>
      </c>
      <c r="E9" s="142"/>
      <c r="J9" s="226"/>
      <c r="K9" s="191"/>
      <c r="L9" s="191"/>
      <c r="M9" s="191"/>
      <c r="N9" s="227"/>
      <c r="P9" s="2" t="s">
        <v>46</v>
      </c>
      <c r="Q9" s="2">
        <f>1.5*Q5</f>
        <v>3.81</v>
      </c>
      <c r="R9" s="2" t="s">
        <v>62</v>
      </c>
      <c r="S9" s="2">
        <f>1.5+(2*0.5)</f>
        <v>2.5</v>
      </c>
      <c r="T9" s="2" t="s">
        <v>67</v>
      </c>
    </row>
    <row r="10" spans="1:21" x14ac:dyDescent="0.25">
      <c r="A10" s="2">
        <v>64</v>
      </c>
      <c r="B10" s="2">
        <f t="shared" si="1"/>
        <v>0.64</v>
      </c>
      <c r="C10" s="2">
        <f t="shared" si="0"/>
        <v>1.3</v>
      </c>
      <c r="D10" s="142">
        <f t="shared" si="2"/>
        <v>0.83200000000000007</v>
      </c>
      <c r="E10" s="142"/>
      <c r="J10" s="226"/>
      <c r="K10" s="191"/>
      <c r="L10" s="191"/>
      <c r="M10" s="191"/>
      <c r="N10" s="227"/>
    </row>
    <row r="11" spans="1:21" x14ac:dyDescent="0.25">
      <c r="A11" s="2">
        <v>66</v>
      </c>
      <c r="B11" s="2">
        <f t="shared" si="1"/>
        <v>0.66</v>
      </c>
      <c r="C11" s="2">
        <f t="shared" si="0"/>
        <v>1.3</v>
      </c>
      <c r="D11" s="142">
        <f t="shared" si="2"/>
        <v>0.8580000000000001</v>
      </c>
      <c r="E11" s="142"/>
      <c r="J11" s="226"/>
      <c r="K11" s="191"/>
      <c r="L11" s="191"/>
      <c r="M11" s="191"/>
      <c r="N11" s="227"/>
    </row>
    <row r="12" spans="1:21" x14ac:dyDescent="0.25">
      <c r="A12" s="2">
        <v>68</v>
      </c>
      <c r="B12" s="2">
        <f t="shared" si="1"/>
        <v>0.68</v>
      </c>
      <c r="C12" s="2">
        <f t="shared" si="0"/>
        <v>1.3</v>
      </c>
      <c r="D12" s="142">
        <f t="shared" si="2"/>
        <v>0.88400000000000012</v>
      </c>
      <c r="E12" s="142"/>
      <c r="J12" s="226"/>
      <c r="K12" s="191"/>
      <c r="L12" s="191"/>
      <c r="M12" s="191"/>
      <c r="N12" s="227"/>
      <c r="P12" s="206" t="s">
        <v>66</v>
      </c>
      <c r="Q12" s="207"/>
      <c r="R12" s="208"/>
    </row>
    <row r="13" spans="1:21" x14ac:dyDescent="0.25">
      <c r="A13" s="27">
        <v>70</v>
      </c>
      <c r="B13" s="27">
        <f t="shared" si="1"/>
        <v>0.7</v>
      </c>
      <c r="C13" s="27">
        <f t="shared" si="0"/>
        <v>1.3</v>
      </c>
      <c r="D13" s="180">
        <f t="shared" si="2"/>
        <v>0.90999999999999992</v>
      </c>
      <c r="E13" s="180"/>
      <c r="F13" s="142" t="s">
        <v>388</v>
      </c>
      <c r="G13" s="142"/>
      <c r="J13" s="226"/>
      <c r="K13" s="191"/>
      <c r="L13" s="191"/>
      <c r="M13" s="191"/>
      <c r="N13" s="227"/>
      <c r="P13" s="142" t="s">
        <v>64</v>
      </c>
      <c r="Q13" s="142"/>
      <c r="R13" s="2">
        <f>T13*Q5</f>
        <v>12.7</v>
      </c>
      <c r="S13" s="2" t="s">
        <v>62</v>
      </c>
      <c r="T13" s="2">
        <f>(2*1.5)+2</f>
        <v>5</v>
      </c>
      <c r="U13" s="2" t="s">
        <v>67</v>
      </c>
    </row>
    <row r="14" spans="1:21" x14ac:dyDescent="0.25">
      <c r="A14" s="2">
        <v>72</v>
      </c>
      <c r="B14" s="2">
        <f t="shared" si="1"/>
        <v>0.72</v>
      </c>
      <c r="C14" s="2">
        <f t="shared" si="0"/>
        <v>1.3</v>
      </c>
      <c r="D14" s="142">
        <f t="shared" si="2"/>
        <v>0.93599999999999994</v>
      </c>
      <c r="E14" s="142"/>
      <c r="J14" s="226"/>
      <c r="K14" s="191"/>
      <c r="L14" s="191"/>
      <c r="M14" s="191"/>
      <c r="N14" s="227"/>
      <c r="P14" s="142" t="s">
        <v>65</v>
      </c>
      <c r="Q14" s="142"/>
      <c r="R14" s="2">
        <f>Q9+2</f>
        <v>5.8100000000000005</v>
      </c>
      <c r="S14" s="2" t="s">
        <v>62</v>
      </c>
      <c r="T14" s="2">
        <f>S9</f>
        <v>2.5</v>
      </c>
      <c r="U14" s="2" t="s">
        <v>67</v>
      </c>
    </row>
    <row r="15" spans="1:21" x14ac:dyDescent="0.25">
      <c r="A15" s="121">
        <v>74</v>
      </c>
      <c r="B15" s="121">
        <f t="shared" si="1"/>
        <v>0.74</v>
      </c>
      <c r="C15" s="121">
        <f t="shared" si="0"/>
        <v>1.3</v>
      </c>
      <c r="D15" s="231">
        <f t="shared" si="2"/>
        <v>0.96199999999999997</v>
      </c>
      <c r="E15" s="231"/>
      <c r="F15" s="231" t="s">
        <v>389</v>
      </c>
      <c r="G15" s="231"/>
      <c r="J15" s="226"/>
      <c r="K15" s="191"/>
      <c r="L15" s="191"/>
      <c r="M15" s="191"/>
      <c r="N15" s="227"/>
    </row>
    <row r="16" spans="1:21" x14ac:dyDescent="0.25">
      <c r="A16" s="2">
        <v>75</v>
      </c>
      <c r="B16" s="2">
        <f t="shared" si="1"/>
        <v>0.75</v>
      </c>
      <c r="C16" s="2">
        <f t="shared" si="0"/>
        <v>1.3</v>
      </c>
      <c r="D16" s="142">
        <f t="shared" si="2"/>
        <v>0.97500000000000009</v>
      </c>
      <c r="E16" s="142"/>
      <c r="J16" s="226"/>
      <c r="K16" s="191"/>
      <c r="L16" s="191"/>
      <c r="M16" s="191"/>
      <c r="N16" s="227"/>
      <c r="S16">
        <f>T14*Q5</f>
        <v>6.35</v>
      </c>
      <c r="T16">
        <f>S16/100</f>
        <v>6.3500000000000001E-2</v>
      </c>
    </row>
    <row r="17" spans="1:18" x14ac:dyDescent="0.25">
      <c r="J17" s="226"/>
      <c r="K17" s="191"/>
      <c r="L17" s="191"/>
      <c r="M17" s="191"/>
      <c r="N17" s="227"/>
    </row>
    <row r="18" spans="1:18" x14ac:dyDescent="0.25">
      <c r="J18" s="226"/>
      <c r="K18" s="191"/>
      <c r="L18" s="191"/>
      <c r="M18" s="191"/>
      <c r="N18" s="227"/>
    </row>
    <row r="19" spans="1:18" ht="15.75" thickBot="1" x14ac:dyDescent="0.3">
      <c r="J19" s="228"/>
      <c r="K19" s="229"/>
      <c r="L19" s="229"/>
      <c r="M19" s="229"/>
      <c r="N19" s="230"/>
      <c r="P19" t="s">
        <v>237</v>
      </c>
      <c r="R19" t="s">
        <v>238</v>
      </c>
    </row>
    <row r="20" spans="1:18" x14ac:dyDescent="0.25">
      <c r="A20" s="210" t="s">
        <v>112</v>
      </c>
      <c r="B20" s="211"/>
      <c r="C20" s="211"/>
      <c r="D20" s="211"/>
      <c r="E20" s="211"/>
      <c r="F20" s="212"/>
    </row>
    <row r="21" spans="1:18" x14ac:dyDescent="0.25">
      <c r="A21" s="213"/>
      <c r="B21" s="214"/>
      <c r="C21" s="214"/>
      <c r="D21" s="214"/>
      <c r="E21" s="214"/>
      <c r="F21" s="215"/>
    </row>
    <row r="22" spans="1:18" ht="15.75" thickBot="1" x14ac:dyDescent="0.3">
      <c r="A22" s="216"/>
      <c r="B22" s="217"/>
      <c r="C22" s="217"/>
      <c r="D22" s="217"/>
      <c r="E22" s="217"/>
      <c r="F22" s="218"/>
    </row>
    <row r="23" spans="1:18" x14ac:dyDescent="0.25">
      <c r="N23" s="116" t="s">
        <v>239</v>
      </c>
    </row>
    <row r="24" spans="1:18" x14ac:dyDescent="0.25">
      <c r="A24" s="219" t="s">
        <v>113</v>
      </c>
      <c r="B24" s="220"/>
      <c r="C24" s="219" t="s">
        <v>114</v>
      </c>
      <c r="D24" s="220"/>
      <c r="N24" s="30" t="s">
        <v>240</v>
      </c>
    </row>
    <row r="25" spans="1:18" x14ac:dyDescent="0.25">
      <c r="A25" s="2" t="s">
        <v>115</v>
      </c>
      <c r="B25" s="2" t="s">
        <v>116</v>
      </c>
      <c r="C25" s="2" t="s">
        <v>115</v>
      </c>
      <c r="D25" s="2" t="s">
        <v>116</v>
      </c>
      <c r="N25" s="142"/>
      <c r="O25" s="142"/>
      <c r="P25" s="142"/>
      <c r="Q25" s="142"/>
    </row>
    <row r="26" spans="1:18" x14ac:dyDescent="0.25">
      <c r="A26" s="77">
        <v>127</v>
      </c>
      <c r="B26" s="77">
        <v>63.5</v>
      </c>
      <c r="C26" s="77">
        <v>107</v>
      </c>
      <c r="D26" s="77">
        <v>43.5</v>
      </c>
      <c r="N26" s="142"/>
      <c r="O26" s="142"/>
      <c r="P26" s="142"/>
      <c r="Q26" s="142"/>
    </row>
    <row r="27" spans="1:18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N27" s="142"/>
      <c r="O27" s="142"/>
      <c r="P27" s="142"/>
      <c r="Q27" s="142"/>
    </row>
    <row r="28" spans="1:18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N28" s="142"/>
      <c r="O28" s="142"/>
      <c r="P28" s="142"/>
      <c r="Q28" s="142"/>
    </row>
    <row r="29" spans="1:18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N29" s="142"/>
      <c r="O29" s="142"/>
      <c r="P29" s="142"/>
      <c r="Q29" s="142"/>
    </row>
    <row r="30" spans="1:18" x14ac:dyDescent="0.25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N30" s="142"/>
      <c r="O30" s="142"/>
      <c r="P30" s="142"/>
      <c r="Q30" s="142"/>
    </row>
    <row r="31" spans="1:18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N31" s="142"/>
      <c r="O31" s="142"/>
      <c r="P31" s="142"/>
      <c r="Q31" s="142"/>
    </row>
    <row r="32" spans="1:18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N32" s="142"/>
      <c r="O32" s="142"/>
      <c r="P32" s="142"/>
      <c r="Q32" s="142"/>
    </row>
    <row r="33" spans="1:16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</row>
    <row r="34" spans="1:16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N34" s="221" t="s">
        <v>293</v>
      </c>
      <c r="O34" s="221"/>
      <c r="P34" s="221"/>
    </row>
    <row r="35" spans="1:16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N35" s="221"/>
      <c r="O35" s="221"/>
      <c r="P35" s="221"/>
    </row>
    <row r="36" spans="1:16" x14ac:dyDescent="0.25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N36" s="2" t="s">
        <v>110</v>
      </c>
      <c r="O36" s="2">
        <v>0.755</v>
      </c>
      <c r="P36" s="2" t="s">
        <v>51</v>
      </c>
    </row>
    <row r="37" spans="1:16" x14ac:dyDescent="0.25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N37" s="2" t="s">
        <v>277</v>
      </c>
      <c r="O37" s="2">
        <v>1.2E-2</v>
      </c>
      <c r="P37" s="2" t="s">
        <v>51</v>
      </c>
    </row>
    <row r="38" spans="1:16" x14ac:dyDescent="0.25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N38" s="2" t="s">
        <v>279</v>
      </c>
      <c r="O38" s="2">
        <v>1.2E-2</v>
      </c>
      <c r="P38" s="2" t="s">
        <v>51</v>
      </c>
    </row>
    <row r="39" spans="1:16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142"/>
    </row>
    <row r="40" spans="1:16" x14ac:dyDescent="0.25">
      <c r="A40" s="142"/>
      <c r="B40" s="142"/>
      <c r="C40" s="142"/>
      <c r="D40" s="142"/>
      <c r="E40" s="142"/>
      <c r="F40" s="142"/>
      <c r="G40" s="142"/>
      <c r="H40" s="142"/>
      <c r="I40" s="142"/>
      <c r="J40" s="142"/>
    </row>
    <row r="41" spans="1:16" x14ac:dyDescent="0.25">
      <c r="A41" s="142"/>
      <c r="B41" s="142"/>
      <c r="C41" s="142"/>
      <c r="D41" s="142"/>
      <c r="E41" s="142"/>
      <c r="F41" s="142"/>
      <c r="G41" s="142"/>
      <c r="H41" s="142"/>
      <c r="I41" s="142"/>
      <c r="J41" s="142"/>
    </row>
    <row r="42" spans="1:16" x14ac:dyDescent="0.25">
      <c r="A42" s="142"/>
      <c r="B42" s="142"/>
      <c r="C42" s="142"/>
      <c r="D42" s="142"/>
      <c r="E42" s="142"/>
      <c r="F42" s="142"/>
      <c r="G42" s="142"/>
      <c r="H42" s="142"/>
      <c r="I42" s="142"/>
      <c r="J42" s="142"/>
    </row>
    <row r="43" spans="1:16" x14ac:dyDescent="0.25">
      <c r="A43" s="142"/>
      <c r="B43" s="142"/>
      <c r="C43" s="142"/>
      <c r="D43" s="142"/>
      <c r="E43" s="142"/>
      <c r="F43" s="142"/>
      <c r="G43" s="142"/>
      <c r="H43" s="142"/>
      <c r="I43" s="142"/>
      <c r="J43" s="142"/>
    </row>
    <row r="44" spans="1:16" x14ac:dyDescent="0.25">
      <c r="A44" s="142"/>
      <c r="B44" s="142"/>
      <c r="C44" s="142"/>
      <c r="D44" s="142"/>
      <c r="E44" s="142"/>
      <c r="F44" s="142"/>
      <c r="G44" s="142"/>
      <c r="H44" s="142"/>
      <c r="I44" s="142"/>
      <c r="J44" s="142"/>
    </row>
    <row r="45" spans="1:16" ht="15.75" thickBot="1" x14ac:dyDescent="0.3"/>
    <row r="46" spans="1:16" x14ac:dyDescent="0.25">
      <c r="A46" s="210" t="s">
        <v>121</v>
      </c>
      <c r="B46" s="211"/>
      <c r="C46" s="211"/>
      <c r="D46" s="211"/>
      <c r="E46" s="211"/>
      <c r="F46" s="212"/>
    </row>
    <row r="47" spans="1:16" x14ac:dyDescent="0.25">
      <c r="A47" s="213"/>
      <c r="B47" s="214"/>
      <c r="C47" s="214"/>
      <c r="D47" s="214"/>
      <c r="E47" s="214"/>
      <c r="F47" s="215"/>
    </row>
    <row r="48" spans="1:16" ht="15.75" thickBot="1" x14ac:dyDescent="0.3">
      <c r="A48" s="216"/>
      <c r="B48" s="217"/>
      <c r="C48" s="217"/>
      <c r="D48" s="217"/>
      <c r="E48" s="217"/>
      <c r="F48" s="218"/>
    </row>
    <row r="50" spans="1:16" x14ac:dyDescent="0.25">
      <c r="A50" s="219" t="s">
        <v>113</v>
      </c>
      <c r="B50" s="220"/>
      <c r="C50" s="219" t="s">
        <v>114</v>
      </c>
      <c r="D50" s="220"/>
    </row>
    <row r="51" spans="1:16" x14ac:dyDescent="0.25">
      <c r="A51" s="2" t="s">
        <v>115</v>
      </c>
      <c r="B51" s="2" t="s">
        <v>116</v>
      </c>
      <c r="C51" s="2" t="s">
        <v>115</v>
      </c>
      <c r="D51" s="2" t="s">
        <v>116</v>
      </c>
    </row>
    <row r="52" spans="1:16" x14ac:dyDescent="0.25">
      <c r="A52" s="77">
        <v>119.1</v>
      </c>
      <c r="B52" s="77">
        <v>78</v>
      </c>
      <c r="C52" s="77">
        <v>99.1</v>
      </c>
      <c r="D52" s="77">
        <v>58</v>
      </c>
    </row>
    <row r="53" spans="1:16" x14ac:dyDescent="0.25">
      <c r="A53" s="142"/>
      <c r="B53" s="142"/>
      <c r="C53" s="142"/>
      <c r="D53" s="142"/>
      <c r="E53" s="142"/>
      <c r="F53" s="142"/>
      <c r="G53" s="142"/>
      <c r="H53" s="142"/>
      <c r="I53" s="142"/>
      <c r="J53" s="142"/>
    </row>
    <row r="54" spans="1:16" x14ac:dyDescent="0.25">
      <c r="A54" s="142"/>
      <c r="B54" s="142"/>
      <c r="C54" s="142"/>
      <c r="D54" s="142"/>
      <c r="E54" s="142"/>
      <c r="F54" s="142"/>
      <c r="G54" s="142"/>
      <c r="H54" s="142"/>
      <c r="I54" s="142"/>
      <c r="J54" s="142"/>
    </row>
    <row r="55" spans="1:16" x14ac:dyDescent="0.25">
      <c r="A55" s="142"/>
      <c r="B55" s="142"/>
      <c r="C55" s="142"/>
      <c r="D55" s="142"/>
      <c r="E55" s="142"/>
      <c r="F55" s="142"/>
      <c r="G55" s="142"/>
      <c r="H55" s="142"/>
      <c r="I55" s="142"/>
      <c r="J55" s="142"/>
      <c r="N55" s="203" t="s">
        <v>408</v>
      </c>
      <c r="O55" s="203"/>
      <c r="P55" s="203"/>
    </row>
    <row r="56" spans="1:16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N56" s="203"/>
      <c r="O56" s="203"/>
      <c r="P56" s="203"/>
    </row>
    <row r="57" spans="1:16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</row>
    <row r="58" spans="1:16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</row>
    <row r="59" spans="1:16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</row>
    <row r="60" spans="1:16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</row>
    <row r="61" spans="1:16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</row>
    <row r="62" spans="1:16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</row>
    <row r="63" spans="1:16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</row>
    <row r="64" spans="1:16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</row>
    <row r="65" spans="1:10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</row>
    <row r="66" spans="1:10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</row>
    <row r="67" spans="1:10" x14ac:dyDescent="0.25">
      <c r="A67" s="142"/>
      <c r="B67" s="142"/>
      <c r="C67" s="142"/>
      <c r="D67" s="142"/>
      <c r="E67" s="142"/>
      <c r="F67" s="142"/>
      <c r="G67" s="142"/>
      <c r="H67" s="142"/>
      <c r="I67" s="142"/>
      <c r="J67" s="142"/>
    </row>
    <row r="68" spans="1:10" x14ac:dyDescent="0.25">
      <c r="A68" s="142"/>
      <c r="B68" s="142"/>
      <c r="C68" s="142"/>
      <c r="D68" s="142"/>
      <c r="E68" s="142"/>
      <c r="F68" s="142"/>
      <c r="G68" s="142"/>
      <c r="H68" s="142"/>
      <c r="I68" s="142"/>
      <c r="J68" s="142"/>
    </row>
    <row r="69" spans="1:10" x14ac:dyDescent="0.25">
      <c r="A69" s="142"/>
      <c r="B69" s="142"/>
      <c r="C69" s="142"/>
      <c r="D69" s="142"/>
      <c r="E69" s="142"/>
      <c r="F69" s="142"/>
      <c r="G69" s="142"/>
      <c r="H69" s="142"/>
      <c r="I69" s="142"/>
      <c r="J69" s="142"/>
    </row>
    <row r="70" spans="1:10" x14ac:dyDescent="0.25">
      <c r="A70" s="142"/>
      <c r="B70" s="142"/>
      <c r="C70" s="142"/>
      <c r="D70" s="142"/>
      <c r="E70" s="142"/>
      <c r="F70" s="142"/>
      <c r="G70" s="142"/>
      <c r="H70" s="142"/>
      <c r="I70" s="142"/>
      <c r="J70" s="142"/>
    </row>
    <row r="71" spans="1:10" x14ac:dyDescent="0.25">
      <c r="A71" s="142"/>
      <c r="B71" s="142"/>
      <c r="C71" s="142"/>
      <c r="D71" s="142"/>
      <c r="E71" s="142"/>
      <c r="F71" s="142"/>
      <c r="G71" s="142"/>
      <c r="H71" s="142"/>
      <c r="I71" s="142"/>
      <c r="J71" s="142"/>
    </row>
    <row r="72" spans="1:10" x14ac:dyDescent="0.25">
      <c r="A72" s="142"/>
      <c r="B72" s="142"/>
      <c r="C72" s="142"/>
      <c r="D72" s="142"/>
      <c r="E72" s="142"/>
      <c r="F72" s="142"/>
      <c r="G72" s="142"/>
      <c r="H72" s="142"/>
      <c r="I72" s="142"/>
      <c r="J72" s="142"/>
    </row>
    <row r="73" spans="1:10" x14ac:dyDescent="0.25">
      <c r="A73" s="142"/>
      <c r="B73" s="142"/>
      <c r="C73" s="142"/>
      <c r="D73" s="142"/>
      <c r="E73" s="142"/>
      <c r="F73" s="142"/>
      <c r="G73" s="142"/>
      <c r="H73" s="142"/>
      <c r="I73" s="142"/>
      <c r="J73" s="142"/>
    </row>
    <row r="74" spans="1:10" x14ac:dyDescent="0.25">
      <c r="A74" s="142"/>
      <c r="B74" s="142"/>
      <c r="C74" s="142"/>
      <c r="D74" s="142"/>
      <c r="E74" s="142"/>
      <c r="F74" s="142"/>
      <c r="G74" s="142"/>
      <c r="H74" s="142"/>
      <c r="I74" s="142"/>
      <c r="J74" s="142"/>
    </row>
    <row r="75" spans="1:10" x14ac:dyDescent="0.25">
      <c r="A75" s="142"/>
      <c r="B75" s="142"/>
      <c r="C75" s="142"/>
      <c r="D75" s="142"/>
      <c r="E75" s="142"/>
      <c r="F75" s="142"/>
      <c r="G75" s="142"/>
      <c r="H75" s="142"/>
      <c r="I75" s="142"/>
      <c r="J75" s="142"/>
    </row>
  </sheetData>
  <mergeCells count="32">
    <mergeCell ref="S6:T6"/>
    <mergeCell ref="D16:E16"/>
    <mergeCell ref="J1:O3"/>
    <mergeCell ref="J6:N19"/>
    <mergeCell ref="D10:E10"/>
    <mergeCell ref="D11:E11"/>
    <mergeCell ref="D12:E12"/>
    <mergeCell ref="D13:E13"/>
    <mergeCell ref="D14:E14"/>
    <mergeCell ref="D15:E15"/>
    <mergeCell ref="D7:E7"/>
    <mergeCell ref="A1:G3"/>
    <mergeCell ref="D8:E8"/>
    <mergeCell ref="D9:E9"/>
    <mergeCell ref="F15:G15"/>
    <mergeCell ref="J5:N5"/>
    <mergeCell ref="A53:J75"/>
    <mergeCell ref="A27:J44"/>
    <mergeCell ref="N34:P35"/>
    <mergeCell ref="N55:P56"/>
    <mergeCell ref="A46:F48"/>
    <mergeCell ref="N25:Q32"/>
    <mergeCell ref="A20:F22"/>
    <mergeCell ref="A24:B24"/>
    <mergeCell ref="C24:D24"/>
    <mergeCell ref="A50:B50"/>
    <mergeCell ref="C50:D50"/>
    <mergeCell ref="P12:R12"/>
    <mergeCell ref="A5:D5"/>
    <mergeCell ref="F13:G13"/>
    <mergeCell ref="P13:Q13"/>
    <mergeCell ref="P14:Q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47</vt:i4>
      </vt:variant>
    </vt:vector>
  </HeadingPairs>
  <TitlesOfParts>
    <vt:vector size="66" baseType="lpstr">
      <vt:lpstr>Intro</vt:lpstr>
      <vt:lpstr>Weight Buildup</vt:lpstr>
      <vt:lpstr>Airfoil Selection </vt:lpstr>
      <vt:lpstr>Wing Calculations(Rectangle)</vt:lpstr>
      <vt:lpstr>Wing Performance &amp; Cruise Vel.</vt:lpstr>
      <vt:lpstr>Payload Fraction</vt:lpstr>
      <vt:lpstr>Transport Container</vt:lpstr>
      <vt:lpstr>Wing Loading</vt:lpstr>
      <vt:lpstr>Fuselage Sizing</vt:lpstr>
      <vt:lpstr>Nose Cone Design</vt:lpstr>
      <vt:lpstr>Tail Sizing</vt:lpstr>
      <vt:lpstr>Control Surface Sizing</vt:lpstr>
      <vt:lpstr>Drag Calculation</vt:lpstr>
      <vt:lpstr>Servo Sizing</vt:lpstr>
      <vt:lpstr>Power Required</vt:lpstr>
      <vt:lpstr>Dynamic Thrust (Simplyfied)</vt:lpstr>
      <vt:lpstr>Dynamic Thrust (Expanded)</vt:lpstr>
      <vt:lpstr>Model Details</vt:lpstr>
      <vt:lpstr>CE</vt:lpstr>
      <vt:lpstr>Aeliron_Chord</vt:lpstr>
      <vt:lpstr>Aeliron_Span</vt:lpstr>
      <vt:lpstr>AR</vt:lpstr>
      <vt:lpstr>b</vt:lpstr>
      <vt:lpstr>bht</vt:lpstr>
      <vt:lpstr>bvt</vt:lpstr>
      <vt:lpstr>Cd</vt:lpstr>
      <vt:lpstr>Cd_W</vt:lpstr>
      <vt:lpstr>Cd0</vt:lpstr>
      <vt:lpstr>Celev</vt:lpstr>
      <vt:lpstr>Cht</vt:lpstr>
      <vt:lpstr>Clmax</vt:lpstr>
      <vt:lpstr>Crudd</vt:lpstr>
      <vt:lpstr>Cvt</vt:lpstr>
      <vt:lpstr>Cw</vt:lpstr>
      <vt:lpstr>Fl</vt:lpstr>
      <vt:lpstr>L_kgs</vt:lpstr>
      <vt:lpstr>L_N</vt:lpstr>
      <vt:lpstr>Lht</vt:lpstr>
      <vt:lpstr>Lvt</vt:lpstr>
      <vt:lpstr>MTOW</vt:lpstr>
      <vt:lpstr>P</vt:lpstr>
      <vt:lpstr>p_1</vt:lpstr>
      <vt:lpstr>p_2</vt:lpstr>
      <vt:lpstr>p_3</vt:lpstr>
      <vt:lpstr>p_4</vt:lpstr>
      <vt:lpstr>p_5</vt:lpstr>
      <vt:lpstr>p_6</vt:lpstr>
      <vt:lpstr>p_7</vt:lpstr>
      <vt:lpstr>p_8</vt:lpstr>
      <vt:lpstr>Payload</vt:lpstr>
      <vt:lpstr>pd_1</vt:lpstr>
      <vt:lpstr>pd_2</vt:lpstr>
      <vt:lpstr>pie</vt:lpstr>
      <vt:lpstr>rho</vt:lpstr>
      <vt:lpstr>Sht</vt:lpstr>
      <vt:lpstr>Stall_angle</vt:lpstr>
      <vt:lpstr>Svt</vt:lpstr>
      <vt:lpstr>Sw</vt:lpstr>
      <vt:lpstr>t_c_HT</vt:lpstr>
      <vt:lpstr>t_c_VT</vt:lpstr>
      <vt:lpstr>t_c_W</vt:lpstr>
      <vt:lpstr>TbyW</vt:lpstr>
      <vt:lpstr>Vcruise</vt:lpstr>
      <vt:lpstr>Vstall</vt:lpstr>
      <vt:lpstr>W</vt:lpstr>
      <vt:lpstr>W_N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2019-04-12T10:07:39Z</dcterms:modified>
</cp:coreProperties>
</file>