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白鷐\Documents\Visual Studio 2015\Projects\百邦所得税汇算底稿工具\百邦所得税汇算底稿工具\"/>
    </mc:Choice>
  </mc:AlternateContent>
  <bookViews>
    <workbookView xWindow="360" yWindow="372" windowWidth="11640" windowHeight="4152" tabRatio="881" firstSheet="7" activeTab="8"/>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r:id="rId8"/>
    <sheet name="基本情况" sheetId="4"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state="hidden" r:id="rId101"/>
    <sheet name="报告正文" sheetId="195" state="hidden"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state="hidden" r:id="rId112"/>
    <sheet name="1.保留意见" sheetId="92" state="hidden" r:id="rId113"/>
    <sheet name="2.否定意见" sheetId="93" state="hidden" r:id="rId114"/>
    <sheet name="3.无保留意见" sheetId="94" state="hidden" r:id="rId115"/>
    <sheet name="4.无法表明意见" sheetId="95" state="hidden" r:id="rId116"/>
    <sheet name="(二)企业基本情况和审核事项说明" sheetId="96" state="hidden" r:id="rId117"/>
    <sheet name="(二)附表-科目说明" sheetId="97" state="hidden" r:id="rId118"/>
    <sheet name="(二)附表-纳税调整额的审核" sheetId="98" state="hidden" r:id="rId119"/>
    <sheet name="（三）企业所得税年度纳税申报表填报表单" sheetId="119" state="hidden" r:id="rId120"/>
    <sheet name="A000000企业基础信息表" sheetId="120" r:id="rId121"/>
    <sheet name="A100000中华人民共和国企业所得税年度纳税申报表（A类）" sheetId="121" state="hidden" r:id="rId122"/>
    <sheet name="A101010一般企业收入明细表" sheetId="122" state="hidden" r:id="rId123"/>
    <sheet name="A101020金融企业收入明细表" sheetId="123" state="hidden" r:id="rId124"/>
    <sheet name="A102010一般企业成本支出明细表" sheetId="124" state="hidden" r:id="rId125"/>
    <sheet name="A102020金融企业支出明细表" sheetId="125" state="hidden" r:id="rId126"/>
    <sheet name="A103000事业单位、民间非营利组织收入、支出明细表" sheetId="126" state="hidden" r:id="rId127"/>
    <sheet name="A104000期间费用明细表" sheetId="127" state="hidden" r:id="rId128"/>
    <sheet name="A105000纳税调整项目明细表" sheetId="128" state="hidden" r:id="rId129"/>
    <sheet name="A105010视同销售和房地产开发企业特定业务纳税调整明细表" sheetId="129" state="hidden" r:id="rId130"/>
    <sheet name="A105020未按权责发生制确认收入纳税调整明细表" sheetId="130" state="hidden" r:id="rId131"/>
    <sheet name="A105030投资收益纳税调整明细表" sheetId="131" state="hidden" r:id="rId132"/>
    <sheet name="A105040专项用途财政性资金纳税调整表" sheetId="132" state="hidden" r:id="rId133"/>
    <sheet name="A105050职工薪酬纳税调整明细表" sheetId="133" state="hidden" r:id="rId134"/>
    <sheet name="A105060广告费和业务宣传费跨年度纳税调整明细表" sheetId="134" state="hidden" r:id="rId135"/>
    <sheet name="A105070捐赠支出纳税调整明细表" sheetId="135" state="hidden" r:id="rId136"/>
    <sheet name="A105080资产折旧、摊销情况及纳税调整明细表" sheetId="136" state="hidden" r:id="rId137"/>
    <sheet name="A105081固定资产加速折旧、扣除明细表" sheetId="137" state="hidden" r:id="rId138"/>
    <sheet name="A105090资产损失税前扣除及纳税调整明细表" sheetId="138" state="hidden" r:id="rId139"/>
    <sheet name="A105091资产损失（专项申报）税前扣除及纳税调整明细表" sheetId="139" state="hidden" r:id="rId140"/>
    <sheet name="A105100企业重组纳税调整明细表" sheetId="140" state="hidden" r:id="rId141"/>
    <sheet name="A105110政策性搬迁纳税调整明细表" sheetId="141" state="hidden" r:id="rId142"/>
    <sheet name="A105120特殊行业准备金纳税调整明细表" sheetId="142" state="hidden" r:id="rId143"/>
    <sheet name="A106000企业所得税弥补亏损明细表" sheetId="143" state="hidden" r:id="rId144"/>
    <sheet name="A107010免税、减计收入及加计扣除优惠明细表" sheetId="144" state="hidden" r:id="rId145"/>
    <sheet name="A107011股息红利优惠明细表" sheetId="145" state="hidden" r:id="rId146"/>
    <sheet name="A107012综合利用资源生产产品取得的收入优惠明细表" sheetId="146" state="hidden" r:id="rId147"/>
    <sheet name="A107013金融保险等机构取得涉农利息保费收入优惠明细表" sheetId="147" state="hidden" r:id="rId148"/>
    <sheet name="A107014研发费用加计扣除优惠明细表" sheetId="148" state="hidden" r:id="rId149"/>
    <sheet name="A107020所得减免优惠明细表" sheetId="149" state="hidden" r:id="rId150"/>
    <sheet name="A107030抵扣应纳税所得额明细表" sheetId="150" state="hidden" r:id="rId151"/>
    <sheet name="A107040减免所得税优惠明细表" sheetId="151" state="hidden" r:id="rId152"/>
    <sheet name="A107041高新技术企业优惠情况及明细表" sheetId="152" state="hidden" r:id="rId153"/>
    <sheet name="A107042软件、集成电路企业优惠情况及明细表" sheetId="153" state="hidden" r:id="rId154"/>
    <sheet name="A107050税额抵免优惠明细表" sheetId="154" state="hidden" r:id="rId155"/>
    <sheet name="A108000境外所得税收抵免明细表" sheetId="155" state="hidden" r:id="rId156"/>
    <sheet name="A108010境外所得纳税调整后所得明细表" sheetId="156" state="hidden" r:id="rId157"/>
    <sheet name="A108020境外分支机构弥补亏损明细表" sheetId="157" state="hidden" r:id="rId158"/>
    <sheet name="A108030跨年度结转抵免境外所得税明细表" sheetId="158" state="hidden" r:id="rId159"/>
    <sheet name="A109000跨地区经营汇总纳税企业年度分摊企业所得税明细表" sheetId="159" state="hidden" r:id="rId160"/>
    <sheet name="A109010企业所得税汇总纳税分支机构所得税分配表" sheetId="160" state="hidden" r:id="rId161"/>
    <sheet name="A110010特殊性处理报告表" sheetId="200" state="hidden"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研发加计扣除归集审核表" sheetId="212" state="hidden" r:id="rId170"/>
    <sheet name="研发项目可加计扣除研究开发费用情况归集表" sheetId="213" state="hidden" r:id="rId171"/>
    <sheet name="分支机构企业所得税申报表（A类）" sheetId="118" state="hidden" r:id="rId172"/>
    <sheet name="（四）企业各税（费）审核汇总表" sheetId="114" state="hidden" r:id="rId173"/>
    <sheet name="（五）社会保险费明细表" sheetId="115" state="hidden" r:id="rId174"/>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169">研发加计扣除归集审核表!$A$1:$D$79</definedName>
    <definedName name="_xlnm.Print_Area" localSheetId="170">研发项目可加计扣除研究开发费用情况归集表!$A$1:$D$79</definedName>
    <definedName name="_xlnm.Print_Area" localSheetId="6">业务约定!$A$1:$H$33</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4">应付!$A$1:$F$44</definedName>
    <definedName name="_xlnm.Print_Area" localSheetId="87">应收!$A$1:$F$42</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52511"/>
</workbook>
</file>

<file path=xl/calcChain.xml><?xml version="1.0" encoding="utf-8"?>
<calcChain xmlns="http://schemas.openxmlformats.org/spreadsheetml/2006/main">
  <c r="D10" i="121" l="1"/>
  <c r="D11" i="121"/>
  <c r="B38" i="4"/>
  <c r="D22" i="212" l="1"/>
  <c r="D7" i="213" l="1"/>
  <c r="D8" i="213"/>
  <c r="D9" i="213"/>
  <c r="D11" i="213"/>
  <c r="D12" i="213"/>
  <c r="D13" i="213"/>
  <c r="D14" i="213"/>
  <c r="D15" i="213"/>
  <c r="D16" i="213"/>
  <c r="D17" i="213"/>
  <c r="D18" i="213"/>
  <c r="D20" i="213"/>
  <c r="D21" i="213"/>
  <c r="D23" i="213"/>
  <c r="D22" i="213" s="1"/>
  <c r="D24" i="213"/>
  <c r="D25" i="213"/>
  <c r="D27" i="213"/>
  <c r="D26" i="213" s="1"/>
  <c r="D28" i="213"/>
  <c r="D29" i="213"/>
  <c r="D30" i="213"/>
  <c r="B32" i="213"/>
  <c r="D32" i="213"/>
  <c r="B33" i="213"/>
  <c r="D33" i="213"/>
  <c r="B34" i="213"/>
  <c r="D34" i="213"/>
  <c r="B35" i="213"/>
  <c r="D35" i="213"/>
  <c r="B36" i="213"/>
  <c r="D36" i="213"/>
  <c r="B37" i="213"/>
  <c r="D37" i="213"/>
  <c r="B38" i="213"/>
  <c r="D38" i="213"/>
  <c r="B39" i="213"/>
  <c r="D39" i="213"/>
  <c r="B40" i="213"/>
  <c r="D40" i="213"/>
  <c r="B41" i="213"/>
  <c r="D41" i="213"/>
  <c r="B42" i="213"/>
  <c r="D42" i="213"/>
  <c r="B43" i="213"/>
  <c r="D43" i="213"/>
  <c r="B44" i="213"/>
  <c r="D44" i="213"/>
  <c r="B45" i="213"/>
  <c r="D45" i="213"/>
  <c r="B46" i="213"/>
  <c r="D46" i="213"/>
  <c r="B47" i="213"/>
  <c r="D47" i="213"/>
  <c r="B48" i="213"/>
  <c r="D48" i="213"/>
  <c r="B49" i="213"/>
  <c r="D49" i="213"/>
  <c r="B50" i="213"/>
  <c r="D50" i="213"/>
  <c r="B51" i="213"/>
  <c r="D51" i="213"/>
  <c r="B52" i="213"/>
  <c r="D52" i="213"/>
  <c r="B53" i="213"/>
  <c r="D53" i="213"/>
  <c r="B54" i="213"/>
  <c r="D54" i="213"/>
  <c r="B55" i="213"/>
  <c r="D55" i="213"/>
  <c r="B56" i="213"/>
  <c r="D56" i="213"/>
  <c r="B57" i="213"/>
  <c r="D57" i="213"/>
  <c r="B58" i="213"/>
  <c r="D58" i="213"/>
  <c r="B59" i="213"/>
  <c r="D59" i="213"/>
  <c r="B60" i="213"/>
  <c r="D60" i="213"/>
  <c r="B61" i="213"/>
  <c r="D61" i="213"/>
  <c r="B62" i="213"/>
  <c r="D62" i="213"/>
  <c r="B63" i="213"/>
  <c r="D63" i="213"/>
  <c r="B64" i="213"/>
  <c r="D64" i="213"/>
  <c r="B65" i="213"/>
  <c r="D65" i="213"/>
  <c r="B66" i="213"/>
  <c r="D66" i="213"/>
  <c r="B67" i="213"/>
  <c r="D67" i="213"/>
  <c r="B68" i="213"/>
  <c r="D68" i="213"/>
  <c r="B69" i="213"/>
  <c r="D69" i="213"/>
  <c r="B70" i="213"/>
  <c r="D70" i="213"/>
  <c r="B71" i="213"/>
  <c r="D71" i="213"/>
  <c r="D72" i="213"/>
  <c r="D73" i="213"/>
  <c r="D76" i="213"/>
  <c r="D77" i="213"/>
  <c r="D78" i="213"/>
  <c r="D6" i="212"/>
  <c r="D10" i="212"/>
  <c r="D19" i="212"/>
  <c r="D26" i="212"/>
  <c r="D31" i="212"/>
  <c r="D79" i="212"/>
  <c r="T15" i="175" s="1"/>
  <c r="D74" i="212" l="1"/>
  <c r="D75" i="212" s="1"/>
  <c r="D6" i="213"/>
  <c r="D19" i="213"/>
  <c r="D10" i="213"/>
  <c r="D74" i="213" s="1"/>
  <c r="D75" i="213" s="1"/>
  <c r="D79" i="213"/>
  <c r="F48" i="119" s="1"/>
  <c r="D31" i="213"/>
  <c r="H24" i="209"/>
  <c r="H23" i="209"/>
  <c r="H22" i="209"/>
  <c r="H21" i="209"/>
  <c r="H20" i="209"/>
  <c r="H19" i="209"/>
  <c r="H18" i="209"/>
  <c r="H17" i="209"/>
  <c r="H16" i="209"/>
  <c r="D25" i="211" l="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H9" i="209"/>
  <c r="J9" i="209" s="1"/>
  <c r="H10" i="209"/>
  <c r="J10" i="209" s="1"/>
  <c r="H11" i="209"/>
  <c r="J11" i="209" s="1"/>
  <c r="H12" i="209"/>
  <c r="J12" i="209" s="1"/>
  <c r="H13" i="209"/>
  <c r="J13" i="209" s="1"/>
  <c r="H14" i="209"/>
  <c r="J14" i="209" s="1"/>
  <c r="J20" i="209"/>
  <c r="J19" i="209"/>
  <c r="J18" i="209"/>
  <c r="J17" i="209"/>
  <c r="J16" i="209"/>
  <c r="H8" i="209"/>
  <c r="J8" i="209" s="1"/>
  <c r="H7" i="209"/>
  <c r="J7" i="209" s="1"/>
  <c r="H6" i="209"/>
  <c r="F3" i="209"/>
  <c r="H2" i="209"/>
  <c r="F2" i="209"/>
  <c r="F8" i="51"/>
  <c r="F8" i="50"/>
  <c r="F24" i="44"/>
  <c r="F10" i="51"/>
  <c r="F7" i="51"/>
  <c r="F10" i="50"/>
  <c r="F7" i="50"/>
  <c r="F23" i="44"/>
  <c r="F25" i="44"/>
  <c r="B7" i="120"/>
  <c r="F38" i="44" l="1"/>
  <c r="F42" i="50"/>
  <c r="F42" i="51"/>
  <c r="H15" i="209"/>
  <c r="C26" i="209" s="1"/>
  <c r="H25" i="209"/>
  <c r="J6" i="209"/>
  <c r="M34" i="90" a="1"/>
  <c r="M34" i="90" s="1"/>
  <c r="M1" i="90" a="1"/>
  <c r="M1" i="90" s="1"/>
  <c r="C70" i="116" l="1"/>
  <c r="C71" i="116"/>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B14" i="137" l="1"/>
  <c r="C45" i="119"/>
  <c r="C44" i="119"/>
  <c r="C46" i="119"/>
  <c r="C47" i="119"/>
  <c r="C48"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12" i="121" l="1"/>
  <c r="G7" i="23"/>
  <c r="D37" i="23" l="1"/>
  <c r="D39" i="23" s="1"/>
  <c r="H5" i="23" s="1"/>
  <c r="H11" i="23" s="1"/>
  <c r="H19" i="23" s="1"/>
  <c r="H22" i="23" s="1"/>
  <c r="C37" i="23"/>
  <c r="D27" i="197" s="1"/>
  <c r="D25" i="22"/>
  <c r="D34" i="22" s="1"/>
  <c r="C25" i="22"/>
  <c r="C34" i="22" s="1"/>
  <c r="D19" i="22"/>
  <c r="C19" i="22"/>
  <c r="D35" i="22" l="1"/>
  <c r="C35" i="22"/>
  <c r="B9" i="120" s="1"/>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D39" i="50"/>
  <c r="D38" i="50"/>
  <c r="D37" i="50"/>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D10" i="52"/>
  <c r="D14" i="52"/>
  <c r="D6" i="52"/>
  <c r="X80" i="88"/>
  <c r="X81" i="88"/>
  <c r="X82" i="88"/>
  <c r="X83" i="88"/>
  <c r="X84" i="88"/>
  <c r="X85" i="88"/>
  <c r="X79" i="88"/>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7" i="51"/>
  <c r="D6" i="51"/>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7" i="52"/>
  <c r="H27" i="50"/>
  <c r="H28" i="50"/>
  <c r="H29" i="50"/>
  <c r="C7" i="127" s="1"/>
  <c r="H30" i="50"/>
  <c r="C8" i="127" s="1"/>
  <c r="H31" i="50"/>
  <c r="C11" i="127" s="1"/>
  <c r="H32" i="50"/>
  <c r="C14" i="127" s="1"/>
  <c r="H41" i="51"/>
  <c r="E24" i="127" s="1"/>
  <c r="H42" i="51"/>
  <c r="H34" i="51"/>
  <c r="E17" i="127" s="1"/>
  <c r="H35" i="51"/>
  <c r="E18" i="127" s="1"/>
  <c r="H36" i="51"/>
  <c r="E19" i="127" s="1"/>
  <c r="H37" i="51"/>
  <c r="E20" i="127" s="1"/>
  <c r="H38" i="51"/>
  <c r="E21" i="127" s="1"/>
  <c r="C36" i="116" l="1"/>
  <c r="C28" i="52"/>
  <c r="C45" i="51"/>
  <c r="C35" i="116"/>
  <c r="D16" i="127"/>
  <c r="D30" i="127" s="1"/>
  <c r="F30" i="127"/>
  <c r="H26" i="127"/>
  <c r="H27" i="127"/>
  <c r="H30" i="127" l="1"/>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48"/>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48"/>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R8" i="158" s="1"/>
  <c r="O9" i="185"/>
  <c r="O9" i="158" s="1"/>
  <c r="P9" i="185"/>
  <c r="P9" i="158" s="1"/>
  <c r="Q9" i="185"/>
  <c r="Q9" i="158" s="1"/>
  <c r="R9" i="185"/>
  <c r="R9" i="158" s="1"/>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P6" i="158" s="1"/>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C9" i="158"/>
  <c r="D9" i="158"/>
  <c r="E9" i="158"/>
  <c r="F9" i="158"/>
  <c r="G9" i="158"/>
  <c r="I9" i="158"/>
  <c r="J9" i="158"/>
  <c r="K9" i="158"/>
  <c r="L9" i="158"/>
  <c r="M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N6" i="156" s="1"/>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F15" i="156" s="1"/>
  <c r="G15" i="183"/>
  <c r="G15" i="156" s="1"/>
  <c r="H15" i="183"/>
  <c r="H15" i="156" s="1"/>
  <c r="I15" i="183"/>
  <c r="I15" i="156" s="1"/>
  <c r="K15" i="183"/>
  <c r="K15" i="156" s="1"/>
  <c r="L15" i="183"/>
  <c r="L15" i="156" s="1"/>
  <c r="M15" i="183"/>
  <c r="M15" i="156" s="1"/>
  <c r="P15" i="183"/>
  <c r="P15" i="156" s="1"/>
  <c r="Q15" i="183"/>
  <c r="Q15" i="156" s="1"/>
  <c r="R15" i="183"/>
  <c r="R15" i="156" s="1"/>
  <c r="C15" i="183"/>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P6" i="156"/>
  <c r="Q6" i="156"/>
  <c r="R6" i="156"/>
  <c r="B6" i="156"/>
  <c r="S7" i="182"/>
  <c r="S7" i="155" s="1"/>
  <c r="S8" i="182"/>
  <c r="S8" i="155" s="1"/>
  <c r="S9" i="182"/>
  <c r="S9" i="155" s="1"/>
  <c r="S10" i="182"/>
  <c r="S10" i="155" s="1"/>
  <c r="S11" i="182"/>
  <c r="S11" i="155" s="1"/>
  <c r="S12" i="182"/>
  <c r="S12" i="155" s="1"/>
  <c r="S13" i="182"/>
  <c r="S13" i="155" s="1"/>
  <c r="S14" i="182"/>
  <c r="S14" i="155" s="1"/>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12" i="182"/>
  <c r="K12" i="155" s="1"/>
  <c r="K13" i="182"/>
  <c r="K13" i="155" s="1"/>
  <c r="E7" i="182"/>
  <c r="E7" i="155" s="1"/>
  <c r="E8" i="182"/>
  <c r="E8" i="155" s="1"/>
  <c r="E9" i="182"/>
  <c r="E9" i="155" s="1"/>
  <c r="E10" i="182"/>
  <c r="E10" i="155" s="1"/>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G10" i="155"/>
  <c r="I10" i="155"/>
  <c r="L10" i="155"/>
  <c r="P10" i="155"/>
  <c r="Q10" i="155"/>
  <c r="R10" i="155"/>
  <c r="G11" i="155"/>
  <c r="I11" i="155"/>
  <c r="L11" i="155"/>
  <c r="P11" i="155"/>
  <c r="Q11" i="155"/>
  <c r="R11" i="155"/>
  <c r="G12" i="155"/>
  <c r="I12" i="155"/>
  <c r="L12" i="155"/>
  <c r="P12" i="155"/>
  <c r="Q12" i="155"/>
  <c r="R12" i="155"/>
  <c r="G13" i="155"/>
  <c r="I13" i="155"/>
  <c r="L13" i="155"/>
  <c r="P13" i="155"/>
  <c r="Q13" i="155"/>
  <c r="R13" i="155"/>
  <c r="G14" i="155"/>
  <c r="I14" i="155"/>
  <c r="L14" i="155"/>
  <c r="P14" i="155"/>
  <c r="Q14" i="155"/>
  <c r="R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K7" i="182" l="1"/>
  <c r="M7" i="182" s="1"/>
  <c r="M26" i="90" a="1"/>
  <c r="M26" i="90" s="1"/>
  <c r="K6" i="182"/>
  <c r="K6" i="155" s="1"/>
  <c r="K11" i="182"/>
  <c r="N9" i="145"/>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48"/>
  <c r="F31" i="119" s="1"/>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F18" i="184"/>
  <c r="F18" i="157" s="1"/>
  <c r="Q15" i="185"/>
  <c r="Q15" i="158" s="1"/>
  <c r="C14" i="136"/>
  <c r="O11" i="156"/>
  <c r="G25" i="167"/>
  <c r="K14" i="136"/>
  <c r="S8" i="185"/>
  <c r="S8" i="158" s="1"/>
  <c r="E15" i="182"/>
  <c r="E15" i="155" s="1"/>
  <c r="M12" i="182"/>
  <c r="S12" i="185" s="1"/>
  <c r="S12" i="158" s="1"/>
  <c r="M6" i="182"/>
  <c r="S6" i="185" s="1"/>
  <c r="S7" i="185"/>
  <c r="T7" i="185" s="1"/>
  <c r="T7" i="158" s="1"/>
  <c r="C10" i="181"/>
  <c r="C8" i="159"/>
  <c r="O14" i="158"/>
  <c r="O10" i="158"/>
  <c r="O8" i="158"/>
  <c r="D11" i="182"/>
  <c r="D7" i="182"/>
  <c r="M7" i="155"/>
  <c r="N7" i="182"/>
  <c r="K7" i="155"/>
  <c r="M13" i="182"/>
  <c r="S13" i="185" s="1"/>
  <c r="J15" i="183"/>
  <c r="J15" i="156" s="1"/>
  <c r="O25" i="30"/>
  <c r="F16" i="28"/>
  <c r="G31" i="119" l="1"/>
  <c r="C31" i="119"/>
  <c r="M9" i="182"/>
  <c r="S9" i="185" s="1"/>
  <c r="K8" i="155"/>
  <c r="H44" i="176"/>
  <c r="H44" i="149" s="1"/>
  <c r="F32" i="119" s="1"/>
  <c r="M11" i="182"/>
  <c r="K11" i="155"/>
  <c r="M33" i="90"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C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S13" i="158"/>
  <c r="T13" i="185"/>
  <c r="T13" i="158" s="1"/>
  <c r="N6" i="182"/>
  <c r="M6" i="155"/>
  <c r="T12" i="185"/>
  <c r="T12" i="158" s="1"/>
  <c r="S9" i="158"/>
  <c r="T9" i="185"/>
  <c r="T9" i="158" s="1"/>
  <c r="T6" i="185"/>
  <c r="S6" i="158"/>
  <c r="C10" i="154"/>
  <c r="C9" i="181"/>
  <c r="D11" i="155"/>
  <c r="F11" i="182"/>
  <c r="D7" i="155"/>
  <c r="F7" i="182"/>
  <c r="N14" i="155"/>
  <c r="N13" i="182"/>
  <c r="M13" i="155"/>
  <c r="N7" i="155"/>
  <c r="O7"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D28" i="136"/>
  <c r="K28" i="136" s="1"/>
  <c r="D25" i="136"/>
  <c r="C26" i="136"/>
  <c r="C27" i="136"/>
  <c r="C28" i="136"/>
  <c r="C25" i="136"/>
  <c r="O11" i="30"/>
  <c r="K11" i="30"/>
  <c r="E28" i="136" s="1"/>
  <c r="E11" i="30"/>
  <c r="F28" i="136" s="1"/>
  <c r="J24" i="136"/>
  <c r="N11" i="182" l="1"/>
  <c r="M11" i="155"/>
  <c r="S11" i="185"/>
  <c r="K27" i="136"/>
  <c r="S14" i="185"/>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S11" i="158" l="1"/>
  <c r="T11" i="185"/>
  <c r="T11" i="158" s="1"/>
  <c r="N11" i="155"/>
  <c r="O11" i="182"/>
  <c r="M40" i="90"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D37" i="128"/>
  <c r="E42" i="128"/>
  <c r="F75" i="197" s="1"/>
  <c r="T11" i="182" l="1"/>
  <c r="T11" i="155" s="1"/>
  <c r="O11" i="155"/>
  <c r="E18" i="138"/>
  <c r="F21" i="119" s="1"/>
  <c r="C21" i="119" s="1"/>
  <c r="M23" i="90" a="1"/>
  <c r="M23" i="90" s="1"/>
  <c r="T15" i="185"/>
  <c r="E104" i="197"/>
  <c r="E69" i="197"/>
  <c r="G21" i="119"/>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G29" i="127" s="1"/>
  <c r="H13" i="52"/>
  <c r="H12" i="52"/>
  <c r="H11" i="52"/>
  <c r="H10" i="52"/>
  <c r="G28" i="127" s="1"/>
  <c r="H9" i="52"/>
  <c r="G27" i="127" s="1"/>
  <c r="H8" i="52"/>
  <c r="H7" i="52"/>
  <c r="H6" i="52"/>
  <c r="G11" i="127" s="1"/>
  <c r="H3" i="52"/>
  <c r="H43" i="51"/>
  <c r="H40" i="51"/>
  <c r="E23" i="127" s="1"/>
  <c r="H39" i="51"/>
  <c r="E22" i="127" s="1"/>
  <c r="H33" i="51"/>
  <c r="E15" i="127" s="1"/>
  <c r="H32" i="51"/>
  <c r="E14" i="127" s="1"/>
  <c r="H31" i="51"/>
  <c r="E11" i="127" s="1"/>
  <c r="D20" i="39" s="1"/>
  <c r="H30" i="51"/>
  <c r="E8" i="127" s="1"/>
  <c r="H29" i="51"/>
  <c r="E7" i="127" s="1"/>
  <c r="H28" i="51"/>
  <c r="H27" i="51"/>
  <c r="H26" i="51"/>
  <c r="H25" i="51"/>
  <c r="H24" i="51"/>
  <c r="H23" i="51"/>
  <c r="H22" i="51"/>
  <c r="H21" i="51"/>
  <c r="H20" i="51"/>
  <c r="H19" i="51"/>
  <c r="E13" i="127" s="1"/>
  <c r="H18" i="51"/>
  <c r="H17" i="51"/>
  <c r="C24" i="31" s="1"/>
  <c r="H16" i="51"/>
  <c r="H15" i="51"/>
  <c r="H14" i="51"/>
  <c r="H13" i="51"/>
  <c r="C27" i="31" s="1"/>
  <c r="H12" i="51"/>
  <c r="H11" i="51"/>
  <c r="H10" i="51"/>
  <c r="H9" i="51"/>
  <c r="G10" i="26" s="1"/>
  <c r="H8" i="51"/>
  <c r="F10" i="26" s="1"/>
  <c r="H7" i="51"/>
  <c r="E10" i="26" s="1"/>
  <c r="H6" i="51"/>
  <c r="E6" i="127" s="1"/>
  <c r="H3" i="51"/>
  <c r="D46" i="50"/>
  <c r="H43" i="50"/>
  <c r="H42" i="50"/>
  <c r="H41" i="50"/>
  <c r="C24" i="127" s="1"/>
  <c r="H40" i="50"/>
  <c r="C23" i="127" s="1"/>
  <c r="H39" i="50"/>
  <c r="C22" i="127" s="1"/>
  <c r="H38" i="50"/>
  <c r="C21" i="127" s="1"/>
  <c r="H37" i="50"/>
  <c r="C20" i="127" s="1"/>
  <c r="H36" i="50"/>
  <c r="C19" i="127" s="1"/>
  <c r="H35" i="50"/>
  <c r="C18" i="127" s="1"/>
  <c r="H34" i="50"/>
  <c r="C17" i="127" s="1"/>
  <c r="H33" i="50"/>
  <c r="C15" i="127" s="1"/>
  <c r="H26" i="50"/>
  <c r="H25" i="50"/>
  <c r="C25" i="127" s="1"/>
  <c r="H24" i="50"/>
  <c r="H23" i="50"/>
  <c r="H22" i="50"/>
  <c r="H21" i="50"/>
  <c r="H20" i="50"/>
  <c r="H19" i="50"/>
  <c r="C13" i="127" s="1"/>
  <c r="H18" i="50"/>
  <c r="H17" i="50"/>
  <c r="E24" i="31" s="1"/>
  <c r="H16" i="50"/>
  <c r="H15" i="50"/>
  <c r="H14" i="50"/>
  <c r="H13" i="50"/>
  <c r="E27" i="31" s="1"/>
  <c r="H12" i="50"/>
  <c r="H11" i="50"/>
  <c r="H10" i="50"/>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11" i="188"/>
  <c r="H19" i="188"/>
  <c r="H5" i="188"/>
  <c r="H15" i="188"/>
  <c r="H28" i="188"/>
  <c r="H27" i="188"/>
  <c r="H26" i="188"/>
  <c r="H24" i="188"/>
  <c r="H18" i="188"/>
  <c r="H17" i="188"/>
  <c r="H4" i="188"/>
  <c r="H22" i="188"/>
  <c r="H23" i="188"/>
  <c r="H12" i="188"/>
  <c r="H16" i="188"/>
  <c r="H2" i="188"/>
  <c r="H9" i="188"/>
  <c r="H8" i="188"/>
  <c r="H20" i="188"/>
  <c r="H25" i="188"/>
  <c r="H3" i="188"/>
  <c r="H13" i="188"/>
  <c r="H7" i="188"/>
  <c r="H14" i="188"/>
  <c r="H21" i="188"/>
  <c r="H10" i="188"/>
  <c r="H6" i="188"/>
  <c r="F17" i="34" l="1"/>
  <c r="C29" i="127"/>
  <c r="D29" i="28"/>
  <c r="C12" i="127"/>
  <c r="E9" i="27"/>
  <c r="E9" i="127"/>
  <c r="E12" i="128"/>
  <c r="B21" i="36"/>
  <c r="C16" i="127"/>
  <c r="E27" i="33"/>
  <c r="E10" i="127"/>
  <c r="C21" i="35"/>
  <c r="J21" i="35" s="1"/>
  <c r="G26" i="127"/>
  <c r="C6" i="127"/>
  <c r="E8" i="27"/>
  <c r="J8" i="27" s="1"/>
  <c r="C9" i="127"/>
  <c r="D17" i="34"/>
  <c r="E29" i="127"/>
  <c r="E29" i="28"/>
  <c r="E12" i="127"/>
  <c r="D27" i="33"/>
  <c r="C10" i="127"/>
  <c r="D21" i="36"/>
  <c r="E16" i="127"/>
  <c r="E25" i="127"/>
  <c r="E4" i="161"/>
  <c r="I3" i="211"/>
  <c r="H3" i="209"/>
  <c r="M9" i="90" a="1"/>
  <c r="M9" i="90" s="1"/>
  <c r="D19" i="45"/>
  <c r="D25" i="45" s="1"/>
  <c r="D40" i="45" s="1"/>
  <c r="C6" i="130"/>
  <c r="C20" i="122"/>
  <c r="T15" i="158"/>
  <c r="M42" i="90" a="1"/>
  <c r="M42" i="90" s="1"/>
  <c r="M12" i="90" a="1"/>
  <c r="M12" i="90" s="1"/>
  <c r="E6" i="131"/>
  <c r="N7" i="132"/>
  <c r="M21" i="90" a="1"/>
  <c r="M21" i="90" s="1"/>
  <c r="C9" i="26"/>
  <c r="C6" i="135"/>
  <c r="C25" i="135" s="1"/>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F12" i="128" s="1"/>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A12" i="28"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A11" i="28"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A9" i="28"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B8" i="120"/>
  <c r="F10" i="119" l="1"/>
  <c r="A8" i="28"/>
  <c r="J7" i="136" s="1"/>
  <c r="G10" i="136"/>
  <c r="J10" i="136"/>
  <c r="G11" i="136"/>
  <c r="J11" i="136"/>
  <c r="G8" i="136"/>
  <c r="J8" i="136"/>
  <c r="M28" i="90" a="1"/>
  <c r="M28" i="90" s="1"/>
  <c r="M11" i="163"/>
  <c r="M11" i="131" s="1"/>
  <c r="M49" i="90" a="1"/>
  <c r="M49" i="90" s="1"/>
  <c r="M2" i="90" a="1"/>
  <c r="M2" i="90" s="1"/>
  <c r="M63" i="90" a="1"/>
  <c r="M63" i="90" s="1"/>
  <c r="C14" i="26"/>
  <c r="C16" i="26" s="1"/>
  <c r="C5" i="133" s="1"/>
  <c r="B6" i="17"/>
  <c r="M61" i="90" a="1"/>
  <c r="M61" i="90" s="1"/>
  <c r="B9" i="10"/>
  <c r="B7" i="10"/>
  <c r="M7" i="163"/>
  <c r="M7" i="131" s="1"/>
  <c r="M13" i="90" a="1"/>
  <c r="M13" i="90" s="1"/>
  <c r="M51" i="90" a="1"/>
  <c r="M51" i="90" s="1"/>
  <c r="G7" i="136"/>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D36" i="197"/>
  <c r="D89" i="197"/>
  <c r="J3" i="178"/>
  <c r="I3" i="178"/>
  <c r="D95" i="197"/>
  <c r="D44" i="197"/>
  <c r="F105" i="197"/>
  <c r="F72" i="197"/>
  <c r="E86" i="197"/>
  <c r="E33" i="197"/>
  <c r="A5" i="17"/>
  <c r="F2" i="178"/>
  <c r="H13" i="65"/>
  <c r="M72" i="90" s="1" a="1"/>
  <c r="M72" i="90" s="1"/>
  <c r="B122" i="197"/>
  <c r="A4" i="197"/>
  <c r="E109" i="197"/>
  <c r="E76" i="197"/>
  <c r="E29" i="65"/>
  <c r="C26" i="65"/>
  <c r="K21" i="196"/>
  <c r="H21" i="196"/>
  <c r="F13" i="128"/>
  <c r="M14" i="163"/>
  <c r="M14" i="131" s="1"/>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A10" i="28"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A15" i="197" s="1"/>
  <c r="G4" i="19"/>
  <c r="F4" i="12"/>
  <c r="D4" i="9"/>
  <c r="D13" i="2"/>
  <c r="C8" i="133"/>
  <c r="C8" i="208" l="1"/>
  <c r="G10" i="119"/>
  <c r="C10" i="119"/>
  <c r="G9" i="136"/>
  <c r="J9" i="136"/>
  <c r="J6" i="136" s="1"/>
  <c r="J32" i="136" s="1"/>
  <c r="M67" i="90"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C32" i="136" s="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J24" i="33"/>
  <c r="C6" i="134" s="1"/>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G5" i="133" s="1"/>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F20" i="128" l="1"/>
  <c r="F94" i="197" s="1"/>
  <c r="F17" i="119"/>
  <c r="G17" i="119" s="1"/>
  <c r="E20" i="128"/>
  <c r="F42" i="197" s="1"/>
  <c r="D33" i="128"/>
  <c r="E33" i="128" s="1"/>
  <c r="E99" i="197"/>
  <c r="F67" i="197"/>
  <c r="D21" i="128"/>
  <c r="E43" i="197" s="1"/>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D18" i="34"/>
  <c r="E25" i="128"/>
  <c r="F47" i="197" s="1"/>
  <c r="F82" i="197" s="1"/>
  <c r="C29" i="197" s="1"/>
  <c r="D119" i="197" s="1"/>
  <c r="C19" i="116" l="1"/>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M44" i="90" a="1"/>
  <c r="M44" i="90" s="1"/>
  <c r="G43" i="119"/>
  <c r="C43" i="119"/>
  <c r="H23" i="187"/>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H5" i="178" s="1"/>
  <c r="G45" i="195" l="1"/>
  <c r="H4" i="178"/>
  <c r="D23" i="6"/>
  <c r="D28" i="121"/>
  <c r="G47" i="195" s="1"/>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shapeId="0">
      <text>
        <r>
          <rPr>
            <b/>
            <sz val="9"/>
            <color indexed="81"/>
            <rFont val="宋体"/>
            <family val="3"/>
            <charset val="134"/>
          </rPr>
          <t>Tips:</t>
        </r>
        <r>
          <rPr>
            <sz val="9"/>
            <color indexed="81"/>
            <rFont val="宋体"/>
            <family val="3"/>
            <charset val="134"/>
          </rPr>
          <t xml:space="preserve">
国税登录用户名</t>
        </r>
      </text>
    </comment>
    <comment ref="D49" authorId="0" shapeId="0">
      <text>
        <r>
          <rPr>
            <b/>
            <sz val="9"/>
            <color indexed="81"/>
            <rFont val="宋体"/>
            <family val="3"/>
            <charset val="134"/>
          </rPr>
          <t>Tips:</t>
        </r>
        <r>
          <rPr>
            <sz val="9"/>
            <color indexed="81"/>
            <rFont val="宋体"/>
            <family val="3"/>
            <charset val="134"/>
          </rPr>
          <t xml:space="preserve">
国税登录密码</t>
        </r>
      </text>
    </comment>
    <comment ref="B50" authorId="0" shapeId="0">
      <text>
        <r>
          <rPr>
            <b/>
            <sz val="9"/>
            <color indexed="81"/>
            <rFont val="宋体"/>
            <family val="3"/>
            <charset val="134"/>
          </rPr>
          <t>Tips:</t>
        </r>
        <r>
          <rPr>
            <sz val="9"/>
            <color indexed="81"/>
            <rFont val="宋体"/>
            <family val="3"/>
            <charset val="134"/>
          </rPr>
          <t xml:space="preserve">
地税登录用户名</t>
        </r>
      </text>
    </comment>
    <comment ref="D50" authorId="0" shape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shape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<sst xmlns="http://schemas.openxmlformats.org/spreadsheetml/2006/main" count="15096" uniqueCount="10296">
  <si>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</si>
  <si>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</si>
  <si>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</si>
  <si>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</si>
  <si>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</si>
  <si>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</si>
  <si>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</si>
  <si>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</si>
  <si>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</si>
  <si>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</si>
  <si>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</si>
  <si>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</si>
  <si>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</si>
  <si>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</si>
  <si>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</si>
  <si>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</si>
  <si>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</si>
  <si>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</si>
  <si>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</si>
  <si>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</si>
  <si>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</si>
  <si>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</si>
  <si>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</si>
  <si>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</si>
  <si>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</si>
  <si>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</si>
  <si>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</si>
  <si>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</si>
  <si>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</si>
  <si>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</si>
  <si>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</si>
  <si>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</si>
  <si>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</si>
  <si>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</si>
  <si>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</si>
  <si>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</si>
  <si>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</si>
  <si>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</si>
  <si>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</si>
  <si>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</si>
  <si>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</si>
  <si>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</si>
  <si>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</si>
  <si>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</si>
  <si>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</si>
  <si>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</si>
  <si>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</si>
  <si>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</si>
  <si>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</si>
  <si>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</si>
  <si>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</si>
  <si>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</si>
  <si>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</si>
  <si>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</si>
  <si>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</si>
  <si>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</si>
  <si>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</si>
  <si>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</si>
  <si>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</si>
  <si>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</si>
  <si>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</si>
  <si>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</si>
  <si>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</si>
  <si>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</si>
  <si>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</si>
  <si>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</si>
  <si>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</si>
  <si>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</si>
  <si>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</si>
  <si>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</si>
  <si>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</si>
  <si>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</si>
  <si>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</si>
  <si>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</si>
  <si>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</si>
  <si>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</si>
  <si>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</si>
  <si>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</si>
  <si>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</si>
  <si>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</si>
  <si>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</si>
  <si>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</si>
  <si>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</si>
  <si>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</si>
  <si>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</si>
  <si>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</si>
  <si>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</si>
  <si>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</si>
  <si>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</si>
  <si>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</si>
  <si>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</si>
  <si>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</si>
  <si>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</si>
  <si>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</si>
  <si>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</si>
  <si>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</si>
  <si>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</si>
  <si>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</si>
  <si>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</si>
  <si>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</si>
  <si>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</si>
  <si>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</si>
  <si>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</si>
  <si>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</si>
  <si>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</si>
  <si>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</si>
  <si>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</si>
  <si>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</si>
  <si>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</si>
  <si>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</si>
  <si>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</si>
  <si>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</si>
  <si>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</si>
  <si>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</si>
  <si>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</si>
  <si>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</si>
  <si>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</si>
  <si>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</si>
  <si>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</si>
  <si>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</si>
  <si>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</si>
  <si>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</si>
  <si>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</si>
  <si>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</si>
  <si>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</si>
  <si>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</si>
  <si>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</si>
  <si>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</si>
  <si>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</si>
  <si>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</si>
  <si>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</si>
  <si>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</si>
  <si>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</si>
  <si>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</si>
  <si>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</si>
  <si>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</si>
  <si>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</si>
  <si>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</si>
  <si>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</si>
  <si>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</si>
  <si>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</si>
  <si>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</si>
  <si>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</si>
  <si>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</si>
  <si>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</si>
  <si>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</si>
  <si>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</si>
  <si>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</si>
  <si>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</si>
  <si>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</si>
  <si>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</si>
  <si>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</si>
  <si>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</si>
  <si>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</si>
  <si>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</si>
  <si>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</si>
  <si>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</si>
  <si>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</si>
  <si>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</si>
  <si>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</si>
  <si>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</si>
  <si>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</si>
  <si>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</si>
  <si>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</si>
  <si>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</si>
  <si>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</si>
  <si>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</si>
  <si>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</si>
  <si>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</si>
  <si>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</si>
  <si>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</si>
  <si>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</si>
  <si>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</si>
  <si>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</si>
  <si>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</si>
  <si>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</si>
  <si>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</si>
  <si>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</si>
  <si>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</si>
  <si>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</si>
  <si>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</si>
  <si>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</si>
  <si>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</si>
  <si>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</si>
  <si>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</si>
  <si>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</si>
  <si>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</si>
  <si>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</si>
  <si>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</si>
  <si>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</si>
  <si>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</si>
  <si>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</si>
  <si>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</si>
  <si>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</si>
  <si>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</si>
  <si>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</si>
  <si>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</si>
  <si>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</si>
  <si>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</si>
  <si>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</si>
  <si>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</si>
  <si>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</si>
  <si>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</si>
  <si>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</si>
  <si>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</si>
  <si>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</si>
  <si>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</si>
  <si>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</si>
  <si>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</si>
  <si>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</si>
  <si>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</si>
  <si>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</si>
  <si>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</si>
  <si>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</si>
  <si>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</si>
  <si>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</si>
  <si>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</si>
  <si>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</si>
  <si>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</si>
  <si>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</si>
  <si>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</si>
  <si>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</si>
  <si>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</si>
  <si>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</si>
  <si>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</si>
  <si>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</si>
  <si>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</si>
  <si>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</si>
  <si>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</si>
  <si>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</si>
  <si>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</si>
  <si>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</si>
  <si>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</si>
  <si>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</si>
  <si>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</si>
  <si>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</si>
  <si>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</si>
  <si>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</si>
  <si>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</si>
  <si>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</si>
  <si>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</si>
  <si>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</si>
  <si>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</si>
  <si>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</si>
  <si>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</si>
  <si>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</si>
  <si>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</si>
  <si>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</si>
  <si>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</si>
  <si>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</si>
  <si>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</si>
  <si>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</si>
  <si>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</si>
  <si>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</si>
  <si>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</si>
  <si>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</si>
  <si>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</si>
  <si>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</si>
  <si>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</si>
  <si>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</si>
  <si>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</si>
  <si>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</si>
  <si>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</si>
  <si>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</si>
  <si>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</si>
  <si>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</si>
  <si>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</si>
  <si>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</si>
  <si>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</si>
  <si>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</si>
  <si>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</si>
  <si>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</si>
  <si>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</si>
  <si>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</si>
  <si>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</si>
  <si>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</si>
  <si>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</si>
  <si>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</si>
  <si>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</si>
  <si>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</si>
  <si>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</si>
  <si>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</si>
  <si>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</si>
  <si>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</si>
  <si>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</si>
  <si>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</si>
  <si>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</si>
  <si>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</si>
  <si>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</si>
  <si>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</si>
  <si>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</si>
  <si>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</si>
  <si>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</si>
  <si>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</si>
  <si>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</si>
  <si>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</si>
  <si>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</si>
  <si>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</si>
  <si>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</si>
  <si>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</si>
  <si>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</si>
  <si>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</si>
  <si>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</si>
  <si>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</si>
  <si>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</si>
  <si>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</si>
  <si>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</si>
  <si>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</si>
  <si>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</si>
  <si>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</si>
  <si>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</si>
  <si>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</si>
  <si>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</si>
  <si>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</si>
  <si>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</si>
  <si>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</si>
  <si>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</si>
  <si>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</si>
  <si>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</si>
  <si>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</si>
  <si>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</si>
  <si>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</si>
  <si>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</si>
  <si>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</si>
  <si>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</si>
  <si>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</si>
  <si>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</si>
  <si>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</si>
  <si>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</si>
  <si>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</si>
  <si>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</si>
  <si>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</si>
  <si>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</si>
  <si>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</si>
  <si>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</si>
  <si>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</si>
  <si>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</si>
  <si>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</si>
  <si>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</si>
  <si>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</si>
  <si>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</si>
  <si>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</si>
  <si>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</si>
  <si>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</si>
  <si>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</si>
  <si>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</si>
  <si>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</si>
  <si>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</si>
  <si>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</si>
  <si>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</si>
  <si>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</si>
  <si>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</si>
  <si>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</si>
  <si>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</si>
  <si>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</si>
  <si>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</si>
  <si>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</si>
  <si>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</si>
  <si>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</si>
  <si>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</si>
  <si>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</si>
  <si>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</si>
  <si>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</si>
  <si>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</si>
  <si>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</si>
  <si>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</si>
  <si>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</si>
  <si>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</si>
  <si>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</si>
  <si>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</si>
  <si>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</si>
  <si>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</si>
  <si>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</si>
  <si>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</si>
  <si>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</si>
  <si>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</si>
  <si>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</si>
  <si>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</si>
  <si>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</si>
  <si>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</si>
  <si>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</si>
  <si>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</si>
  <si>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</si>
  <si>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</si>
  <si>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</si>
  <si>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</si>
  <si>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</si>
  <si>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</si>
  <si>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</si>
  <si>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</si>
  <si>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</si>
  <si>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</si>
  <si>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</si>
  <si>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</si>
  <si>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</si>
  <si>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</si>
  <si>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</si>
  <si>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</si>
  <si>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</si>
  <si>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</si>
  <si>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</si>
  <si>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</si>
  <si>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</si>
  <si>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</si>
  <si>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</si>
  <si>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</si>
  <si>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</si>
  <si>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</si>
  <si>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</si>
  <si>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</si>
  <si>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</si>
  <si>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</si>
  <si>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</si>
  <si>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</si>
  <si>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</si>
  <si>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</si>
  <si>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</si>
  <si>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</si>
  <si>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</si>
  <si>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</si>
  <si>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</si>
  <si>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</si>
  <si>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</si>
  <si>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</si>
  <si>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</si>
  <si>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</si>
  <si>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</si>
  <si>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</si>
  <si>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</si>
  <si>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</si>
  <si>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</si>
  <si>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</si>
  <si>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</si>
  <si>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</si>
  <si>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</si>
  <si>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</si>
  <si>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</si>
  <si>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</si>
  <si>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</si>
  <si>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</si>
  <si>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</si>
  <si>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</si>
  <si>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</si>
  <si>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</si>
  <si>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</si>
  <si>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</si>
  <si>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</si>
  <si>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</si>
  <si>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</si>
  <si>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</si>
  <si>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</si>
  <si>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</si>
  <si>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</si>
  <si>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</si>
  <si>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</si>
  <si>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</si>
  <si>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</si>
  <si>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</si>
  <si>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</si>
  <si>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</si>
  <si>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</si>
  <si>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</si>
  <si>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</si>
  <si>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</si>
  <si>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</si>
  <si>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</si>
  <si>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</si>
  <si>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</si>
  <si>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</si>
  <si>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</si>
  <si>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</si>
  <si>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</si>
  <si>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</si>
  <si>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</si>
  <si>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</si>
  <si>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</si>
  <si>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</si>
  <si>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</si>
  <si>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</si>
  <si>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</si>
  <si>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</si>
  <si>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</si>
  <si>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</si>
  <si>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</si>
  <si>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</si>
  <si>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</si>
  <si>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</si>
  <si>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</si>
  <si>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</si>
  <si>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</si>
  <si>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</si>
  <si>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</si>
  <si>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</si>
  <si>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</si>
  <si>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</si>
  <si>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</si>
  <si>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</si>
  <si>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</si>
  <si>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</si>
  <si>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</si>
  <si>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</si>
  <si>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</si>
  <si>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</si>
  <si>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</si>
  <si>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</si>
  <si>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</si>
  <si>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</si>
  <si>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</si>
  <si>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</si>
  <si>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</si>
  <si>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</si>
  <si>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</si>
  <si>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</si>
  <si>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</si>
  <si>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</si>
  <si>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</si>
  <si>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</si>
  <si>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</si>
  <si>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</si>
  <si>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</si>
  <si>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</si>
  <si>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</si>
  <si>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</si>
  <si>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</si>
  <si>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</si>
  <si>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</si>
  <si>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</si>
  <si>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</si>
  <si>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</si>
  <si>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</si>
  <si>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</si>
  <si>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</si>
  <si>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</si>
  <si>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</si>
  <si>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</si>
  <si>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</si>
  <si>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</si>
  <si>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</si>
  <si>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</si>
  <si>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</si>
  <si>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</si>
  <si>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</si>
  <si>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</si>
  <si>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</si>
  <si>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</si>
  <si>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</si>
  <si>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</si>
  <si>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</si>
  <si>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</si>
  <si>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</si>
  <si>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</si>
  <si>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</si>
  <si>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</si>
  <si>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</si>
  <si>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</si>
  <si>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</si>
  <si>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</si>
  <si>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</si>
  <si>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</si>
  <si>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</si>
  <si>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</si>
  <si>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</si>
  <si>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</si>
  <si>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</si>
  <si>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</si>
  <si>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</si>
  <si>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</si>
  <si>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</si>
  <si>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</si>
  <si>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</si>
  <si>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</si>
  <si>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</si>
  <si>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</si>
  <si>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</si>
  <si>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</si>
  <si>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</si>
  <si>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</si>
  <si>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</si>
  <si>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</si>
  <si>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</si>
  <si>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</si>
  <si>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</si>
  <si>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</si>
  <si>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</si>
  <si>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</si>
  <si>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</si>
  <si>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</si>
  <si>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</si>
  <si>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</si>
  <si>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</si>
  <si>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</si>
  <si>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</si>
  <si>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</si>
  <si>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</si>
  <si>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</si>
  <si>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</si>
  <si>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</si>
  <si>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</si>
  <si>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</si>
  <si>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</si>
  <si>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</si>
  <si>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</si>
  <si>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</si>
  <si>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</si>
  <si>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</si>
  <si>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</si>
  <si>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</si>
  <si>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</si>
  <si>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</si>
  <si>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</si>
  <si>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</si>
  <si>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</si>
  <si>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</si>
  <si>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</si>
  <si>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</si>
  <si>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</si>
  <si>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</si>
  <si>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</si>
  <si>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</si>
  <si>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</si>
  <si>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</si>
  <si>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</si>
  <si>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</si>
  <si>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</si>
  <si>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</si>
  <si>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</si>
  <si>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</si>
  <si>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</si>
  <si>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</si>
  <si>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</si>
  <si>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</si>
  <si>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</si>
  <si>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</si>
  <si>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</si>
  <si>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</si>
  <si>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</si>
  <si>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</si>
  <si>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</si>
  <si>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</si>
  <si>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</si>
  <si>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</si>
  <si>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</si>
  <si>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</si>
  <si>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</si>
  <si>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</si>
  <si>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</si>
  <si>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</si>
  <si>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</si>
  <si>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</si>
  <si>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</si>
  <si>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</si>
  <si>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</si>
  <si>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</si>
  <si>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</si>
  <si>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</si>
  <si>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</si>
  <si>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</si>
  <si>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</si>
  <si>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</si>
  <si>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</si>
  <si>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</si>
  <si>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</si>
  <si>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</si>
  <si>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</si>
  <si>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</si>
  <si>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</si>
  <si>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</si>
  <si>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</si>
  <si>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</si>
  <si>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</si>
  <si>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</si>
  <si>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</si>
  <si>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</si>
  <si>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</si>
  <si>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</si>
  <si>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</si>
  <si>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</si>
  <si>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</si>
  <si>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</si>
  <si>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</si>
  <si>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</si>
  <si>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</si>
  <si>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</si>
  <si>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</si>
  <si>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</si>
  <si>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</si>
  <si>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</si>
  <si>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</si>
  <si>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</si>
  <si>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</si>
  <si>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</si>
  <si>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</si>
  <si>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</si>
  <si>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</si>
  <si>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</si>
  <si>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</si>
  <si>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</si>
  <si>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</si>
  <si>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</si>
  <si>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</si>
  <si>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</si>
  <si>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</si>
  <si>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</si>
  <si>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</si>
  <si>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</si>
  <si>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</si>
  <si>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</si>
  <si>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</si>
  <si>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</si>
  <si>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</si>
  <si>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</si>
  <si>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</si>
  <si>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</si>
  <si>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</si>
  <si>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</si>
  <si>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</si>
  <si>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</si>
  <si>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</si>
  <si>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</si>
  <si>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</si>
  <si>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</si>
  <si>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</si>
  <si>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</si>
  <si>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</si>
  <si>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</si>
  <si>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</si>
  <si>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</si>
  <si>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</si>
  <si>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</si>
  <si>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</si>
  <si>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</si>
  <si>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</si>
  <si>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</si>
  <si>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</si>
  <si>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</si>
  <si>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</si>
  <si>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</si>
  <si>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</si>
  <si>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</si>
  <si>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</si>
  <si>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</si>
  <si>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</si>
  <si>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</si>
  <si>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</si>
  <si>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</si>
  <si>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</si>
  <si>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</si>
  <si>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</si>
  <si>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</si>
  <si>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</si>
  <si>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</si>
  <si>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</si>
  <si>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</si>
  <si>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</si>
  <si>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</si>
  <si>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</si>
  <si>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</si>
  <si>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</si>
  <si>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</si>
  <si>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</si>
  <si>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</si>
  <si>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</si>
  <si>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</si>
  <si>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</si>
  <si>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</si>
  <si>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</si>
  <si>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</si>
  <si>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</si>
  <si>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</si>
  <si>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</si>
  <si>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</si>
  <si>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</si>
  <si>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</si>
  <si>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</si>
  <si>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</si>
  <si>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</si>
  <si>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</si>
  <si>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</si>
  <si>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</si>
  <si>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</si>
  <si>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</si>
  <si>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</si>
  <si>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</si>
  <si>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</si>
  <si>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</si>
  <si>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</si>
  <si>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</si>
  <si>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</si>
  <si>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</si>
  <si>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</si>
  <si>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</si>
  <si>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</si>
  <si>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</si>
  <si>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</si>
  <si>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</si>
  <si>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</si>
  <si>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</si>
  <si>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</si>
  <si>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</si>
  <si>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</si>
  <si>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</si>
  <si>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</si>
  <si>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</si>
  <si>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</si>
  <si>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</si>
  <si>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</si>
  <si>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</si>
  <si>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</si>
  <si>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</si>
  <si>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</si>
  <si>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</si>
  <si>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</si>
  <si>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</si>
  <si>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</si>
  <si>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</si>
  <si>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</si>
  <si>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</si>
  <si>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</si>
  <si>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</si>
  <si>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</si>
  <si>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</si>
  <si>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</si>
  <si>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</si>
  <si>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</si>
  <si>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</si>
  <si>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</si>
  <si>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</si>
  <si>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</si>
  <si>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</si>
  <si>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</si>
  <si>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</si>
  <si>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</si>
  <si>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</si>
  <si>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</si>
  <si>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</si>
  <si>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</si>
  <si>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</si>
  <si>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</si>
  <si>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</si>
  <si>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</si>
  <si>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</si>
  <si>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</si>
  <si>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</si>
  <si>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</si>
  <si>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</si>
  <si>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</si>
  <si>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</si>
  <si>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</si>
  <si>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</si>
  <si>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</si>
  <si>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</si>
  <si>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</si>
  <si>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</si>
  <si>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</si>
  <si>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</si>
  <si>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</si>
  <si>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</si>
  <si>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</si>
  <si>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</si>
  <si>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</si>
  <si>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</si>
  <si>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</si>
  <si>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</si>
  <si>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</si>
  <si>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</si>
  <si>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</si>
  <si>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</si>
  <si>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</si>
  <si>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</si>
  <si>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</si>
  <si>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</si>
  <si>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</si>
  <si>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</si>
  <si>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</si>
  <si>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</si>
  <si>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</si>
  <si>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</si>
  <si>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</si>
  <si>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</si>
  <si>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</si>
  <si>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</si>
  <si>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</si>
  <si>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</si>
  <si>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</si>
  <si>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</si>
  <si>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</si>
  <si>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</si>
  <si>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</si>
  <si>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</si>
  <si>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</si>
  <si>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</si>
  <si>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</si>
  <si>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</si>
  <si>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</si>
  <si>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</si>
  <si>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</si>
  <si>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</si>
  <si>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</si>
  <si>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</si>
  <si>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</si>
  <si>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</si>
  <si>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</si>
  <si>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</si>
  <si>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</si>
  <si>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</si>
  <si>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</si>
  <si>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</si>
  <si>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</si>
  <si>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</si>
  <si>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</si>
  <si>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</si>
  <si>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</si>
  <si>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</si>
  <si>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</si>
  <si>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</si>
  <si>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</si>
  <si>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</si>
  <si>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</si>
  <si>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</si>
  <si>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</si>
  <si>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</si>
  <si>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</si>
  <si>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</si>
  <si>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</si>
  <si>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</si>
  <si>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</si>
  <si>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</si>
  <si>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</si>
  <si>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</si>
  <si>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</si>
  <si>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</si>
  <si>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</si>
  <si>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</si>
  <si>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</si>
  <si>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</si>
  <si>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</si>
  <si>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</si>
  <si>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</si>
  <si>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</si>
  <si>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</si>
  <si>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</si>
  <si>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</si>
  <si>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</si>
  <si>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</si>
  <si>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</si>
  <si>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</si>
  <si>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</si>
  <si>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</si>
  <si>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</si>
  <si>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</si>
  <si>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</si>
  <si>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</si>
  <si>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</si>
  <si>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</si>
  <si>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</si>
  <si>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</si>
  <si>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</si>
  <si>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</si>
  <si>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</si>
  <si>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</si>
  <si>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</si>
  <si>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</si>
  <si>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</si>
  <si>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</si>
  <si>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</si>
  <si>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</si>
  <si>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</si>
  <si>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</si>
  <si>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</si>
  <si>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</si>
  <si>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</si>
  <si>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</si>
  <si>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</si>
  <si>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</si>
  <si>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</si>
  <si>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</si>
  <si>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</si>
  <si>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</si>
  <si>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</si>
  <si>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</si>
  <si>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</si>
  <si>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</si>
  <si>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</si>
  <si>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</si>
  <si>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</si>
  <si>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</si>
  <si>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</si>
  <si>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</si>
  <si>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</si>
  <si>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</si>
  <si>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</si>
  <si>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</si>
  <si>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</si>
  <si>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</si>
  <si>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</si>
  <si>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</si>
  <si>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</si>
  <si>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</si>
  <si>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</si>
  <si>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</si>
  <si>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</si>
  <si>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</si>
  <si>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</si>
  <si>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</si>
  <si>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</si>
  <si>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</si>
  <si>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</si>
  <si>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</si>
  <si>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</si>
  <si>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</si>
  <si>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</si>
  <si>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</si>
  <si>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</si>
  <si>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</si>
  <si>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</si>
  <si>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</si>
  <si>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</si>
  <si>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</si>
  <si>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</si>
  <si>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</si>
  <si>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</si>
  <si>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</si>
  <si>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</si>
  <si>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</si>
  <si>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</si>
  <si>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</si>
  <si>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</si>
  <si>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</si>
  <si>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</si>
  <si>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</si>
  <si>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</si>
  <si>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</si>
  <si>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</si>
  <si>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</si>
  <si>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</si>
  <si>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</si>
  <si>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</si>
  <si>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</si>
  <si>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</si>
  <si>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</si>
  <si>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</si>
  <si>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</si>
  <si>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</si>
  <si>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</si>
  <si>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</si>
  <si>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</si>
  <si>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</si>
  <si>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</si>
  <si>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</si>
  <si>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</si>
  <si>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</si>
  <si>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</si>
  <si>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</si>
  <si>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</si>
  <si>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</si>
  <si>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</si>
  <si>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</si>
  <si>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</si>
  <si>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</si>
  <si>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</si>
  <si>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</si>
  <si>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</si>
  <si>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</si>
  <si>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</si>
  <si>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</si>
  <si>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</si>
  <si>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</si>
  <si>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</si>
  <si>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</si>
  <si>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</si>
  <si>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</si>
  <si>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</si>
  <si>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</si>
  <si>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</si>
  <si>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</si>
  <si>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</si>
  <si>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</si>
  <si>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</si>
  <si>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</si>
  <si>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</si>
  <si>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</si>
  <si>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</si>
  <si>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</si>
  <si>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</si>
  <si>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</si>
  <si>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</si>
  <si>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</si>
  <si>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</si>
  <si>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</si>
  <si>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</si>
  <si>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</si>
  <si>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</si>
  <si>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</si>
  <si>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</si>
  <si>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</si>
  <si>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</si>
  <si>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</si>
  <si>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</si>
  <si>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</si>
  <si>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</si>
  <si>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</si>
  <si>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</si>
  <si>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</si>
  <si>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</si>
  <si>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</si>
  <si>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</si>
  <si>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</si>
  <si>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</si>
  <si>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</si>
  <si>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</si>
  <si>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</si>
  <si>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</si>
  <si>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</si>
  <si>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</si>
  <si>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</si>
  <si>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</si>
  <si>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</si>
  <si>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</si>
  <si>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</si>
  <si>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</si>
  <si>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</si>
  <si>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</si>
  <si>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</si>
  <si>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</si>
  <si>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</si>
  <si>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</si>
  <si>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</si>
  <si>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</si>
  <si>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</si>
  <si>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</si>
  <si>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</si>
  <si>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</si>
  <si>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</si>
  <si>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</si>
  <si>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</si>
  <si>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</si>
  <si>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</si>
  <si>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</si>
  <si>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</si>
  <si>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</si>
  <si>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</si>
  <si>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</si>
  <si>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</si>
  <si>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</si>
  <si>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</si>
  <si>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</si>
  <si>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</si>
  <si>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</si>
  <si>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</si>
  <si>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</si>
  <si>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</si>
  <si>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</si>
  <si>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</si>
  <si>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</si>
  <si>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</si>
  <si>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</si>
  <si>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</si>
  <si>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</si>
  <si>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</si>
  <si>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</si>
  <si>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</si>
  <si>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</si>
  <si>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</si>
  <si>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</si>
  <si>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</si>
  <si>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</si>
  <si>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</si>
  <si>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</si>
  <si>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</si>
  <si>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</si>
  <si>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</si>
  <si>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</si>
  <si>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</si>
  <si>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</si>
  <si>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</si>
  <si>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</si>
  <si>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</si>
  <si>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</si>
  <si>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</si>
  <si>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</si>
  <si>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</si>
  <si>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</si>
  <si>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</si>
  <si>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</si>
  <si>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</si>
  <si>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</si>
  <si>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</si>
  <si>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</si>
  <si>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</si>
  <si>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</si>
  <si>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</si>
  <si>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</si>
  <si>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</si>
  <si>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</si>
  <si>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</si>
  <si>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</si>
  <si>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</si>
  <si>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</si>
  <si>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</si>
  <si>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</si>
  <si>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</si>
  <si>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</si>
  <si>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</si>
  <si>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</si>
  <si>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</si>
  <si>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</si>
  <si>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</si>
  <si>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</si>
  <si>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</si>
  <si>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</si>
  <si>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</si>
  <si>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</si>
  <si>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</si>
  <si>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</si>
  <si>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</si>
  <si>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</si>
  <si>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</si>
  <si>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</si>
  <si>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</si>
  <si>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</si>
  <si>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</si>
  <si>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</si>
  <si>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</si>
  <si>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</si>
  <si>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</si>
  <si>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</si>
  <si>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</si>
  <si>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</si>
  <si>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</si>
  <si>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</si>
  <si>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</si>
  <si>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</si>
  <si>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</si>
  <si>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</si>
  <si>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</si>
  <si>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</si>
  <si>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</si>
  <si>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</si>
  <si>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</si>
  <si>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</si>
  <si>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</si>
  <si>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</si>
  <si>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</si>
  <si>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</si>
  <si>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</si>
  <si>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</si>
  <si>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</si>
  <si>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</si>
  <si>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</si>
  <si>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</si>
  <si>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</si>
  <si>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</si>
  <si>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</si>
  <si>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</si>
  <si>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</si>
  <si>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</si>
  <si>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</si>
  <si>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</si>
  <si>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</si>
  <si>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</si>
  <si>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</si>
  <si>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</si>
  <si>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</si>
  <si>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</si>
  <si>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</si>
  <si>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</si>
  <si>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</si>
  <si>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</si>
  <si>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</si>
  <si>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</si>
  <si>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</si>
  <si>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</si>
  <si>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</si>
  <si>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</si>
  <si>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</si>
  <si>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</si>
  <si>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</si>
  <si>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</si>
  <si>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</si>
  <si>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</si>
  <si>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</si>
  <si>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</si>
  <si>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</si>
  <si>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</si>
  <si>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</si>
  <si>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</si>
  <si>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</si>
  <si>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</si>
  <si>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</si>
  <si>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</si>
  <si>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</si>
  <si>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</si>
  <si>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</si>
  <si>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</si>
  <si>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</si>
  <si>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</si>
  <si>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</si>
  <si>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</si>
  <si>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</si>
  <si>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</si>
  <si>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</si>
  <si>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</si>
  <si>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</si>
  <si>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</si>
  <si>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</si>
  <si>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</si>
  <si>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</si>
  <si>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</si>
  <si>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</si>
  <si>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</si>
  <si>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</si>
  <si>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</si>
  <si>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</si>
  <si>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</si>
  <si>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</si>
  <si>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</si>
  <si>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</si>
  <si>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</si>
  <si>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</si>
  <si>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</si>
  <si>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</si>
  <si>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</si>
  <si>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</si>
  <si>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</si>
  <si>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</si>
  <si>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</si>
  <si>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</si>
  <si>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</si>
  <si>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</si>
  <si>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</si>
  <si>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</si>
  <si>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</si>
  <si>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</si>
  <si>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</si>
  <si>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</si>
  <si>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</si>
  <si>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</si>
  <si>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</si>
  <si>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</si>
  <si>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</si>
  <si>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</si>
  <si>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</si>
  <si>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</si>
  <si>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</si>
  <si>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</si>
  <si>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</si>
  <si>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</si>
  <si>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</si>
  <si>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</si>
  <si>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</si>
  <si>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</si>
  <si>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</si>
  <si>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</si>
  <si>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</si>
  <si>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</si>
  <si>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</si>
  <si>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</si>
  <si>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</si>
  <si>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</si>
  <si>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</si>
  <si>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</si>
  <si>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</si>
  <si>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</si>
  <si>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</si>
  <si>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</si>
  <si>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</si>
  <si>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</si>
  <si>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</si>
  <si>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</si>
  <si>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</si>
  <si>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</si>
  <si>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</si>
  <si>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</si>
  <si>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</si>
  <si>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</si>
  <si>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</si>
  <si>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</si>
  <si>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</si>
  <si>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</si>
  <si>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</si>
  <si>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</si>
  <si>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</si>
  <si>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</si>
  <si>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</si>
  <si>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</si>
  <si>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</si>
  <si>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</si>
  <si>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</si>
  <si>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</si>
  <si>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</si>
  <si>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</si>
  <si>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</si>
  <si>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</si>
  <si>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</si>
  <si>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</si>
  <si>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</si>
  <si>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</si>
  <si>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</si>
  <si>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</si>
  <si>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</si>
  <si>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</si>
  <si>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</si>
  <si>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</si>
  <si>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</si>
  <si>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</si>
  <si>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</si>
  <si>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</si>
  <si>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</si>
  <si>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</si>
  <si>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</si>
  <si>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</si>
  <si>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</si>
  <si>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</si>
  <si>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</si>
  <si>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</si>
  <si>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</si>
  <si>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</si>
  <si>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</si>
  <si>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</si>
  <si>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</si>
  <si>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</si>
  <si>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</si>
  <si>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</si>
  <si>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</si>
  <si>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</si>
  <si>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</si>
  <si>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</si>
  <si>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</si>
  <si>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</si>
  <si>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</si>
  <si>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</si>
  <si>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</si>
  <si>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</si>
  <si>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</si>
  <si>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</si>
  <si>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</si>
  <si>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</si>
  <si>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</si>
  <si>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</si>
  <si>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</si>
  <si>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</si>
  <si>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</si>
  <si>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</si>
  <si>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</si>
  <si>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</si>
  <si>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</si>
  <si>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</si>
  <si>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</si>
  <si>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</si>
  <si>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</si>
  <si>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</si>
  <si>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</si>
  <si>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</si>
  <si>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</si>
  <si>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</si>
  <si>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</si>
  <si>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</si>
  <si>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</si>
  <si>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</si>
  <si>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</si>
  <si>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</si>
  <si>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</si>
  <si>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</si>
  <si>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</si>
  <si>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</si>
  <si>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</si>
  <si>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</si>
  <si>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</si>
  <si>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</si>
  <si>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</si>
  <si>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</si>
  <si>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</si>
  <si>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</si>
  <si>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</si>
  <si>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</si>
  <si>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</si>
  <si>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</si>
  <si>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</si>
  <si>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</si>
  <si>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</si>
  <si>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</si>
  <si>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</si>
  <si>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</si>
  <si>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</si>
  <si>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</si>
  <si>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</si>
  <si>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</si>
  <si>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</si>
  <si>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</si>
  <si>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</si>
  <si>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</si>
  <si>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</si>
  <si>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</si>
  <si>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</si>
  <si>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</si>
  <si>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</si>
  <si>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</si>
  <si>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</si>
  <si>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</si>
  <si>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</si>
  <si>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</si>
  <si>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</si>
  <si>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</si>
  <si>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</si>
  <si>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</si>
  <si>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</si>
  <si>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</si>
  <si>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</si>
  <si>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</si>
  <si>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</si>
  <si>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</si>
  <si>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</si>
  <si>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</si>
  <si>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</si>
  <si>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</si>
  <si>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</si>
  <si>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</si>
  <si>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</si>
  <si>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</si>
  <si>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</si>
  <si>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</si>
  <si>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</si>
  <si>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</si>
  <si>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</si>
  <si>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</si>
  <si>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</si>
  <si>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</si>
  <si>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</si>
  <si>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</si>
  <si>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</si>
  <si>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</si>
  <si>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</si>
  <si>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</si>
  <si>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</si>
  <si>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</si>
  <si>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</si>
  <si>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</si>
  <si>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</si>
  <si>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</si>
  <si>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</si>
  <si>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</si>
  <si>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</si>
  <si>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</si>
  <si>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</si>
  <si>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</si>
  <si>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</si>
  <si>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</si>
  <si>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</si>
  <si>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</si>
  <si>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</si>
  <si>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</si>
  <si>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</si>
  <si>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</si>
  <si>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</si>
  <si>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</si>
  <si>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</si>
  <si>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</si>
  <si>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</si>
  <si>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</si>
  <si>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</si>
  <si>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</si>
  <si>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</si>
  <si>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</si>
  <si>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</si>
  <si>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</si>
  <si>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</si>
  <si>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</si>
  <si>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</si>
  <si>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</si>
  <si>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</si>
  <si>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</si>
  <si>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</si>
  <si>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</si>
  <si>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</si>
  <si>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</si>
  <si>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</si>
  <si>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</si>
  <si>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</si>
  <si>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</si>
  <si>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</si>
  <si>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</si>
  <si>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</si>
  <si>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</si>
  <si>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</si>
  <si>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</si>
  <si>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</si>
  <si>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</si>
  <si>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</si>
  <si>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</si>
  <si>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</si>
  <si>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</si>
  <si>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</si>
  <si>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</si>
  <si>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</si>
  <si>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</si>
  <si>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</si>
  <si>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</si>
  <si>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</si>
  <si>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</si>
  <si>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</si>
  <si>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</si>
  <si>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</si>
  <si>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</si>
  <si>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</si>
  <si>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</si>
  <si>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</si>
  <si>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</si>
  <si>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</si>
  <si>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</si>
  <si>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</si>
  <si>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</si>
  <si>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</si>
  <si>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</si>
  <si>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</si>
  <si>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</si>
  <si>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</si>
  <si>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</si>
  <si>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</si>
  <si>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</si>
  <si>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</si>
  <si>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</si>
  <si>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</si>
  <si>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</si>
  <si>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</si>
  <si>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</si>
  <si>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</si>
  <si>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</si>
  <si>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</si>
  <si>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</si>
  <si>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</si>
  <si>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</si>
  <si>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</si>
  <si>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</si>
  <si>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</si>
  <si>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</si>
  <si>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</si>
  <si>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</si>
  <si>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</si>
  <si>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</si>
  <si>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</si>
  <si>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</si>
  <si>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</si>
  <si>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</si>
  <si>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</si>
  <si>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</si>
  <si>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</si>
  <si>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</si>
  <si>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</si>
  <si>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</si>
  <si>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</si>
  <si>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</si>
  <si>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</si>
  <si>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</si>
  <si>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</si>
  <si>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</si>
  <si>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</si>
  <si>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</si>
  <si>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</si>
  <si>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</si>
  <si>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</si>
  <si>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</si>
  <si>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</si>
  <si>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</si>
  <si>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</si>
  <si>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</si>
  <si>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</si>
  <si>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</si>
  <si>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</si>
  <si>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</si>
  <si>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</si>
  <si>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</si>
  <si>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</si>
  <si>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</si>
  <si>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</si>
  <si>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</si>
  <si>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</si>
  <si>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</si>
  <si>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</si>
  <si>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</si>
  <si>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</si>
  <si>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</si>
  <si>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</si>
  <si>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</si>
  <si>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</si>
  <si>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</si>
  <si>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</si>
  <si>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</si>
  <si>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</si>
  <si>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</si>
  <si>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</si>
  <si>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</si>
  <si>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</si>
  <si>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</si>
  <si>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</si>
  <si>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</si>
  <si>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</si>
  <si>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</si>
  <si>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</si>
  <si>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</si>
  <si>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</si>
  <si>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</si>
  <si>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</si>
  <si>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</si>
  <si>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</si>
  <si>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</si>
  <si>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</si>
  <si>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</si>
  <si>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</si>
  <si>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</si>
  <si>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</si>
  <si>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</si>
  <si>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</si>
  <si>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</si>
  <si>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</si>
  <si>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</si>
  <si>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</si>
  <si>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</si>
  <si>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</si>
  <si>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</si>
  <si>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</si>
  <si>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</si>
  <si>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</si>
  <si>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</si>
  <si>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</si>
  <si>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</si>
  <si>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</si>
  <si>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</si>
  <si>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</si>
  <si>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</si>
  <si>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</si>
  <si>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</si>
  <si>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</si>
  <si>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</si>
  <si>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</si>
  <si>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</si>
  <si>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</si>
  <si>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</si>
  <si>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</si>
  <si>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</si>
  <si>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</si>
  <si>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</si>
  <si>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</si>
  <si>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</si>
  <si>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</si>
  <si>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</si>
  <si>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</si>
  <si>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</si>
  <si>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</si>
  <si>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</si>
  <si>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</si>
  <si>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</si>
  <si>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</si>
  <si>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</si>
  <si>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</si>
  <si>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</si>
  <si>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</si>
  <si>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</si>
  <si>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</si>
  <si>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</si>
  <si>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</si>
  <si>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</si>
  <si>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</si>
  <si>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</si>
  <si>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</si>
  <si>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</si>
  <si>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</si>
  <si>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</si>
  <si>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</si>
  <si>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</si>
  <si>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</si>
  <si>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</si>
  <si>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</si>
  <si>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</si>
  <si>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</si>
  <si>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</si>
  <si>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</si>
  <si>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</si>
  <si>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</si>
  <si>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</si>
  <si>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</si>
  <si>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</si>
  <si>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</si>
  <si>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</si>
  <si>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</si>
  <si>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</si>
  <si>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</si>
  <si>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</si>
  <si>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</si>
  <si>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</si>
  <si>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</si>
  <si>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</si>
  <si>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</si>
  <si>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</si>
  <si>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</si>
  <si>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</si>
  <si>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</si>
  <si>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</si>
  <si>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</si>
  <si>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</si>
  <si>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</si>
  <si>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</si>
  <si>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</si>
  <si>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</si>
  <si>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</si>
  <si>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</si>
  <si>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</si>
  <si>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</si>
  <si>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</si>
  <si>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</si>
  <si>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</si>
  <si>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</si>
  <si>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</si>
  <si>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</si>
  <si>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</si>
  <si>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</si>
  <si>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</si>
  <si>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</si>
  <si>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</si>
  <si>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</si>
  <si>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</si>
  <si>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</si>
  <si>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</si>
  <si>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</si>
  <si>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</si>
  <si>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</si>
  <si>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</si>
  <si>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</si>
  <si>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</si>
  <si>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</si>
  <si>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</si>
  <si>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</si>
  <si>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</si>
  <si>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</si>
  <si>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</si>
  <si>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</si>
  <si>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</si>
  <si>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</si>
  <si>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</si>
  <si>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</si>
  <si>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</si>
  <si>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</si>
  <si>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</si>
  <si>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</si>
  <si>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</si>
  <si>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</si>
  <si>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</si>
  <si>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</si>
  <si>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</si>
  <si>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</si>
  <si>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</si>
  <si>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</si>
  <si>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</si>
  <si>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</si>
  <si>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</si>
  <si>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</si>
  <si>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</si>
  <si>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</si>
  <si>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</si>
  <si>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</si>
  <si>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</si>
  <si>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</si>
  <si>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</si>
  <si>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</si>
  <si>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</si>
  <si>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</si>
  <si>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</si>
  <si>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</si>
  <si>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</si>
  <si>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</si>
  <si>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</si>
  <si>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</si>
  <si>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</si>
  <si>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</si>
  <si>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</si>
  <si>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</si>
  <si>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</si>
  <si>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</si>
  <si>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</si>
  <si>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</si>
  <si>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</si>
  <si>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</si>
  <si>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</si>
  <si>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</si>
  <si>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</si>
  <si>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</si>
  <si>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</si>
  <si>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</si>
  <si>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</si>
  <si>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</si>
  <si>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</si>
  <si>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</si>
  <si>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</si>
  <si>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</si>
  <si>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</si>
  <si>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</si>
  <si>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</si>
  <si>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</si>
  <si>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</si>
  <si>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</si>
  <si>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</si>
  <si>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</si>
  <si>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</si>
  <si>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</si>
  <si>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</si>
  <si>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</si>
  <si>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</si>
  <si>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</si>
  <si>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</si>
  <si>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</si>
  <si>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</si>
  <si>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</si>
  <si>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</si>
  <si>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</si>
  <si>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</si>
  <si>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</si>
  <si>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</si>
  <si>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</si>
  <si>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</si>
  <si>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</si>
  <si>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</si>
  <si>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</si>
  <si>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</si>
  <si>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</si>
  <si>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</si>
  <si>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</si>
  <si>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</si>
  <si>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</si>
  <si>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</si>
  <si>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</si>
  <si>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</si>
  <si>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</si>
  <si>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</si>
  <si>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</si>
  <si>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</si>
  <si>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</si>
  <si>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</si>
  <si>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</si>
  <si>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</si>
  <si>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</si>
  <si>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</si>
  <si>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</si>
  <si>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</si>
  <si>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</si>
  <si>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</si>
  <si>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</si>
  <si>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</si>
  <si>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</si>
  <si>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</si>
  <si>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</si>
  <si>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</si>
  <si>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</si>
  <si>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</si>
  <si>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</si>
  <si>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</si>
  <si>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</si>
  <si>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</si>
  <si>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</si>
  <si>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</si>
  <si>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</si>
  <si>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</si>
  <si>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</si>
  <si>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</si>
  <si>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</si>
  <si>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</si>
  <si>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</si>
  <si>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</si>
  <si>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</si>
  <si>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</si>
  <si>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</si>
  <si>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</si>
  <si>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</si>
  <si>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</si>
  <si>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</si>
  <si>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</si>
  <si>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</si>
  <si>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</si>
  <si>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</si>
  <si>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</si>
  <si>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</si>
  <si>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</si>
  <si>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</si>
  <si>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</si>
  <si>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</si>
  <si>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</si>
  <si>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</si>
  <si>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</si>
  <si>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</si>
  <si>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</si>
  <si>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</si>
  <si>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</si>
  <si>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</si>
  <si>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</si>
  <si>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</si>
  <si>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</si>
  <si>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</si>
  <si>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</si>
  <si>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</si>
  <si>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</si>
  <si>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</si>
  <si>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</si>
  <si>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</si>
  <si>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</si>
  <si>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</si>
  <si>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</si>
  <si>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</si>
  <si>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</si>
  <si>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</si>
  <si>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</si>
  <si>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</si>
  <si>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</si>
  <si>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</si>
  <si>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</si>
  <si>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</si>
  <si>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</si>
  <si>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</si>
  <si>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</si>
  <si>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</si>
  <si>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</si>
  <si>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</si>
  <si>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</si>
  <si>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</si>
  <si>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</si>
  <si>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</si>
  <si>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</si>
  <si>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</si>
  <si>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</si>
  <si>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</si>
  <si>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</si>
  <si>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</si>
  <si>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</si>
  <si>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</si>
  <si>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</si>
  <si>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</si>
  <si>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</si>
  <si>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</si>
  <si>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</si>
  <si>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</si>
  <si>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</si>
  <si>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</si>
  <si>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</si>
  <si>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</si>
  <si>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</si>
  <si>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</si>
  <si>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</si>
  <si>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</si>
  <si>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</si>
  <si>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</si>
  <si>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</si>
  <si>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</si>
  <si>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</si>
  <si>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</si>
  <si>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</si>
  <si>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</si>
  <si>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</si>
  <si>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</si>
  <si>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</si>
  <si>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</si>
  <si>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</si>
  <si>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</si>
  <si>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</si>
  <si>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</si>
  <si>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</si>
  <si>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</si>
  <si>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</si>
  <si>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</si>
  <si>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</si>
  <si>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</si>
  <si>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</si>
  <si>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</si>
  <si>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</si>
  <si>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</si>
  <si>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</si>
  <si>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</si>
  <si>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</si>
  <si>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</si>
  <si>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</si>
  <si>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</si>
  <si>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</si>
  <si>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</si>
  <si>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</si>
  <si>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</si>
  <si>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</si>
  <si>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</si>
  <si>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</si>
  <si>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</si>
  <si>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</si>
  <si>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</si>
  <si>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</si>
  <si>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</si>
  <si>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</si>
  <si>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</si>
  <si>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</si>
  <si>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</si>
  <si>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</si>
  <si>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</si>
  <si>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</si>
  <si>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</si>
  <si>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</si>
  <si>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</si>
  <si>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</si>
  <si>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</si>
  <si>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</si>
  <si>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</si>
  <si>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</si>
  <si>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</si>
  <si>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</si>
  <si>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</si>
  <si>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</si>
  <si>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</si>
  <si>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</si>
  <si>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</si>
  <si>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</si>
  <si>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</si>
  <si>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</si>
  <si>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</si>
  <si>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</si>
  <si>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</si>
  <si>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</si>
  <si>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</si>
  <si>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</si>
  <si>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</si>
  <si>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</si>
  <si>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</si>
  <si>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</si>
  <si>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</si>
  <si>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</si>
  <si>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</si>
  <si>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</si>
  <si>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</si>
  <si>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</si>
  <si>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</si>
  <si>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</si>
  <si>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</si>
  <si>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</si>
  <si>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</si>
  <si>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</si>
  <si>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</si>
  <si>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</si>
  <si>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</si>
  <si>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</si>
  <si>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</si>
  <si>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</si>
  <si>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</si>
  <si>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</si>
  <si>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</si>
  <si>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</si>
  <si>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</si>
  <si>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</si>
  <si>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</si>
  <si>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</si>
  <si>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</si>
  <si>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</si>
  <si>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</si>
  <si>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</si>
  <si>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</si>
  <si>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</si>
  <si>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</si>
  <si>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</si>
  <si>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</si>
  <si>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</si>
  <si>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</si>
  <si>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</si>
  <si>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</si>
  <si>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</si>
  <si>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</si>
  <si>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</si>
  <si>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</si>
  <si>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</si>
  <si>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</si>
  <si>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</si>
  <si>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</si>
  <si>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</si>
  <si>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</si>
  <si>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</si>
  <si>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</si>
  <si>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</si>
  <si>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</si>
  <si>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</si>
  <si>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</si>
  <si>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</si>
  <si>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</si>
  <si>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</si>
  <si>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</si>
  <si>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</si>
  <si>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</si>
  <si>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</si>
  <si>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</si>
  <si>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</si>
  <si>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</si>
  <si>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</si>
  <si>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</si>
  <si>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</si>
  <si>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</si>
  <si>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</si>
  <si>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</si>
  <si>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</si>
  <si>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</si>
  <si>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</si>
  <si>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</si>
  <si>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</si>
  <si>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</si>
  <si>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</si>
  <si>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</si>
  <si>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</si>
  <si>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</si>
  <si>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</si>
  <si>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</si>
  <si>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</si>
  <si>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</si>
  <si>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</si>
  <si>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</si>
  <si>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</si>
  <si>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</si>
  <si>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</si>
  <si>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</si>
  <si>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</si>
  <si>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</si>
  <si>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</si>
  <si>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</si>
  <si>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</si>
  <si>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</si>
  <si>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</si>
  <si>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</si>
  <si>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</si>
  <si>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</si>
  <si>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</si>
  <si>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</si>
  <si>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</si>
  <si>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</si>
  <si>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</si>
  <si>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</si>
  <si>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</si>
  <si>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</si>
  <si>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</si>
  <si>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</si>
  <si>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</si>
  <si>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</si>
  <si>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</si>
  <si>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</si>
  <si>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</si>
  <si>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</si>
  <si>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</si>
  <si>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</si>
  <si>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</si>
  <si>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</si>
  <si>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</si>
  <si>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</si>
  <si>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</si>
  <si>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</si>
  <si>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</si>
  <si>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</si>
  <si>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</si>
  <si>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</si>
  <si>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</si>
  <si>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</si>
  <si>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</si>
  <si>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</si>
  <si>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</si>
  <si>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</si>
  <si>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</si>
  <si>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</si>
  <si>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</si>
  <si>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</si>
  <si>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</si>
  <si>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</si>
  <si>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</si>
  <si>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</si>
  <si>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</si>
  <si>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</si>
  <si>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</si>
  <si>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</si>
  <si>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</si>
  <si>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</si>
  <si>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</si>
  <si>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</si>
  <si>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</si>
  <si>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</si>
  <si>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</si>
  <si>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</si>
  <si>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</si>
  <si>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</si>
  <si>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</si>
  <si>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</si>
  <si>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</si>
  <si>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</si>
  <si>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</si>
  <si>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</si>
  <si>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</si>
  <si>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</si>
  <si>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</si>
  <si>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</si>
  <si>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</si>
  <si>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</si>
  <si>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</si>
  <si>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</si>
  <si>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</si>
  <si>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</si>
  <si>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</si>
  <si>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</si>
  <si>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</si>
  <si>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</si>
  <si>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</si>
  <si>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</si>
  <si>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</si>
  <si>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</si>
  <si>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</si>
  <si>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</si>
  <si>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</si>
  <si>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</si>
  <si>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</si>
  <si>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</si>
  <si>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</si>
  <si>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</si>
  <si>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</si>
  <si>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</si>
  <si>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</si>
  <si>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</si>
  <si>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</si>
  <si>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</si>
  <si>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</si>
  <si>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</si>
  <si>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</si>
  <si>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</si>
  <si>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</si>
  <si>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</si>
  <si>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</si>
  <si>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</si>
  <si>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</si>
  <si>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</si>
  <si>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</si>
  <si>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</si>
  <si>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</si>
  <si>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</si>
  <si>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</si>
  <si>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</si>
  <si>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</si>
  <si>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</si>
  <si>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</si>
  <si>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</si>
  <si>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</si>
  <si>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</si>
  <si>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</si>
  <si>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</si>
  <si>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</si>
  <si>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</si>
  <si>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</si>
  <si>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</si>
  <si>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</si>
  <si>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</si>
  <si>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</si>
  <si>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</si>
  <si>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</si>
  <si>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</si>
  <si>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</si>
  <si>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</si>
  <si>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</si>
  <si>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</si>
  <si>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</si>
  <si>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</si>
  <si>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</si>
  <si>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</si>
  <si>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</si>
  <si>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</si>
  <si>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</si>
  <si>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</si>
  <si>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</si>
  <si>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</si>
  <si>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</si>
  <si>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</si>
  <si>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</si>
  <si>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</si>
  <si>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</si>
  <si>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</si>
  <si>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</si>
  <si>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</si>
  <si>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</si>
  <si>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</si>
  <si>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</si>
  <si>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</si>
  <si>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</si>
  <si>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</si>
  <si>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</si>
  <si>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</si>
  <si>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</si>
  <si>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</si>
  <si>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</si>
  <si>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</si>
  <si>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</si>
  <si>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</si>
  <si>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</si>
  <si>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</si>
  <si>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</si>
  <si>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</si>
  <si>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</si>
  <si>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</si>
  <si>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</si>
  <si>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</si>
  <si>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</si>
  <si>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</si>
  <si>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</si>
  <si>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</si>
  <si>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</si>
  <si>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</si>
  <si>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</si>
  <si>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</si>
  <si>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</si>
  <si>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</si>
  <si>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</si>
  <si>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</si>
  <si>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</si>
  <si>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</si>
  <si>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</si>
  <si>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</si>
  <si>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</si>
  <si>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</si>
  <si>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</si>
  <si>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</si>
  <si>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</si>
  <si>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</si>
  <si>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</si>
  <si>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</si>
  <si>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</si>
  <si>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</si>
  <si>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</si>
  <si>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</si>
  <si>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</si>
  <si>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</si>
  <si>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</si>
  <si>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</si>
  <si>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</si>
  <si>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</si>
  <si>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</si>
  <si>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</si>
  <si>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</si>
  <si>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</si>
  <si>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</si>
  <si>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</si>
  <si>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</si>
  <si>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</si>
  <si>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</si>
  <si>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</si>
  <si>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</si>
  <si>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</si>
  <si>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</si>
  <si>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</si>
  <si>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</si>
  <si>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</si>
  <si>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</si>
  <si>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</si>
  <si>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</si>
  <si>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</si>
  <si>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</si>
  <si>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</si>
  <si>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</si>
  <si>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</si>
  <si>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</si>
  <si>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</si>
  <si>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</si>
  <si>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</si>
  <si>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</si>
  <si>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</si>
  <si>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</si>
  <si>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</si>
  <si>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</si>
  <si>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</si>
  <si>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</si>
  <si>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</si>
  <si>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</si>
  <si>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</si>
  <si>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</si>
  <si>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</si>
  <si>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</si>
  <si>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</si>
  <si>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</si>
  <si>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</si>
  <si>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</si>
  <si>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</si>
  <si>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</si>
  <si>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</si>
  <si>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</si>
  <si>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</si>
  <si>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</si>
  <si>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</si>
  <si>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</si>
  <si>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</si>
  <si>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</si>
  <si>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</si>
  <si>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</si>
  <si>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</si>
  <si>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</si>
  <si>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</si>
  <si>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</si>
  <si>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</si>
  <si>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</si>
  <si>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</si>
  <si>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</si>
  <si>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</si>
  <si>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</si>
  <si>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</si>
  <si>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</si>
  <si>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</si>
  <si>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</si>
  <si>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</si>
  <si>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</si>
  <si>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</si>
  <si>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</si>
  <si>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</si>
  <si>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</si>
  <si>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</si>
  <si>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</si>
  <si>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</si>
  <si>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</si>
  <si>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</si>
  <si>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</si>
  <si>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</si>
  <si>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</si>
  <si>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</si>
  <si>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</si>
  <si>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</si>
  <si>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</si>
  <si>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</si>
  <si>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</si>
  <si>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</si>
  <si>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</si>
  <si>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</si>
  <si>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</si>
  <si>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</si>
  <si>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</si>
  <si>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</si>
  <si>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</si>
  <si>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</si>
  <si>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</si>
  <si>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</si>
  <si>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</si>
  <si>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</si>
  <si>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</si>
  <si>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</si>
  <si>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</si>
  <si>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</si>
  <si>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</si>
  <si>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</si>
  <si>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</si>
  <si>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</si>
  <si>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</si>
  <si>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</si>
  <si>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</si>
  <si>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</si>
  <si>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</si>
  <si>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</si>
  <si>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</si>
  <si>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</si>
  <si>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</si>
  <si>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</si>
  <si>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</si>
  <si>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</si>
  <si>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</si>
  <si>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</si>
  <si>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</si>
  <si>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</si>
  <si>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</si>
  <si>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</si>
  <si>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</si>
  <si>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</si>
  <si>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</si>
  <si>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</si>
  <si>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</si>
  <si>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</si>
  <si>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</si>
  <si>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</si>
  <si>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</si>
  <si>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</si>
  <si>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</si>
  <si>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</si>
  <si>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</si>
  <si>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</si>
  <si>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</si>
  <si>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</si>
  <si>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</si>
  <si>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</si>
  <si>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</si>
  <si>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</si>
  <si>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</si>
  <si>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</si>
  <si>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</si>
  <si>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</si>
  <si>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</si>
  <si>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</si>
  <si>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</si>
  <si>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</si>
  <si>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</si>
  <si>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</si>
  <si>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</si>
  <si>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</si>
  <si>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</si>
  <si>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</si>
  <si>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</si>
  <si>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</si>
  <si>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</si>
  <si>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</si>
  <si>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</si>
  <si>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</si>
  <si>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</si>
  <si>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</si>
  <si>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</si>
  <si>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</si>
  <si>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</si>
  <si>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</si>
  <si>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</si>
  <si>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</si>
  <si>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</si>
  <si>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</si>
  <si>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</si>
  <si>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</si>
  <si>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</si>
  <si>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</si>
  <si>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</si>
  <si>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</si>
  <si>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</si>
  <si>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</si>
  <si>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</si>
  <si>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</si>
  <si>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</si>
  <si>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</si>
  <si>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</si>
  <si>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</si>
  <si>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</si>
  <si>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</si>
  <si>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</si>
  <si>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</si>
  <si>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</si>
  <si>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</si>
  <si>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</si>
  <si>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</si>
  <si>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</si>
  <si>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</si>
  <si>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</si>
  <si>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</si>
  <si>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</si>
  <si>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</si>
  <si>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</si>
  <si>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</si>
  <si>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</si>
  <si>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</si>
  <si>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</si>
  <si>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</si>
  <si>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</si>
  <si>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</si>
  <si>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</si>
  <si>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</si>
  <si>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</si>
  <si>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</si>
  <si>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</si>
  <si>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</si>
  <si>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</si>
  <si>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</si>
  <si>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</si>
  <si>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</si>
  <si>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</si>
  <si>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</si>
  <si>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</si>
  <si>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</si>
  <si>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</si>
  <si>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</si>
  <si>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</si>
  <si>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</si>
  <si>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</si>
  <si>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</si>
  <si>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</si>
  <si>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</si>
  <si>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</si>
  <si>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</si>
  <si>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</si>
  <si>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</si>
  <si>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</si>
  <si>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</si>
  <si>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</si>
  <si>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</si>
  <si>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</si>
  <si>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</si>
  <si>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</si>
  <si>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</si>
  <si>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</si>
  <si>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</si>
  <si>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</si>
  <si>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</si>
  <si>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</si>
  <si>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</si>
  <si>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</si>
  <si>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</si>
  <si>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</si>
  <si>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</si>
  <si>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</si>
  <si>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</si>
  <si>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</si>
  <si>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</si>
  <si>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</si>
  <si>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</si>
  <si>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</si>
  <si>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</si>
  <si>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</si>
  <si>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</si>
  <si>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</si>
  <si>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</si>
  <si>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</si>
  <si>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</si>
  <si>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</si>
  <si>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</si>
  <si>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</si>
  <si>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</si>
  <si>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</si>
  <si>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</si>
  <si>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</si>
  <si>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</si>
  <si>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</si>
  <si>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</si>
  <si>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</si>
  <si>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</si>
  <si>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</si>
  <si>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</si>
  <si>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</si>
  <si>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</si>
  <si>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</si>
  <si>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</si>
  <si>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</si>
  <si>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</si>
  <si>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</si>
  <si>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</si>
  <si>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</si>
  <si>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</si>
  <si>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</si>
  <si>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</si>
  <si>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</si>
  <si>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</si>
  <si>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</si>
  <si>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</si>
  <si>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</si>
  <si>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</si>
  <si>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</si>
  <si>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</si>
  <si>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</si>
  <si>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</si>
  <si>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</si>
  <si>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</si>
  <si>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</si>
  <si>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</si>
  <si>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</si>
  <si>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</si>
  <si>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</si>
  <si>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</si>
  <si>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</si>
  <si>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</si>
  <si>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</si>
  <si>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</si>
  <si>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</si>
  <si>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</si>
  <si>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</si>
  <si>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</si>
  <si>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</si>
  <si>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</si>
  <si>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</si>
  <si>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</si>
  <si>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</si>
  <si>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</si>
  <si>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</si>
  <si>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</si>
  <si>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</si>
  <si>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</si>
  <si>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</si>
  <si>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</si>
  <si>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</si>
  <si>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</si>
  <si>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</si>
  <si>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</si>
  <si>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</si>
  <si>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</si>
  <si>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</si>
  <si>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</si>
  <si>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</si>
  <si>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</si>
  <si>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</si>
  <si>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</si>
  <si>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</si>
  <si>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</si>
  <si>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</si>
  <si>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</si>
  <si>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</si>
  <si>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</si>
  <si>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</si>
  <si>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</si>
  <si>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</si>
  <si>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</si>
  <si>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</si>
  <si>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</si>
  <si>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</si>
  <si>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</si>
  <si>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</si>
  <si>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</si>
  <si>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</si>
  <si>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</si>
  <si>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</si>
  <si>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</si>
  <si>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</si>
  <si>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</si>
  <si>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</si>
  <si>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</si>
  <si>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</si>
  <si>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</si>
  <si>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</si>
  <si>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</si>
  <si>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</si>
  <si>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</si>
  <si>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</si>
  <si>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</si>
  <si>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</si>
  <si>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</si>
  <si>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</si>
  <si>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</si>
  <si>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</si>
  <si>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</si>
  <si>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</si>
  <si>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</si>
  <si>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</si>
  <si>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</si>
  <si>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</si>
  <si>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</si>
  <si>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</si>
  <si>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</si>
  <si>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</si>
  <si>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</si>
  <si>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</si>
  <si>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</si>
  <si>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</si>
  <si>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</si>
  <si>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</si>
  <si>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</si>
  <si>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</si>
  <si>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</si>
  <si>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</si>
  <si>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</si>
  <si>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</si>
  <si>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</si>
  <si>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</si>
  <si>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</si>
  <si>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</si>
  <si>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</si>
  <si>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</si>
  <si>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</si>
  <si>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</si>
  <si>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</si>
  <si>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</si>
  <si>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</si>
  <si>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</si>
  <si>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</si>
  <si>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</si>
  <si>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</si>
  <si>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</si>
  <si>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</si>
  <si>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</si>
  <si>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</si>
  <si>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</si>
  <si>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</si>
  <si>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</si>
  <si>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</si>
  <si>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</si>
  <si>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</si>
  <si>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</si>
  <si>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</si>
  <si>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</si>
  <si>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</si>
  <si>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</si>
  <si>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</si>
  <si>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</si>
  <si>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</si>
  <si>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</si>
  <si>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</si>
  <si>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</si>
  <si>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</si>
  <si>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</si>
  <si>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</si>
  <si>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</si>
  <si>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</si>
  <si>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</si>
  <si>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</si>
  <si>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</si>
  <si>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</si>
  <si>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</si>
  <si>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</si>
  <si>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</si>
  <si>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</si>
  <si>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</si>
  <si>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</si>
  <si>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</si>
  <si>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</si>
  <si>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</si>
  <si>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</si>
  <si>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</si>
  <si>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</si>
  <si>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</si>
  <si>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</si>
  <si>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</si>
  <si>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</si>
  <si>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</si>
  <si>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</si>
  <si>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</si>
  <si>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</si>
  <si>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</si>
  <si>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</si>
  <si>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</si>
  <si>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</si>
  <si>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</si>
  <si>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</si>
  <si>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</si>
  <si>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</si>
  <si>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</si>
  <si>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</si>
  <si>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</si>
  <si>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</si>
  <si>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</si>
  <si>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</si>
  <si>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</si>
  <si>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</si>
  <si>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</si>
  <si>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</si>
  <si>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</si>
  <si>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</si>
  <si>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</si>
  <si>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</si>
  <si>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</si>
  <si>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</si>
  <si>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</si>
  <si>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</si>
  <si>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</si>
  <si>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</si>
  <si>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</si>
  <si>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</si>
  <si>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</si>
  <si>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</si>
  <si>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</si>
  <si>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</si>
  <si>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</si>
  <si>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</si>
  <si>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</si>
  <si>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</si>
  <si>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</si>
  <si>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</si>
  <si>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</si>
  <si>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</si>
  <si>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</si>
  <si>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</si>
  <si>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</si>
  <si>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</si>
  <si>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</si>
  <si>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</si>
  <si>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</si>
  <si>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</si>
  <si>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</si>
  <si>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</si>
  <si>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</si>
  <si>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</si>
  <si>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</si>
  <si>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</si>
  <si>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</si>
  <si>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</si>
  <si>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</si>
  <si>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</si>
  <si>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</si>
  <si>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</si>
  <si>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</si>
  <si>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</si>
  <si>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</si>
  <si>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</si>
  <si>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</si>
  <si>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</si>
  <si>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</si>
  <si>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</si>
  <si>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</si>
  <si>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</si>
  <si>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</si>
  <si>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</si>
  <si>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</si>
  <si>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</si>
  <si>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</si>
  <si>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</si>
  <si>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</si>
  <si>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</si>
  <si>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</si>
  <si>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</si>
  <si>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</si>
  <si>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</si>
  <si>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</si>
  <si>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</si>
  <si>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</si>
  <si>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</si>
  <si>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</si>
  <si>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</si>
  <si>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</si>
  <si>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</si>
  <si>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</si>
  <si>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</si>
  <si>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</si>
  <si>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</si>
  <si>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</si>
  <si>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</si>
  <si>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</si>
  <si>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</si>
  <si>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</si>
  <si>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</si>
  <si>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</si>
  <si>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</si>
  <si>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</si>
  <si>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</si>
  <si>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</si>
  <si>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</si>
  <si>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</si>
  <si>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</si>
  <si>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</si>
  <si>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</si>
  <si>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</si>
  <si>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</si>
  <si>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</si>
  <si>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</si>
  <si>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</si>
  <si>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</si>
  <si>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</si>
  <si>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</si>
  <si>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</si>
  <si>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</si>
  <si>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</si>
  <si>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</si>
  <si>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</si>
  <si>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</si>
  <si>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</si>
  <si>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</si>
  <si>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</si>
  <si>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</si>
  <si>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</si>
  <si>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</si>
  <si>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</si>
  <si>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</si>
  <si>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</si>
  <si>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</si>
  <si>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</si>
  <si>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</si>
  <si>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</si>
  <si>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</si>
  <si>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</si>
  <si>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</si>
  <si>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</si>
  <si>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</si>
  <si>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</si>
  <si>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</si>
  <si>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</si>
  <si>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</si>
  <si>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</si>
  <si>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</si>
  <si>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</si>
  <si>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</si>
  <si>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</si>
  <si>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</si>
  <si>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</si>
  <si>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</si>
  <si>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</si>
  <si>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</si>
  <si>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</si>
  <si>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</si>
  <si>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</si>
  <si>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</si>
  <si>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</si>
  <si>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</si>
  <si>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</si>
  <si>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</si>
  <si>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</si>
  <si>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</si>
  <si>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</si>
  <si>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</si>
  <si>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</si>
  <si>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</si>
  <si>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</si>
  <si>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</si>
  <si>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</si>
  <si>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</si>
  <si>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</si>
  <si>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</si>
  <si>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</si>
  <si>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</si>
  <si>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</si>
  <si>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</si>
  <si>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</si>
  <si>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</si>
  <si>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</si>
  <si>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</si>
  <si>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</si>
  <si>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</si>
  <si>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</si>
  <si>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</si>
  <si>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</si>
  <si>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</si>
  <si>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</si>
  <si>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</si>
  <si>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</si>
  <si>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</si>
  <si>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</si>
  <si>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</si>
  <si>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</si>
  <si>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</si>
  <si>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</si>
  <si>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</si>
  <si>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</si>
  <si>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</si>
  <si>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</si>
  <si>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</si>
  <si>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</si>
  <si>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</si>
  <si>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</si>
  <si>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</si>
  <si>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</si>
  <si>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</si>
  <si>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</si>
  <si>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</si>
  <si>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</si>
  <si>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</si>
  <si>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</si>
  <si>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</si>
  <si>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</si>
  <si>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</si>
  <si>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</si>
  <si>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</si>
  <si>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</si>
  <si>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</si>
  <si>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</si>
  <si>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</si>
  <si>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</si>
  <si>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</si>
  <si>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</si>
  <si>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</si>
  <si>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</si>
  <si>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</si>
  <si>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</si>
  <si>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</si>
  <si>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</si>
  <si>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</si>
  <si>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</si>
  <si>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</si>
  <si>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</si>
  <si>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</si>
  <si>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</si>
  <si>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</si>
  <si>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</si>
  <si>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</si>
  <si>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</si>
  <si>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</si>
  <si>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</si>
  <si>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</si>
  <si>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</si>
  <si>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</si>
  <si>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</si>
  <si>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</si>
  <si>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</si>
  <si>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</si>
  <si>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</si>
  <si>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</si>
  <si>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</si>
  <si>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</si>
  <si>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</si>
  <si>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</si>
  <si>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</si>
  <si>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</si>
  <si>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</si>
  <si>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</si>
  <si>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</si>
  <si>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</si>
  <si>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</si>
  <si>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</si>
  <si>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</si>
  <si>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</si>
  <si>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</si>
  <si>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</si>
  <si>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</si>
  <si>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</si>
  <si>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</si>
  <si>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</si>
  <si>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</si>
  <si>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</si>
  <si>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</si>
  <si>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</si>
  <si>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</si>
  <si>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</si>
  <si>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</si>
  <si>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</si>
  <si>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</si>
  <si>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</si>
  <si>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</si>
  <si>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</si>
  <si>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</si>
  <si>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</si>
  <si>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</si>
  <si>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</si>
  <si>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</si>
  <si>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</si>
  <si>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</si>
  <si>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</si>
  <si>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</si>
  <si>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</si>
  <si>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</si>
  <si>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</si>
  <si>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</si>
  <si>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</si>
  <si>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</si>
  <si>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</si>
  <si>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</si>
  <si>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</si>
  <si>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</si>
  <si>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</si>
  <si>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</si>
  <si>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</si>
  <si>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</si>
  <si>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</si>
  <si>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</si>
  <si>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</si>
  <si>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</si>
  <si>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</si>
  <si>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</si>
  <si>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</si>
  <si>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</si>
  <si>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</si>
  <si>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</si>
  <si>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</si>
  <si>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</si>
  <si>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</si>
  <si>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</si>
  <si>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</si>
  <si>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</si>
  <si>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</si>
  <si>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</si>
  <si>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</si>
  <si>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</si>
  <si>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</si>
  <si>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</si>
  <si>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</si>
  <si>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</si>
  <si>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</si>
  <si>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</si>
  <si>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</si>
  <si>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</si>
  <si>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</si>
  <si>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</si>
  <si>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</si>
  <si>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</si>
  <si>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</si>
  <si>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</si>
  <si>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</si>
  <si>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</si>
  <si>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</si>
  <si>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</si>
  <si>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</si>
  <si>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</si>
  <si>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</si>
  <si>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</si>
  <si>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</si>
  <si>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</si>
  <si>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</si>
  <si>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</si>
  <si>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</si>
  <si>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</si>
  <si>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</si>
  <si>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</si>
  <si>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</si>
  <si>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</si>
  <si>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</si>
  <si>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</si>
  <si>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</si>
  <si>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</si>
  <si>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</si>
  <si>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</si>
  <si>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</si>
  <si>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</si>
  <si>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</si>
  <si>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</si>
  <si>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</si>
  <si>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</si>
  <si>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</si>
  <si>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</si>
  <si>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</si>
  <si>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</si>
  <si>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</si>
  <si>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</si>
  <si>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</si>
  <si>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</si>
  <si>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</si>
  <si>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</si>
  <si>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</si>
  <si>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</si>
  <si>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</si>
  <si>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</si>
  <si>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</si>
  <si>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</si>
  <si>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</si>
  <si>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</si>
  <si>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</si>
  <si>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</si>
  <si>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</si>
  <si>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</si>
  <si>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</si>
  <si>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</si>
  <si>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</si>
  <si>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</si>
  <si>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</si>
  <si>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</si>
  <si>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</si>
  <si>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</si>
  <si>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</si>
  <si>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</si>
  <si>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</si>
  <si>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</si>
  <si>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</si>
  <si>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</si>
  <si>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</si>
  <si>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</si>
  <si>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</si>
  <si>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</si>
  <si>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</si>
  <si>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</si>
  <si>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</si>
  <si>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</si>
  <si>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</si>
  <si>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</si>
  <si>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</si>
  <si>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</si>
  <si>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</si>
  <si>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</si>
  <si>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</si>
  <si>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</si>
  <si>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</si>
  <si>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</si>
  <si>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</si>
  <si>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</si>
  <si>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</si>
  <si>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</si>
  <si>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</si>
  <si>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</si>
  <si>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</si>
  <si>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</si>
  <si>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</si>
  <si>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</si>
  <si>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</si>
  <si>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</si>
  <si>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</si>
  <si>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</si>
  <si>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</si>
  <si>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</si>
  <si>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</si>
  <si>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</si>
  <si>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</si>
  <si>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</si>
  <si>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</si>
  <si>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</si>
  <si>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</si>
  <si>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</si>
  <si>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</si>
  <si>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</si>
  <si>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</si>
  <si>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</si>
  <si>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</si>
  <si>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</si>
  <si>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</si>
  <si>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</si>
  <si>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</si>
  <si>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</si>
  <si>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</si>
  <si>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</si>
  <si>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</si>
  <si>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</si>
  <si>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</si>
  <si>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</si>
  <si>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</si>
  <si>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</si>
  <si>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</si>
  <si>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</si>
  <si>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</si>
  <si>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</si>
  <si>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</si>
  <si>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</si>
  <si>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</si>
  <si>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</si>
  <si>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</si>
  <si>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</si>
  <si>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</si>
  <si>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</si>
  <si>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</si>
  <si>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</si>
  <si>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</si>
  <si>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</si>
  <si>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</si>
  <si>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</si>
  <si>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</si>
  <si>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</si>
  <si>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</si>
  <si>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</si>
  <si>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</si>
  <si>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</si>
  <si>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</si>
  <si>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</si>
  <si>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</si>
  <si>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</si>
  <si>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</si>
  <si>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</si>
  <si>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</si>
  <si>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</si>
  <si>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</si>
  <si>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</si>
  <si>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</si>
  <si>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</si>
  <si>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</si>
  <si>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</si>
  <si>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</si>
  <si>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</si>
  <si>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</si>
  <si>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</si>
  <si>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</si>
  <si>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</si>
  <si>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</si>
  <si>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</si>
  <si>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</si>
  <si>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</si>
  <si>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</si>
  <si>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</si>
  <si>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</si>
  <si>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</si>
  <si>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</si>
  <si>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</si>
  <si>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</si>
  <si>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</si>
  <si>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</si>
  <si>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</si>
  <si>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</si>
  <si>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</si>
  <si>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</si>
  <si>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</si>
  <si>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</si>
  <si>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</si>
  <si>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</si>
  <si>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</si>
  <si>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</si>
  <si>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</si>
  <si>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</si>
  <si>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</si>
  <si>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</si>
  <si>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</si>
  <si>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</si>
  <si>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</si>
  <si>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</si>
  <si>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</si>
  <si>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</si>
  <si>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</si>
  <si>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</si>
  <si>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</si>
  <si>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</si>
  <si>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</si>
  <si>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</si>
  <si>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</si>
  <si>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</si>
  <si>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</si>
  <si>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</si>
  <si>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</si>
  <si>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</si>
  <si>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</si>
  <si>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</si>
  <si>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</si>
  <si>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</si>
  <si>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</si>
  <si>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</si>
  <si>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</si>
  <si>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</si>
  <si>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</si>
  <si>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</si>
  <si>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</si>
  <si>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</si>
  <si>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</si>
  <si>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</si>
  <si>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</si>
  <si>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</si>
  <si>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</si>
  <si>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</si>
  <si>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</si>
  <si>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</si>
  <si>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</si>
  <si>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</si>
  <si>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</si>
  <si>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</si>
  <si>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</si>
  <si>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</si>
  <si>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</si>
  <si>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</si>
  <si>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</si>
  <si>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</si>
  <si>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</si>
  <si>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</si>
  <si>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</si>
  <si>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</si>
  <si>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</si>
  <si>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</si>
  <si>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</si>
  <si>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</si>
  <si>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</si>
  <si>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</si>
  <si>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</si>
  <si>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</si>
  <si>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</si>
  <si>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</si>
  <si>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</si>
  <si>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</si>
  <si>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</si>
  <si>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</si>
  <si>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</si>
  <si>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</si>
  <si>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</si>
  <si>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</si>
  <si>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</si>
  <si>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</si>
  <si>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</si>
  <si>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</si>
  <si>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</si>
  <si>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</si>
  <si>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</si>
  <si>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</si>
  <si>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</si>
  <si>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</si>
  <si>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</si>
  <si>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</si>
  <si>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</si>
  <si>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</si>
  <si>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</si>
  <si>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</si>
  <si>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</si>
  <si>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</si>
  <si>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</si>
  <si>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</si>
  <si>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</si>
  <si>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</si>
  <si>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</si>
  <si>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</si>
  <si>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</si>
  <si>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</si>
  <si>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</si>
  <si>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</si>
  <si>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</si>
  <si>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</si>
  <si>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</si>
  <si>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</si>
  <si>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</si>
  <si>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</si>
  <si>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</si>
  <si>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</si>
  <si>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</si>
  <si>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</si>
  <si>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</si>
  <si>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</si>
  <si>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</si>
  <si>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</si>
  <si>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</si>
  <si>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</si>
  <si>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</si>
  <si>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</si>
  <si>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</si>
  <si>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</si>
  <si>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</si>
  <si>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</si>
  <si>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</si>
  <si>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</si>
  <si>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</si>
  <si>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</si>
  <si>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</si>
  <si>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</si>
  <si>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</si>
  <si>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</si>
  <si>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</si>
  <si>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</si>
  <si>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</si>
  <si>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</si>
  <si>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</si>
  <si>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</si>
  <si>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</si>
  <si>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</si>
  <si>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</si>
  <si>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</si>
  <si>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</si>
  <si>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</si>
  <si>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</si>
  <si>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</si>
  <si>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</si>
  <si>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</si>
  <si>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</si>
  <si>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</si>
  <si>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</si>
  <si>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</si>
  <si>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</si>
  <si>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</si>
  <si>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</si>
  <si>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</si>
  <si>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</si>
  <si>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</si>
  <si>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</si>
  <si>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</si>
  <si>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</si>
  <si>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</si>
  <si>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</si>
  <si>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</si>
  <si>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</si>
  <si>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</si>
  <si>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</si>
  <si>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</si>
  <si>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</si>
  <si>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</si>
  <si>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</si>
  <si>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</si>
  <si>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</si>
  <si>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</si>
  <si>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</si>
  <si>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</si>
  <si>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</si>
  <si>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</si>
  <si>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</si>
  <si>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</si>
  <si>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</si>
  <si>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</si>
  <si>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</si>
  <si>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</si>
  <si>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</si>
  <si>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</si>
  <si>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</si>
  <si>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</si>
  <si>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</si>
  <si>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</si>
  <si>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</si>
  <si>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</si>
  <si>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</si>
  <si>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</si>
  <si>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</si>
  <si>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</si>
  <si>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</si>
  <si>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</si>
  <si>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</si>
  <si>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</si>
  <si>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</si>
  <si>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</si>
  <si>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</si>
  <si>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</si>
  <si>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</si>
  <si>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</si>
  <si>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</si>
  <si>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</si>
  <si>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</si>
  <si>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</si>
  <si>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</si>
  <si>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</si>
  <si>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</si>
  <si>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</si>
  <si>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</si>
  <si>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</si>
  <si>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</si>
  <si>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</si>
  <si>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</si>
  <si>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</si>
  <si>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</si>
  <si>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</si>
  <si>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</si>
  <si>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</si>
  <si>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</si>
  <si>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</si>
  <si>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</si>
  <si>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</si>
  <si>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</si>
  <si>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</si>
  <si>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</si>
  <si>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</si>
  <si>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</si>
  <si>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</si>
  <si>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</si>
  <si>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</si>
  <si>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</si>
  <si>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</si>
  <si>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</si>
  <si>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</si>
  <si>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</si>
  <si>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</si>
  <si>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</si>
  <si>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</si>
  <si>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</si>
  <si>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</si>
  <si>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</si>
  <si>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</si>
  <si>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</si>
  <si>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</si>
  <si>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</si>
  <si>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</si>
  <si>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</si>
  <si>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</si>
  <si>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</si>
  <si>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</si>
  <si>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</si>
  <si>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</si>
  <si>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</si>
  <si>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</si>
  <si>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</si>
  <si>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</si>
  <si>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</si>
  <si>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</si>
  <si>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</si>
  <si>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</si>
  <si>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</si>
  <si>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</si>
  <si>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</si>
  <si>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</si>
  <si>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</si>
  <si>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</si>
  <si>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</si>
  <si>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</si>
  <si>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</si>
  <si>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</si>
  <si>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</si>
  <si>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</si>
  <si>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</si>
  <si>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</si>
  <si>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</si>
  <si>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</si>
  <si>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</si>
  <si>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</si>
  <si>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</si>
  <si>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</si>
  <si>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</si>
  <si>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</si>
  <si>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</si>
  <si>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</si>
  <si>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</si>
  <si>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</si>
  <si>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</si>
  <si>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</si>
  <si>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</si>
  <si>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</si>
  <si>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</si>
  <si>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</si>
  <si>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</si>
  <si>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</si>
  <si>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</si>
  <si>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</si>
  <si>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</si>
  <si>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</si>
  <si>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</si>
  <si>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</si>
  <si>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</si>
  <si>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</si>
  <si>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</si>
  <si>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</si>
  <si>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</si>
  <si>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</si>
  <si>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</si>
  <si>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</si>
  <si>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</si>
  <si>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</si>
  <si>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</si>
  <si>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</si>
  <si>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</si>
  <si>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</si>
  <si>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</si>
  <si>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</si>
  <si>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</si>
  <si>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</si>
  <si>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</si>
  <si>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</si>
  <si>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</si>
  <si>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</si>
  <si>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</si>
  <si>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</si>
  <si>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</si>
  <si>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</si>
  <si>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</si>
  <si>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</si>
  <si>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</si>
  <si>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</si>
  <si>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</si>
  <si>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</si>
  <si>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</si>
  <si>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</si>
  <si>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</si>
  <si>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</si>
  <si>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</si>
  <si>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</si>
  <si>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</si>
  <si>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</si>
  <si>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</si>
  <si>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</si>
  <si>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</si>
  <si>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</si>
  <si>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</si>
  <si>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</si>
  <si>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</si>
  <si>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</si>
  <si>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</si>
  <si>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</si>
  <si>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</si>
  <si>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</si>
  <si>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</si>
  <si>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</si>
  <si>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</si>
  <si>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</si>
  <si>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</si>
  <si>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</si>
  <si>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</si>
  <si>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</si>
  <si>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</si>
  <si>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</si>
  <si>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</si>
  <si>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</si>
  <si>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</si>
  <si>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</si>
  <si>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</si>
  <si>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</si>
  <si>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</si>
  <si>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</si>
  <si>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</si>
  <si>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</si>
  <si>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</si>
  <si>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</si>
  <si>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</si>
  <si>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</si>
  <si>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</si>
  <si>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</si>
  <si>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</si>
  <si>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</si>
  <si>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</si>
  <si>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</si>
  <si>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</si>
  <si>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</si>
  <si>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</si>
  <si>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</si>
  <si>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</si>
  <si>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</si>
  <si>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</si>
  <si>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</si>
  <si>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</si>
  <si>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</si>
  <si>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</si>
  <si>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</si>
  <si>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</si>
  <si>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</si>
  <si>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</si>
  <si>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</si>
  <si>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</si>
  <si>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</si>
  <si>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</si>
  <si>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</si>
  <si>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</si>
  <si>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</si>
  <si>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</si>
  <si>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</si>
  <si>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</si>
  <si>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</si>
  <si>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</si>
  <si>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</si>
  <si>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</si>
  <si>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</si>
  <si>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</si>
  <si>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</si>
  <si>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</si>
  <si>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</si>
  <si>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</si>
  <si>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</si>
  <si>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</si>
  <si>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</si>
  <si>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</si>
  <si>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</si>
  <si>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</si>
  <si>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</si>
  <si>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</si>
  <si>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</si>
  <si>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</si>
  <si>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</si>
  <si>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</si>
  <si>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</si>
  <si>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</si>
  <si>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</si>
  <si>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</si>
  <si>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</si>
  <si>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</si>
  <si>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</si>
  <si>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</si>
  <si>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</si>
  <si>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</si>
  <si>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</si>
  <si>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</si>
  <si>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</si>
  <si>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</si>
  <si>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</si>
  <si>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</si>
  <si>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</si>
  <si>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</si>
  <si>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</si>
  <si>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</si>
  <si>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</si>
  <si>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</si>
  <si>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</si>
  <si>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</si>
  <si>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</si>
  <si>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</si>
  <si>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</si>
  <si>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</si>
  <si>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</si>
  <si>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</si>
  <si>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</si>
  <si>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</si>
  <si>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</si>
  <si>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</si>
  <si>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</si>
  <si>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</si>
  <si>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</si>
  <si>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</si>
  <si>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</si>
  <si>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</si>
  <si>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</si>
  <si>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</si>
  <si>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</si>
  <si>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</si>
  <si>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</si>
  <si>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</si>
  <si>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</si>
  <si>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</si>
  <si>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</si>
  <si>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</si>
  <si>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</si>
  <si>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</si>
  <si>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</si>
  <si>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</si>
  <si>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</si>
  <si>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</si>
  <si>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</si>
  <si>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</si>
  <si>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</si>
  <si>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</si>
  <si>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</si>
  <si>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</si>
  <si>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</si>
  <si>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</si>
  <si>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</si>
  <si>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</si>
  <si>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</si>
  <si>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</si>
  <si>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</si>
  <si>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</si>
  <si>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</si>
  <si>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</si>
  <si>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</si>
  <si>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</si>
  <si>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</si>
  <si>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</si>
  <si>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</si>
  <si>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</si>
  <si>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</si>
  <si>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</si>
  <si>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</si>
  <si>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</si>
  <si>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</si>
  <si>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</si>
  <si>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</si>
  <si>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</si>
  <si>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</si>
  <si>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</si>
  <si>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</si>
  <si>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</si>
  <si>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</si>
  <si>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</si>
  <si>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</si>
  <si>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</si>
  <si>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</si>
  <si>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</si>
  <si>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</si>
  <si>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</si>
  <si>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</si>
  <si>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</si>
  <si>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</si>
  <si>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</si>
  <si>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</si>
  <si>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</si>
  <si>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</si>
  <si>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</si>
  <si>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</si>
  <si>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</si>
  <si>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</si>
  <si>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</si>
  <si>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</si>
  <si>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</si>
  <si>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</si>
  <si>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</si>
  <si>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</si>
  <si>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</si>
  <si>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</si>
  <si>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</si>
  <si>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</si>
  <si>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</si>
  <si>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</si>
  <si>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</si>
  <si>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</si>
  <si>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</si>
  <si>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</si>
  <si>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</si>
  <si>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</si>
  <si>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</si>
  <si>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</si>
  <si>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</si>
  <si>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</si>
  <si>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</si>
  <si>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</si>
  <si>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</si>
  <si>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</si>
  <si>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</si>
  <si>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</si>
  <si>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</si>
  <si>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</si>
  <si>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</si>
  <si>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</si>
  <si>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</si>
  <si>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</si>
  <si>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</si>
  <si>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</si>
  <si>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</si>
  <si>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</si>
  <si>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</si>
  <si>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</si>
  <si>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</si>
  <si>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</si>
  <si>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</si>
  <si>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</si>
  <si>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</si>
  <si>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</si>
  <si>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</si>
  <si>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</si>
  <si>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</si>
  <si>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</si>
  <si>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</si>
  <si>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</si>
  <si>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</si>
  <si>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</si>
  <si>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</si>
  <si>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</si>
  <si>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</si>
  <si>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</si>
  <si>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</si>
  <si>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</si>
  <si>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</si>
  <si>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</si>
  <si>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</si>
  <si>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</si>
  <si>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</si>
  <si>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</si>
  <si>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</si>
  <si>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</si>
  <si>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</si>
  <si>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</si>
  <si>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</si>
  <si>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</si>
  <si>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</si>
  <si>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</si>
  <si>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</si>
  <si>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</si>
  <si>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</si>
  <si>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</si>
  <si>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</si>
  <si>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</si>
  <si>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</si>
  <si>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</si>
  <si>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</si>
  <si>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</si>
  <si>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</si>
  <si>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</si>
  <si>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</si>
  <si>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</si>
  <si>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</si>
  <si>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</si>
  <si>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</si>
  <si>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</si>
  <si>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</si>
  <si>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</si>
  <si>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</si>
  <si>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</si>
  <si>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</si>
  <si>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</si>
  <si>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</si>
  <si>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</si>
  <si>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</si>
  <si>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</si>
  <si>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</si>
  <si>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</si>
  <si>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</si>
  <si>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</si>
  <si>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</si>
  <si>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</si>
  <si>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</si>
  <si>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</si>
  <si>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</si>
  <si>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</si>
  <si>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</si>
  <si>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</si>
  <si>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</si>
  <si>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</si>
  <si>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</si>
  <si>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</si>
  <si>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</si>
  <si>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</si>
  <si>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</si>
  <si>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</si>
  <si>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</si>
  <si>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</si>
  <si>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</si>
  <si>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</si>
  <si>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</si>
  <si>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</si>
  <si>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</si>
  <si>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</si>
  <si>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</si>
  <si>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</si>
  <si>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</si>
  <si>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</si>
  <si>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</si>
  <si>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</si>
  <si>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</si>
  <si>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</si>
  <si>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</si>
  <si>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</si>
  <si>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</si>
  <si>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</si>
  <si>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</si>
  <si>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</si>
  <si>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</si>
  <si>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</si>
  <si>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</si>
  <si>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</si>
  <si>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</si>
  <si>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</si>
  <si>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</si>
  <si>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</si>
  <si>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</si>
  <si>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</si>
  <si>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</si>
  <si>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</si>
  <si>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</si>
  <si>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</si>
  <si>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</si>
  <si>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</si>
  <si>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</si>
  <si>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</si>
  <si>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</si>
  <si>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</si>
  <si>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</si>
  <si>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</si>
  <si>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</si>
  <si>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</si>
  <si>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</si>
  <si>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</si>
  <si>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</si>
  <si>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</si>
  <si>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</si>
  <si>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</si>
  <si>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</si>
  <si>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</si>
  <si>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</si>
  <si>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</si>
  <si>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</si>
  <si>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</si>
  <si>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</si>
  <si>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</si>
  <si>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</si>
  <si>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</si>
  <si>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</si>
  <si>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</si>
  <si>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</si>
  <si>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</si>
  <si>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</si>
  <si>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</si>
  <si>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</si>
  <si>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</si>
  <si>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</si>
  <si>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</si>
  <si>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</si>
  <si>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</si>
  <si>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</si>
  <si>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</si>
  <si>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</si>
  <si>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</si>
  <si>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</si>
  <si>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</si>
  <si>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</si>
  <si>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</si>
  <si>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</si>
  <si>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</si>
  <si>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</si>
  <si>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</si>
  <si>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</si>
  <si>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</si>
  <si>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</si>
  <si>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</si>
  <si>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</si>
  <si>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</si>
  <si>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</si>
  <si>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</si>
  <si>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</si>
  <si>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</si>
  <si>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</si>
  <si>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</si>
  <si>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</si>
  <si>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</si>
  <si>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</si>
  <si>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</si>
  <si>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</si>
  <si>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</si>
  <si>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</si>
  <si>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</si>
  <si>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</si>
  <si>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</si>
  <si>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</si>
  <si>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</si>
  <si>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</si>
  <si>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</si>
  <si>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</si>
  <si>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</si>
  <si>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</si>
  <si>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</si>
  <si>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</si>
  <si>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</si>
  <si>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</si>
  <si>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</si>
  <si>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</si>
  <si>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</si>
  <si>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</si>
  <si>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</si>
  <si>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</si>
  <si>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</si>
  <si>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</si>
  <si>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</si>
  <si>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</si>
  <si>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</si>
  <si>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</si>
  <si>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</si>
  <si>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</si>
  <si>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</si>
  <si>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</si>
  <si>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</si>
  <si>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</si>
  <si>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</si>
  <si>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</si>
  <si>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</si>
  <si>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</si>
  <si>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</si>
  <si>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</si>
  <si>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</si>
  <si>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</si>
  <si>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</si>
  <si>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</si>
  <si>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</si>
  <si>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</si>
  <si>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</si>
  <si>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</si>
  <si>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</si>
  <si>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</si>
  <si>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</si>
  <si>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</si>
  <si>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</si>
  <si>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</si>
  <si>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</si>
  <si>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</si>
  <si>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</si>
  <si>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</si>
  <si>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</si>
  <si>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</si>
  <si>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</si>
  <si>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</si>
  <si>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</si>
  <si>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</si>
  <si>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</si>
  <si>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</si>
  <si>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</si>
  <si>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</si>
  <si>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</si>
  <si>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</si>
  <si>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</si>
  <si>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</si>
  <si>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</si>
  <si>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</si>
  <si>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</si>
  <si>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</si>
  <si>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</si>
  <si>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</si>
  <si>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</si>
  <si>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</si>
  <si>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</si>
  <si>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</si>
  <si>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</si>
  <si>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</si>
  <si>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</si>
  <si>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</si>
  <si>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</si>
  <si>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</si>
  <si>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</si>
  <si>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</si>
  <si>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</si>
  <si>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</si>
  <si>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</si>
  <si>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</si>
  <si>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</si>
  <si>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</si>
  <si>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</si>
  <si>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</si>
  <si>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</si>
  <si>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</si>
  <si>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</si>
  <si>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</si>
  <si>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</si>
  <si>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</si>
  <si>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</si>
  <si>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</si>
  <si>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</si>
  <si>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</si>
  <si>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</si>
  <si>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</si>
  <si>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</si>
  <si>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</si>
  <si>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</si>
  <si>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</si>
  <si>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</si>
  <si>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</si>
  <si>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</si>
  <si>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</si>
  <si>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</si>
  <si>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</si>
  <si>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</si>
  <si>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</si>
  <si>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</si>
  <si>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</si>
  <si>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</si>
  <si>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</si>
  <si>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</si>
  <si>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</si>
  <si>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</si>
  <si>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</si>
  <si>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</si>
  <si>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</si>
  <si>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</si>
  <si>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</si>
  <si>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</si>
  <si>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</si>
  <si>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</si>
  <si>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</si>
  <si>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</si>
  <si>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</si>
  <si>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</si>
  <si>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</si>
  <si>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</si>
  <si>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</si>
  <si>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</si>
  <si>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</si>
  <si>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</si>
  <si>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</si>
  <si>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</si>
  <si>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</si>
  <si>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</si>
  <si>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</si>
  <si>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</si>
  <si>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</si>
  <si>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</si>
  <si>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</si>
  <si>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</si>
  <si>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</si>
  <si>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</si>
  <si>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</si>
  <si>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</si>
  <si>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</si>
  <si>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</si>
  <si>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</si>
  <si>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</si>
  <si>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</si>
  <si>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</si>
  <si>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</si>
  <si>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</si>
  <si>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</si>
  <si>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</si>
  <si>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</si>
  <si>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</si>
  <si>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</si>
  <si>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</si>
  <si>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</si>
  <si>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</si>
  <si>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</si>
  <si>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</si>
  <si>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</si>
  <si>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</si>
  <si>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</si>
  <si>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</si>
  <si>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</si>
  <si>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</si>
  <si>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</si>
  <si>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</si>
  <si>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</si>
  <si>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</si>
  <si>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</si>
  <si>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</si>
  <si>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</si>
  <si>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</si>
  <si>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</si>
  <si>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</si>
  <si>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</si>
  <si>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</si>
  <si>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</si>
  <si>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</si>
  <si>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</si>
  <si>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</si>
  <si>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</si>
  <si>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</si>
  <si>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</si>
  <si>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</si>
  <si>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</si>
  <si>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</si>
  <si>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</si>
  <si>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</si>
  <si>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</si>
  <si>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</si>
  <si>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</si>
  <si>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</si>
  <si>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</si>
  <si>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</si>
  <si>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</si>
  <si>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</si>
  <si>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</si>
  <si>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</si>
  <si>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</si>
  <si>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</si>
  <si>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</si>
  <si>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</si>
  <si>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</si>
  <si>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</si>
  <si>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</si>
  <si>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</si>
  <si>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</si>
  <si>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</si>
  <si>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</si>
  <si>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</si>
  <si>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</si>
  <si>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</si>
  <si>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</si>
  <si>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</si>
  <si>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</si>
  <si>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</si>
  <si>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</si>
  <si>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</si>
  <si>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</si>
  <si>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</si>
  <si>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</si>
  <si>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</si>
  <si>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</si>
  <si>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</si>
  <si>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</si>
  <si>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</si>
  <si>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</si>
  <si>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</si>
  <si>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</si>
  <si>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</si>
  <si>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</si>
  <si>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</si>
  <si>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</si>
  <si>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</si>
  <si>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</si>
  <si>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</si>
  <si>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</si>
  <si>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</si>
  <si>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</si>
  <si>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</si>
  <si>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</si>
  <si>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</si>
  <si>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</si>
  <si>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</si>
  <si>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</si>
  <si>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</si>
  <si>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</si>
  <si>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</si>
  <si>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</si>
  <si>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</si>
  <si>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</si>
  <si>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</si>
  <si>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</si>
  <si>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</si>
  <si>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</si>
  <si>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</si>
  <si>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</si>
  <si>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</si>
  <si>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</si>
  <si>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</si>
  <si>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</si>
  <si>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</si>
  <si>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</si>
  <si>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</si>
  <si>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</si>
  <si>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</si>
  <si>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</si>
  <si>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</si>
  <si>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</si>
  <si>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</si>
  <si>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</si>
  <si>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</si>
  <si>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</si>
  <si>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</si>
  <si>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</si>
  <si>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</si>
  <si>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</si>
  <si>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</si>
  <si>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</si>
  <si>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</si>
  <si>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</si>
  <si>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</si>
  <si>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</si>
  <si>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</si>
  <si>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</si>
  <si>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</si>
  <si>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</si>
  <si>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</si>
  <si>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</si>
  <si>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</si>
  <si>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</si>
  <si>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</si>
  <si>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</si>
  <si>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</si>
  <si>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</si>
  <si>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</si>
  <si>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</si>
  <si>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</si>
  <si>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</si>
  <si>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</si>
  <si>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</si>
  <si>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</si>
  <si>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</si>
  <si>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</si>
  <si>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</si>
  <si>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</si>
  <si>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</si>
  <si>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</si>
  <si>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</si>
  <si>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</si>
  <si>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</si>
  <si>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</si>
  <si>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</si>
  <si>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</si>
  <si>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</si>
  <si>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</si>
  <si>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</si>
  <si>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</si>
  <si>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</si>
  <si>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</si>
  <si>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</si>
  <si>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</si>
  <si>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</si>
  <si>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</si>
  <si>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</si>
  <si>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</si>
  <si>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</si>
  <si>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</si>
  <si>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</si>
  <si>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</si>
  <si>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</si>
  <si>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</si>
  <si>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</si>
  <si>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</si>
  <si>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</si>
  <si>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</si>
  <si>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</si>
  <si>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</si>
  <si>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</si>
  <si>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</si>
  <si>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</si>
  <si>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</si>
  <si>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</si>
  <si>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</si>
  <si>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</si>
  <si>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</si>
  <si>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</si>
  <si>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</si>
  <si>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</si>
  <si>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</si>
  <si>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</si>
  <si>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</si>
  <si>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</si>
  <si>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</si>
  <si>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</si>
  <si>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</si>
  <si>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</si>
  <si>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</si>
  <si>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</si>
  <si>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</si>
  <si>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</si>
  <si>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</si>
  <si>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</si>
  <si>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</si>
  <si>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</si>
  <si>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</si>
  <si>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</si>
  <si>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</si>
  <si>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</si>
  <si>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</si>
  <si>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</si>
  <si>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</si>
  <si>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</si>
  <si>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</si>
  <si>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</si>
  <si>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</si>
  <si>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</si>
  <si>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</si>
  <si>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</si>
  <si>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</si>
  <si>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</si>
  <si>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</si>
  <si>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</si>
  <si>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</si>
  <si>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</si>
  <si>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</si>
  <si>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</si>
  <si>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</si>
  <si>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</si>
  <si>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</si>
  <si>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</si>
  <si>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</si>
  <si>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</si>
  <si>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</si>
  <si>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</si>
  <si>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</si>
  <si>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</si>
  <si>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</si>
  <si>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</si>
  <si>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</si>
  <si>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</si>
  <si>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</si>
  <si>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</si>
  <si>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</si>
  <si>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</si>
  <si>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</si>
  <si>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</si>
  <si>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</si>
  <si>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</si>
  <si>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</si>
  <si>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</si>
  <si>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</si>
  <si>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</si>
  <si>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</si>
  <si>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</si>
  <si>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</si>
  <si>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</si>
  <si>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</si>
  <si>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</si>
  <si>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</si>
  <si>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</si>
  <si>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</si>
  <si>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</si>
  <si>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</si>
  <si>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</si>
  <si>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</si>
  <si>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</si>
  <si>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</si>
  <si>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</si>
  <si>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</si>
  <si>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</si>
  <si>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</si>
  <si>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</si>
  <si>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</si>
  <si>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</si>
  <si>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</si>
  <si>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</si>
  <si>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</si>
  <si>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</si>
  <si>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</si>
  <si>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</si>
  <si>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</si>
  <si>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</si>
  <si>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</si>
  <si>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</si>
  <si>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</si>
  <si>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</si>
  <si>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</si>
  <si>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</si>
  <si>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</si>
  <si>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</si>
  <si>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</si>
  <si>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</si>
  <si>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</si>
  <si>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</si>
  <si>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</si>
  <si>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</si>
  <si>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</si>
  <si>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</si>
  <si>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</si>
  <si>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</si>
  <si>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</si>
  <si>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</si>
  <si>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</si>
  <si>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</si>
  <si>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</si>
  <si>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</si>
  <si>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</si>
  <si>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</si>
  <si>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</si>
  <si>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</si>
  <si>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</si>
  <si>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</si>
  <si>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</si>
  <si>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</si>
  <si>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</si>
  <si>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</si>
  <si>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</si>
  <si>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</si>
  <si>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</si>
  <si>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</si>
  <si>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</si>
  <si>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</si>
  <si>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</si>
  <si>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</si>
  <si>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</si>
  <si>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</si>
  <si>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</si>
  <si>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</si>
  <si>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</si>
  <si>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</si>
  <si>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</si>
  <si>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</si>
  <si>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</si>
  <si>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</si>
  <si>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</si>
  <si>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</si>
  <si>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</si>
  <si>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</si>
  <si>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</si>
  <si>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</si>
  <si>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</si>
  <si>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</si>
  <si>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</si>
  <si>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</si>
  <si>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</si>
  <si>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</si>
  <si>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</si>
  <si>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</si>
  <si>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</si>
  <si>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</si>
  <si>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</si>
  <si>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</si>
  <si>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</si>
  <si>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</si>
  <si>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</si>
  <si>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</si>
  <si>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</si>
  <si>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</si>
  <si>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</si>
  <si>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</si>
  <si>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</si>
  <si>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</si>
  <si>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</si>
  <si>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</si>
  <si>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</si>
  <si>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</si>
  <si>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</si>
  <si>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</si>
  <si>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</si>
  <si>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</si>
  <si>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</si>
  <si>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</si>
  <si>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</si>
  <si>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</si>
  <si>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</si>
  <si>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</si>
  <si>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</si>
  <si>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</si>
  <si>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</si>
  <si>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</si>
  <si>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</si>
  <si>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</si>
  <si>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</si>
  <si>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</si>
  <si>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</si>
  <si>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</si>
  <si>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</si>
  <si>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</si>
  <si>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</si>
  <si>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</si>
  <si>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</si>
  <si>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</si>
  <si>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</si>
  <si>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</si>
  <si>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</si>
  <si>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</si>
  <si>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</si>
  <si>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</si>
  <si>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</si>
  <si>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</si>
  <si>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</si>
  <si>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</si>
  <si>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</si>
  <si>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</si>
  <si>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</si>
  <si>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</si>
  <si>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</si>
  <si>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</si>
  <si>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</si>
  <si>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</si>
  <si>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</si>
  <si>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</si>
  <si>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</si>
  <si>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</si>
  <si>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</si>
  <si>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</si>
  <si>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</si>
  <si>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</si>
  <si>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</si>
  <si>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</si>
  <si>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</si>
  <si>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</si>
  <si>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</si>
  <si>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</si>
  <si>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</si>
  <si>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</si>
  <si>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</si>
  <si>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</si>
  <si>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</si>
  <si>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</si>
  <si>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</si>
  <si>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</si>
  <si>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</si>
  <si>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</si>
  <si>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</si>
  <si>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</si>
  <si>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</si>
  <si>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</si>
  <si>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</si>
  <si>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</si>
  <si>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</si>
  <si>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</si>
  <si>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</si>
  <si>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</si>
  <si>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</si>
  <si>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</si>
  <si>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</si>
  <si>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</si>
  <si>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</si>
  <si>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</si>
  <si>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</si>
  <si>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</si>
  <si>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</si>
  <si>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</si>
  <si>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</si>
  <si>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</si>
  <si>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</si>
  <si>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</si>
  <si>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</si>
  <si>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</si>
  <si>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</si>
  <si>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</si>
  <si>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</si>
  <si>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</si>
  <si>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</si>
  <si>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</si>
  <si>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</si>
  <si>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</si>
  <si>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</si>
  <si>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</si>
  <si>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</si>
  <si>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</si>
  <si>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</si>
  <si>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</si>
  <si>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</si>
  <si>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</si>
  <si>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</si>
  <si>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</si>
  <si>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</si>
  <si>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</si>
  <si>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</si>
  <si>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</si>
  <si>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</si>
  <si>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</si>
  <si>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</si>
  <si>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</si>
  <si>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</si>
  <si>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</si>
  <si>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</si>
  <si>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</si>
  <si>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</si>
  <si>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</si>
  <si>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</si>
  <si>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</si>
  <si>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</si>
  <si>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</si>
  <si>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</si>
  <si>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</si>
  <si>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</si>
  <si>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</si>
  <si>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</si>
  <si>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</si>
  <si>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</si>
  <si>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</si>
  <si>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</si>
  <si>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</si>
  <si>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</si>
  <si>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</si>
  <si>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</si>
  <si>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</si>
  <si>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</si>
  <si>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</si>
  <si>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</si>
  <si>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</si>
  <si>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</si>
  <si>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</si>
  <si>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</si>
  <si>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</si>
  <si>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</si>
  <si>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</si>
  <si>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</si>
  <si>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</si>
  <si>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</si>
  <si>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</si>
  <si>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</si>
  <si>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</si>
  <si>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</si>
  <si>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</si>
  <si>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</si>
  <si>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</si>
  <si>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</si>
  <si>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</si>
  <si>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</si>
  <si>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</si>
  <si>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</si>
  <si>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</si>
  <si>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</si>
  <si>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</si>
  <si>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</si>
  <si>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</si>
  <si>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</si>
  <si>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</si>
  <si>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</si>
  <si>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</si>
  <si>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</si>
  <si>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</si>
  <si>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</si>
  <si>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</si>
  <si>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</si>
  <si>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</si>
  <si>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</si>
  <si>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</si>
  <si>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</si>
  <si>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</si>
  <si>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</si>
  <si>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</si>
  <si>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</si>
  <si>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</si>
  <si>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</si>
  <si>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</si>
  <si>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</si>
  <si>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</si>
  <si>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</si>
  <si>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</si>
  <si>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</si>
  <si>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</si>
  <si>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</si>
  <si>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</si>
  <si>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</si>
  <si>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</si>
  <si>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</si>
  <si>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</si>
  <si>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</si>
  <si>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</si>
  <si>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</si>
  <si>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</si>
  <si>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</si>
  <si>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</si>
  <si>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</si>
  <si>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</si>
  <si>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</si>
  <si>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</si>
  <si>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</si>
  <si>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</si>
  <si>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</si>
  <si>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</si>
  <si>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</si>
  <si>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</si>
  <si>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</si>
  <si>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</si>
  <si>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</si>
  <si>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</si>
  <si>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</si>
  <si>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</si>
  <si>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</si>
  <si>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</si>
  <si>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</si>
  <si>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</si>
  <si>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</si>
  <si>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</si>
  <si>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</si>
  <si>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</si>
  <si>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</si>
  <si>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</si>
  <si>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</si>
  <si>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</si>
  <si>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</si>
  <si>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</si>
  <si>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</si>
  <si>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</si>
  <si>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</si>
  <si>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</si>
  <si>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</si>
  <si>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</si>
  <si>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</si>
  <si>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</si>
  <si>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</si>
  <si>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</si>
  <si>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</si>
  <si>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</si>
  <si>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</si>
  <si>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</si>
  <si>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</si>
  <si>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</si>
  <si>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</si>
  <si>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</si>
  <si>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</si>
  <si>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</si>
  <si>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</si>
  <si>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</si>
  <si>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</si>
  <si>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</si>
  <si>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</si>
  <si>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</si>
  <si>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</si>
  <si>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</si>
  <si>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</si>
  <si>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</si>
  <si>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</si>
  <si>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</si>
  <si>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</si>
  <si>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</si>
  <si>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</si>
  <si>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</si>
  <si>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</si>
  <si>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</si>
  <si>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</si>
  <si>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</si>
  <si>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</si>
  <si>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</si>
  <si>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</si>
  <si>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</si>
  <si>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</si>
  <si>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</si>
  <si>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</si>
  <si>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</si>
  <si>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</si>
  <si>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</si>
  <si>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</si>
  <si>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</si>
  <si>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</si>
  <si>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</si>
  <si>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</si>
  <si>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</si>
  <si>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</si>
  <si>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</si>
  <si>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</si>
  <si>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</si>
  <si>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</si>
  <si>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</si>
  <si>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</si>
  <si>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</si>
  <si>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</si>
  <si>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</si>
  <si>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</si>
  <si>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</si>
  <si>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</si>
  <si>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</si>
  <si>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</si>
  <si>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</si>
  <si>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</si>
  <si>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</si>
  <si>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</si>
  <si>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</si>
  <si>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</si>
  <si>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</si>
  <si>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</si>
  <si>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</si>
  <si>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</si>
  <si>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</si>
  <si>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</si>
  <si>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</si>
  <si>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</si>
  <si>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</si>
  <si>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</si>
  <si>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</si>
  <si>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</si>
  <si>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</si>
  <si>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</si>
  <si>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</si>
  <si>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</si>
  <si>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</si>
  <si>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</si>
  <si>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</si>
  <si>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</si>
  <si>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</si>
  <si>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</si>
  <si>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</si>
  <si>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</si>
  <si>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</si>
  <si>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</si>
  <si>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</si>
  <si>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</si>
  <si>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</si>
  <si>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</si>
  <si>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</si>
  <si>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</si>
  <si>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</si>
  <si>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</si>
  <si>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</si>
  <si>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</si>
  <si>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</si>
  <si>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</si>
  <si>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</si>
  <si>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</si>
  <si>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</si>
  <si>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</si>
  <si>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</si>
  <si>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</si>
  <si>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</si>
  <si>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</si>
  <si>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</si>
  <si>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</si>
  <si>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</si>
  <si>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</si>
  <si>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</si>
  <si>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</si>
  <si>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</si>
  <si>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</si>
  <si>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</si>
  <si>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</si>
  <si>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</si>
  <si>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</si>
  <si>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</si>
  <si>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</si>
  <si>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</si>
  <si>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</si>
  <si>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</si>
  <si>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</si>
  <si>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</si>
  <si>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</si>
  <si>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</si>
  <si>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</si>
  <si>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</si>
  <si>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</si>
  <si>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</si>
  <si>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</si>
  <si>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</si>
  <si>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</si>
  <si>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</si>
  <si>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</si>
  <si>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</si>
  <si>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</si>
  <si>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</si>
  <si>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</si>
  <si>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</si>
  <si>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</si>
  <si>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</si>
  <si>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</si>
  <si>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</si>
  <si>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</si>
  <si>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</si>
  <si>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</si>
  <si>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</si>
  <si>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</si>
  <si>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</si>
  <si>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</si>
  <si>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</si>
  <si>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</si>
  <si>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</si>
  <si>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</si>
  <si>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</si>
  <si>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</si>
  <si>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</si>
  <si>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</si>
  <si>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</si>
  <si>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</si>
  <si>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</si>
  <si>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</si>
  <si>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</si>
  <si>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</si>
  <si>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</si>
  <si>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</si>
  <si>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</si>
  <si>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</si>
  <si>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</si>
  <si>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</si>
  <si>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</si>
  <si>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</si>
  <si>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</si>
  <si>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</si>
  <si>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</si>
  <si>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</si>
  <si>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</si>
  <si>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</si>
  <si>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</si>
  <si>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</si>
  <si>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</si>
  <si>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</si>
  <si>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</si>
  <si>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</si>
  <si>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</si>
  <si>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</si>
  <si>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</si>
  <si>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</si>
  <si>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</si>
  <si>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</si>
  <si>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</si>
  <si>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</si>
  <si>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</si>
  <si>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</si>
  <si>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</si>
  <si>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</si>
  <si>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</si>
  <si>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</si>
  <si>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</si>
  <si>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</si>
  <si>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</si>
  <si>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</si>
  <si>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</si>
  <si>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</si>
  <si>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</si>
  <si>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</si>
  <si>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</si>
  <si>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</si>
  <si>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</si>
  <si>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</si>
  <si>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</si>
  <si>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</si>
  <si>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</si>
  <si>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</si>
  <si>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</si>
  <si>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</si>
  <si>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</si>
  <si>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</si>
  <si>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</si>
  <si>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</si>
  <si>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</si>
  <si>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</si>
  <si>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</si>
  <si>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</si>
  <si>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</si>
  <si>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</si>
  <si>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</si>
  <si>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</si>
  <si>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</si>
  <si>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</si>
  <si>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</si>
  <si>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</si>
  <si>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</si>
  <si>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</si>
  <si>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</si>
  <si>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</si>
  <si>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</si>
  <si>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</si>
  <si>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</si>
  <si>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</si>
  <si>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</si>
  <si>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</si>
  <si>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</si>
  <si>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</si>
  <si>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</si>
  <si>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</si>
  <si>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</si>
  <si>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</si>
  <si>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</si>
  <si>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</si>
  <si>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</si>
  <si>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</si>
  <si>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</si>
  <si>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</si>
  <si>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</si>
  <si>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</si>
  <si>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</si>
  <si>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</si>
  <si>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</si>
  <si>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</si>
  <si>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</si>
  <si>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</si>
  <si>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</si>
  <si>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</si>
  <si>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</si>
  <si>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</si>
  <si>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</si>
  <si>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</si>
  <si>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</si>
  <si>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</si>
  <si>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</si>
  <si>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</si>
  <si>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</si>
  <si>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</si>
  <si>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</si>
  <si>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</si>
  <si>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</si>
  <si>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</si>
  <si>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</si>
  <si>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</si>
  <si>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</si>
  <si>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</si>
  <si>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</si>
  <si>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</si>
  <si>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</si>
  <si>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</si>
  <si>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</si>
  <si>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</si>
  <si>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</si>
  <si>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</si>
  <si>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</si>
  <si>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</si>
  <si>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</si>
  <si>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</si>
  <si>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</si>
  <si>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</si>
  <si>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</si>
  <si>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</si>
  <si>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</si>
  <si>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</si>
  <si>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</si>
  <si>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</si>
  <si>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</si>
  <si>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</si>
  <si>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</si>
  <si>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</si>
  <si>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</si>
  <si>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</si>
  <si>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</si>
  <si>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</si>
  <si>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</si>
  <si>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</si>
  <si>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</si>
  <si>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</si>
  <si>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</si>
  <si>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</si>
  <si>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</si>
  <si>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</si>
  <si>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</si>
  <si>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</si>
  <si>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</si>
  <si>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</si>
  <si>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</si>
  <si>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</si>
  <si>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</si>
  <si>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</si>
  <si>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</si>
  <si>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</si>
  <si>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</si>
  <si>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</si>
  <si>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</si>
  <si>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</si>
  <si>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</si>
  <si>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</si>
  <si>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</si>
  <si>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</si>
  <si>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</si>
  <si>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</si>
  <si>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</si>
  <si>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</si>
  <si>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</si>
  <si>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</si>
  <si>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</si>
  <si>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</si>
  <si>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</si>
  <si>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</si>
  <si>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</si>
  <si>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</si>
  <si>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</si>
  <si>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</si>
  <si>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</si>
  <si>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</si>
  <si>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</si>
  <si>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</si>
  <si>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</si>
  <si>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</si>
  <si>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</si>
  <si>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</si>
  <si>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</si>
  <si>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</si>
  <si>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</si>
  <si>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</si>
  <si>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</si>
  <si>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</si>
  <si>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</si>
  <si>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</si>
  <si>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</si>
  <si>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</si>
  <si>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</si>
  <si>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</si>
  <si>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</si>
  <si>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</si>
  <si>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</si>
  <si>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</si>
  <si>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</si>
  <si>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</si>
  <si>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</si>
  <si>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</si>
  <si>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</si>
  <si>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</si>
  <si>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</si>
  <si>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</si>
  <si>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</si>
  <si>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</si>
  <si>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</si>
  <si>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</si>
  <si>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</si>
  <si>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</si>
  <si>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</si>
  <si>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</si>
  <si>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</si>
  <si>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</si>
  <si>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</si>
  <si>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</si>
  <si>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</si>
  <si>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</si>
  <si>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</si>
  <si>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</si>
  <si>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</si>
  <si>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</si>
  <si>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</si>
  <si>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</si>
  <si>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</si>
  <si>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</si>
  <si>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</si>
  <si>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</si>
  <si>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</si>
  <si>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</si>
  <si>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</si>
  <si>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</si>
  <si>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</si>
  <si>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</si>
  <si>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</si>
  <si>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</si>
  <si>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</si>
  <si>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</si>
  <si>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</si>
  <si>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</si>
  <si>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</si>
  <si>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</si>
  <si>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</si>
  <si>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</si>
  <si>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</si>
  <si>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</si>
  <si>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</si>
  <si>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</si>
  <si>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</si>
  <si>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</si>
  <si>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</si>
  <si>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</si>
  <si>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</si>
  <si>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</si>
  <si>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</si>
  <si>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</si>
  <si>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</si>
  <si>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</si>
  <si>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</si>
  <si>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</si>
  <si>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</si>
  <si>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</si>
  <si>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</si>
  <si>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</si>
  <si>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</si>
  <si>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</si>
  <si>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</si>
  <si>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</si>
  <si>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</si>
  <si>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</si>
  <si>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</si>
  <si>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</si>
  <si>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</si>
  <si>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</si>
  <si>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</si>
  <si>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</si>
  <si>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</si>
  <si>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</si>
  <si>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</si>
  <si>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</si>
  <si>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</si>
  <si>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</si>
  <si>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</si>
  <si>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</si>
  <si>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</si>
  <si>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</si>
  <si>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</si>
  <si>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</si>
  <si>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</si>
  <si>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</si>
  <si>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</si>
  <si>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</si>
  <si>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</si>
  <si>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</si>
  <si>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</si>
  <si>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</si>
  <si>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</si>
  <si>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</si>
  <si>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</si>
  <si>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</si>
  <si>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</si>
  <si>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</si>
  <si>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</si>
  <si>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</si>
  <si>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</si>
  <si>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</si>
  <si>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</si>
  <si>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</si>
  <si>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</si>
  <si>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</si>
  <si>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</si>
  <si>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</si>
  <si>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</si>
  <si>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</si>
  <si>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</si>
  <si>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</si>
  <si>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</si>
  <si>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</si>
  <si>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</si>
  <si>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</si>
  <si>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</si>
  <si>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</si>
  <si>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</si>
  <si>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</si>
  <si>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</si>
  <si>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</si>
  <si>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</si>
  <si>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</si>
  <si>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</si>
  <si>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</si>
  <si>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</si>
  <si>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</si>
  <si>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</si>
  <si>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</si>
  <si>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</si>
  <si>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</si>
  <si>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</si>
  <si>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</si>
  <si>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</si>
  <si>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</si>
  <si>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</si>
  <si>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</si>
  <si>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</si>
  <si>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</si>
  <si>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</si>
  <si>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</si>
  <si>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</si>
  <si>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</si>
  <si>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</si>
  <si>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</si>
  <si>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</si>
  <si>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</si>
  <si>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</si>
  <si>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</si>
  <si>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</si>
  <si>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</si>
  <si>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</si>
  <si>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</si>
  <si>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</si>
  <si>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</si>
  <si>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</si>
  <si>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</si>
  <si>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</si>
  <si>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</si>
  <si>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</si>
  <si>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</si>
  <si>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</si>
  <si>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</si>
  <si>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</si>
  <si>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</si>
  <si>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</si>
  <si>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</si>
  <si>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</si>
  <si>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</si>
  <si>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</si>
  <si>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</si>
  <si>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</si>
  <si>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</si>
  <si>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</si>
  <si>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</si>
  <si>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</si>
  <si>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</si>
  <si>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</si>
  <si>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</si>
  <si>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</si>
  <si>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</si>
  <si>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</si>
  <si>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</si>
  <si>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</si>
  <si>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</si>
  <si>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</si>
  <si>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</si>
  <si>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</si>
  <si>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</si>
  <si>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</si>
  <si>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</si>
  <si>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</si>
  <si>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</si>
  <si>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</si>
  <si>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</si>
  <si>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</si>
  <si>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</si>
  <si>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</si>
  <si>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</si>
  <si>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</si>
  <si>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</si>
  <si>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</si>
  <si>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</si>
  <si>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</si>
  <si>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</si>
  <si>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</si>
  <si>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</si>
  <si>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</si>
  <si>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</si>
  <si>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</si>
  <si>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</si>
  <si>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</si>
  <si>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</si>
  <si>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</si>
  <si>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</si>
  <si>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</si>
  <si>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</si>
  <si>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</si>
  <si>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</si>
  <si>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</si>
  <si>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</si>
  <si>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</si>
  <si>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</si>
  <si>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</si>
  <si>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</si>
  <si>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</si>
  <si>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</si>
  <si>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</si>
  <si>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</si>
  <si>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</si>
  <si>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</si>
  <si>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</si>
  <si>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</si>
  <si>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</si>
  <si>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</si>
  <si>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</si>
  <si>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</si>
  <si>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</si>
  <si>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</si>
  <si>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</si>
  <si>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</si>
  <si>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</si>
  <si>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</si>
  <si>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</si>
  <si>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</si>
  <si>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</si>
  <si>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</si>
  <si>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</si>
  <si>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</si>
  <si>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</si>
  <si>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</si>
  <si>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</si>
  <si>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</si>
  <si>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</si>
  <si>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</si>
  <si>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</si>
  <si>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</si>
  <si>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</si>
  <si>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</si>
  <si>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</si>
  <si>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</si>
  <si>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</si>
  <si>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</si>
  <si>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</si>
  <si>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</si>
  <si>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</si>
  <si>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</si>
  <si>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</si>
  <si>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</si>
  <si>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</si>
  <si>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</si>
  <si>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</si>
  <si>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</si>
  <si>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</si>
  <si>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</si>
  <si>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</si>
  <si>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</si>
  <si>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</si>
  <si>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</si>
  <si>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</si>
  <si>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</si>
  <si>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</si>
  <si>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</si>
  <si>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</si>
  <si>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</si>
  <si>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</si>
  <si>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</si>
  <si>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</si>
  <si>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</si>
  <si>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</si>
  <si>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</si>
  <si>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</si>
  <si>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</si>
  <si>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</si>
  <si>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</si>
  <si>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</si>
  <si>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</si>
  <si>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</si>
  <si>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</si>
  <si>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</si>
  <si>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</si>
  <si>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</si>
  <si>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</si>
  <si>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</si>
  <si>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</si>
  <si>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</si>
  <si>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</si>
  <si>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</si>
  <si>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</si>
  <si>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</si>
  <si>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</si>
  <si>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</si>
  <si>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</si>
  <si>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</si>
  <si>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</si>
  <si>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</si>
  <si>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</si>
  <si>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</si>
  <si>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</si>
  <si>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</si>
  <si>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</si>
  <si>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</si>
  <si>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</si>
  <si>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</si>
  <si>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</si>
  <si>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</si>
  <si>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</si>
  <si>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</si>
  <si>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</si>
  <si>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</si>
  <si>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</si>
  <si>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</si>
  <si>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</si>
  <si>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</si>
  <si>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</si>
  <si>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</si>
  <si>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</si>
  <si>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</si>
  <si>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</si>
  <si>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</si>
  <si>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</si>
  <si>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</si>
  <si>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</si>
  <si>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</si>
  <si>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</si>
  <si>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</si>
  <si>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</si>
  <si>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</si>
  <si>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</si>
  <si>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</si>
  <si>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</si>
  <si>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</si>
  <si>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</si>
  <si>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</si>
  <si>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</si>
  <si>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</si>
  <si>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</si>
  <si>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</si>
  <si>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</si>
  <si>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</si>
  <si>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</si>
  <si>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</si>
  <si>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</si>
  <si>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</si>
  <si>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</si>
  <si>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</si>
  <si>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</si>
  <si>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</si>
  <si>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</si>
  <si>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</si>
  <si>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</si>
  <si>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</si>
  <si>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</si>
  <si>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</si>
  <si>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</si>
  <si>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</si>
  <si>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</si>
  <si>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</si>
  <si>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</si>
  <si>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</si>
  <si>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</si>
  <si>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</si>
  <si>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</si>
  <si>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</si>
  <si>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</si>
  <si>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</si>
  <si>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</si>
  <si>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</si>
  <si>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</si>
  <si>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</si>
  <si>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</si>
  <si>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</si>
  <si>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</si>
  <si>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</si>
  <si>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</si>
  <si>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</si>
  <si>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</si>
  <si>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</si>
  <si>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</si>
  <si>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</si>
  <si>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</si>
  <si>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</si>
  <si>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</si>
  <si>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</si>
  <si>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</si>
  <si>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</si>
  <si>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</si>
  <si>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</si>
  <si>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</si>
  <si>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</si>
  <si>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</si>
  <si>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</si>
  <si>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</si>
  <si>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</si>
  <si>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</si>
  <si>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</si>
  <si>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</si>
  <si>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</si>
  <si>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</si>
  <si>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</si>
  <si>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</si>
  <si>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</si>
  <si>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</si>
  <si>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</si>
  <si>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</si>
  <si>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</si>
  <si>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</si>
  <si>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</si>
  <si>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</si>
  <si>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</si>
  <si>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</si>
  <si>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</si>
  <si>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</si>
  <si>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</si>
  <si>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</si>
  <si>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</si>
  <si>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</si>
  <si>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</si>
  <si>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</si>
  <si>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</si>
  <si>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</si>
  <si>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</si>
  <si>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</si>
  <si>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</si>
  <si>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</si>
  <si>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</si>
  <si>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</si>
  <si>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</si>
  <si>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</si>
  <si>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</si>
  <si>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</si>
  <si>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</si>
  <si>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</si>
  <si>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</si>
  <si>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</si>
  <si>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</si>
  <si>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</si>
  <si>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</si>
  <si>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</si>
  <si>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</si>
  <si>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</si>
  <si>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</si>
  <si>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</si>
  <si>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</si>
  <si>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</si>
  <si>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</si>
  <si>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</si>
  <si>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</si>
  <si>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</si>
  <si>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</si>
  <si>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</si>
  <si>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</si>
  <si>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</si>
  <si>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</si>
  <si>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</si>
  <si>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</si>
  <si>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</si>
  <si>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</si>
  <si>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</si>
  <si>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</si>
  <si>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</si>
  <si>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</si>
  <si>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</si>
  <si>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</si>
  <si>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</si>
  <si>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</si>
  <si>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</si>
  <si>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</si>
  <si>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</si>
  <si>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</si>
  <si>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</si>
  <si>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</si>
  <si>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</si>
  <si>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</si>
  <si>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</si>
  <si>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</si>
  <si>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</si>
  <si>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</si>
  <si>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</si>
  <si>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</si>
  <si>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</si>
  <si>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</si>
  <si>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</si>
  <si>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</si>
  <si>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</si>
  <si>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</si>
  <si>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</si>
  <si>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</si>
  <si>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</si>
  <si>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</si>
  <si>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</si>
  <si>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</si>
  <si>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</si>
  <si>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</si>
  <si>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</si>
  <si>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</si>
  <si>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</si>
  <si>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</si>
  <si>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</si>
  <si>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</si>
  <si>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</si>
  <si>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</si>
  <si>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</si>
  <si>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</si>
  <si>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</si>
  <si>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</si>
  <si>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</si>
  <si>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</si>
  <si>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</si>
  <si>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</si>
  <si>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</si>
  <si>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</si>
  <si>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</si>
  <si>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</si>
  <si>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</si>
  <si>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</si>
  <si>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</si>
  <si>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</si>
  <si>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</si>
  <si>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</si>
  <si>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</si>
  <si>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</si>
  <si>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</si>
  <si>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</si>
  <si>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</si>
  <si>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</si>
  <si>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</si>
  <si>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</si>
  <si>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</si>
  <si>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</si>
  <si>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</si>
  <si>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</si>
  <si>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</si>
  <si>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</si>
  <si>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</si>
  <si>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</si>
  <si>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</si>
  <si>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</si>
  <si>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</si>
  <si>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</si>
  <si>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</si>
  <si>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</si>
  <si>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</si>
  <si>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</si>
  <si>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</si>
  <si>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</si>
  <si>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</si>
  <si>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</si>
  <si>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</si>
  <si>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</si>
  <si>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</si>
  <si>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</si>
  <si>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</si>
  <si>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</si>
  <si>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</si>
  <si>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</si>
  <si>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</si>
  <si>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</si>
  <si>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</si>
  <si>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</si>
  <si>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</si>
  <si>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</si>
  <si>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</si>
  <si>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</si>
  <si>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</si>
  <si>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</si>
  <si>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</si>
  <si>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</si>
  <si>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</si>
  <si>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</si>
  <si>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</si>
  <si>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</si>
  <si>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</si>
  <si>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</si>
  <si>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</si>
  <si>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</si>
  <si>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</si>
  <si>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</si>
  <si>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</si>
  <si>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</si>
  <si>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</si>
  <si>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</si>
  <si>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</si>
  <si>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</si>
  <si>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</si>
  <si>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</si>
  <si>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</si>
  <si>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</si>
  <si>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</si>
  <si>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</si>
  <si>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</si>
  <si>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</si>
  <si>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</si>
  <si>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</si>
  <si>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</si>
  <si>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</si>
  <si>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</si>
  <si>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</si>
  <si>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</si>
  <si>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</si>
  <si>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</si>
  <si>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</si>
  <si>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</si>
  <si>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</si>
  <si>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</si>
  <si>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</si>
  <si>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</si>
  <si>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</si>
  <si>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</si>
  <si>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</si>
  <si>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</si>
  <si>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</si>
  <si>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</si>
  <si>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</si>
  <si>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</si>
  <si>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</si>
  <si>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</si>
  <si>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</si>
  <si>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</si>
  <si>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</si>
  <si>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</si>
  <si>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</si>
  <si>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</si>
  <si>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</si>
  <si>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</si>
  <si>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</si>
  <si>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</si>
  <si>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</si>
  <si>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</si>
  <si>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</si>
  <si>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</si>
  <si>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</si>
  <si>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</si>
  <si>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</si>
  <si>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</si>
  <si>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</si>
  <si>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</si>
  <si>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</si>
  <si>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</si>
  <si>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</si>
  <si>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</si>
  <si>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</si>
  <si>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</si>
  <si>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</si>
  <si>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</si>
  <si>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</si>
  <si>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</si>
  <si>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</si>
  <si>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</si>
  <si>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</si>
  <si>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</si>
  <si>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</si>
  <si>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</si>
  <si>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</si>
  <si>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</si>
  <si>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</si>
  <si>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</si>
  <si>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</si>
  <si>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</si>
  <si>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</si>
  <si>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</si>
  <si>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</si>
  <si>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</si>
  <si>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</si>
  <si>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</si>
  <si>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</si>
  <si>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</si>
  <si>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</si>
  <si>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</si>
  <si>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</si>
  <si>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</si>
  <si>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</si>
  <si>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</si>
  <si>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</si>
  <si>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</si>
  <si>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</si>
  <si>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</si>
  <si>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</si>
  <si>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</si>
  <si>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</si>
  <si>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</si>
  <si>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</si>
  <si>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</si>
  <si>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</si>
  <si>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</si>
  <si>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</si>
  <si>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</si>
  <si>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</si>
  <si>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</si>
  <si>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</si>
  <si>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</si>
  <si>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</si>
  <si>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</si>
  <si>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</si>
  <si>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</si>
  <si>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</si>
  <si>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</si>
  <si>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</si>
  <si>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</si>
  <si>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</si>
  <si>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</si>
  <si>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</si>
  <si>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</si>
  <si>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</si>
  <si>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</si>
  <si>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</si>
  <si>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</si>
  <si>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</si>
  <si>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</si>
  <si>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</si>
  <si>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</si>
  <si>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</si>
  <si>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</si>
  <si>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</si>
  <si>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</si>
  <si>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</si>
  <si>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</si>
  <si>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</si>
  <si>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</si>
  <si>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</si>
  <si>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</si>
  <si>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</si>
  <si>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</si>
  <si>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</si>
  <si>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</si>
  <si>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</si>
  <si>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</si>
  <si>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</si>
  <si>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</si>
  <si>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</si>
  <si>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</si>
  <si>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</si>
  <si>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</si>
  <si>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</si>
  <si>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</si>
  <si>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</si>
  <si>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</si>
  <si>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</si>
  <si>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</si>
  <si>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</si>
  <si>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</si>
  <si>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</si>
  <si>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</si>
  <si>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</si>
  <si>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</si>
  <si>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</si>
  <si>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</si>
  <si>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</si>
  <si>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</si>
  <si>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</si>
  <si>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</si>
  <si>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</si>
  <si>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</si>
  <si>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</si>
  <si>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</si>
  <si>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</si>
  <si>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</si>
  <si>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</si>
  <si>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</si>
  <si>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</si>
  <si>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</si>
  <si>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</si>
  <si>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</si>
  <si>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</si>
  <si>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</si>
  <si>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</si>
  <si>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</si>
  <si>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</si>
  <si>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</si>
  <si>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</si>
  <si>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</si>
  <si>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</si>
  <si>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</si>
  <si>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</si>
  <si>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</si>
  <si>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</si>
  <si>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</si>
  <si>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</si>
  <si>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</si>
  <si>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</si>
  <si>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</si>
  <si>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</si>
  <si>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</si>
  <si>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</si>
  <si>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</si>
  <si>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</si>
  <si>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</si>
  <si>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</si>
  <si>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</si>
  <si>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</si>
  <si>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</si>
  <si>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</si>
  <si>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</si>
  <si>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</si>
  <si>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</si>
  <si>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</si>
  <si>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</si>
  <si>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</si>
  <si>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</si>
  <si>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</si>
  <si>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</si>
  <si>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</si>
  <si>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</si>
  <si>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</si>
  <si>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</si>
  <si>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</si>
  <si>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</si>
  <si>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</si>
  <si>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</si>
  <si>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</si>
  <si>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</si>
  <si>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</si>
  <si>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</si>
  <si>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</si>
  <si>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</si>
  <si>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</si>
  <si>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</si>
  <si>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</si>
  <si>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</si>
  <si>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</si>
  <si>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</si>
  <si>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</si>
  <si>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</si>
  <si>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</si>
  <si>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</si>
  <si>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</si>
  <si>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</si>
  <si>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</si>
  <si>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</si>
  <si>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</si>
  <si>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</si>
  <si>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</si>
  <si>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</si>
  <si>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</si>
  <si>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</si>
  <si>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</si>
  <si>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</si>
  <si>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</si>
  <si>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</si>
  <si>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</si>
  <si>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</si>
  <si>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</si>
  <si>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</si>
  <si>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</si>
  <si>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</si>
  <si>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</si>
  <si>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</si>
  <si>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</si>
  <si>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</si>
  <si>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</si>
  <si>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</si>
  <si>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</si>
  <si>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</si>
  <si>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</si>
  <si>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</si>
  <si>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</si>
  <si>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</si>
  <si>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</si>
  <si>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</si>
  <si>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</si>
  <si>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</si>
  <si>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</si>
  <si>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</si>
  <si>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</si>
  <si>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</si>
  <si>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</si>
  <si>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</si>
  <si>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</si>
  <si>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</si>
  <si>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</si>
  <si>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</si>
  <si>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</si>
  <si>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</si>
  <si>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</si>
  <si>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</si>
  <si>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</si>
  <si>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</si>
  <si>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</si>
  <si>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</si>
  <si>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</si>
  <si>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</si>
  <si>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</si>
  <si>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</si>
  <si>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</si>
  <si>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</si>
  <si>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</si>
  <si>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</si>
  <si>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</si>
  <si>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</si>
  <si>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</si>
  <si>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</si>
  <si>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</si>
  <si>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</si>
  <si>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</si>
  <si>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</si>
  <si>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</si>
  <si>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</si>
  <si>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</si>
  <si>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</si>
  <si>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</si>
  <si>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</si>
  <si>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</si>
  <si>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</si>
  <si>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</si>
  <si>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</si>
  <si>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</si>
  <si>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</si>
  <si>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</si>
  <si>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</si>
  <si>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</si>
  <si>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</si>
  <si>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</si>
  <si>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</si>
  <si>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</si>
  <si>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</si>
  <si>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</si>
  <si>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</si>
  <si>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</si>
  <si>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</si>
  <si>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</si>
  <si>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</si>
  <si>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</si>
  <si>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</si>
  <si>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</si>
  <si>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</si>
  <si>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</si>
  <si>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</si>
  <si>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</si>
  <si>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</si>
  <si>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</si>
  <si>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</si>
  <si>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</si>
  <si>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</si>
  <si>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</si>
  <si>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</si>
  <si>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</si>
  <si>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</si>
  <si>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</si>
  <si>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</si>
  <si>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</si>
  <si>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</si>
  <si>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</si>
  <si>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</si>
  <si>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</si>
  <si>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</si>
  <si>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</si>
  <si>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</si>
  <si>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</si>
  <si>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</si>
  <si>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</si>
  <si>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</si>
  <si>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</si>
  <si>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</si>
  <si>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</si>
  <si>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</si>
  <si>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</si>
  <si>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</si>
  <si>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</si>
  <si>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</si>
  <si>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</si>
  <si>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</si>
  <si>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</si>
  <si>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</si>
  <si>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</si>
  <si>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</si>
  <si>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</si>
  <si>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</si>
  <si>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</si>
  <si>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</si>
  <si>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</si>
  <si>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</si>
  <si>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</si>
  <si>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</si>
  <si>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</si>
  <si>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</si>
  <si>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</si>
  <si>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</si>
  <si>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</si>
  <si>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</si>
  <si>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</si>
  <si>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</si>
  <si>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</si>
  <si>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</si>
  <si>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</si>
  <si>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</si>
  <si>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</si>
  <si>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</si>
  <si>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</si>
  <si>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</si>
  <si>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</si>
  <si>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</si>
  <si>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</si>
  <si>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</si>
  <si>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</si>
  <si>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</si>
  <si>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</si>
  <si>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</si>
  <si>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</si>
  <si>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</si>
  <si>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</si>
  <si>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</si>
  <si>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</si>
  <si>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</si>
  <si>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</si>
  <si>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</si>
  <si>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</si>
  <si>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</si>
  <si>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</si>
  <si>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</si>
  <si>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</si>
  <si>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</si>
  <si>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</si>
  <si>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</si>
  <si>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</si>
  <si>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</si>
  <si>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</si>
  <si>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</si>
  <si>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</si>
  <si>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</si>
  <si>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</si>
  <si>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</si>
  <si>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</si>
  <si>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</si>
  <si>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</si>
  <si>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</si>
  <si>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</si>
  <si>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</si>
  <si>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</si>
  <si>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</si>
  <si>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</si>
  <si>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</si>
  <si>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</si>
  <si>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</si>
  <si>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</si>
  <si>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</si>
  <si>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</si>
  <si>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</si>
  <si>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</si>
  <si>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</si>
  <si>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</si>
  <si>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</si>
  <si>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</si>
  <si>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</si>
  <si>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</si>
  <si>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</si>
  <si>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</si>
  <si>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</si>
  <si>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</si>
  <si>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</si>
  <si>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</si>
  <si>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</si>
  <si>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</si>
  <si>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</si>
  <si>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</si>
  <si>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</si>
  <si>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</si>
  <si>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</si>
  <si>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</si>
  <si>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</si>
  <si>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</si>
  <si>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</si>
  <si>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</si>
  <si>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</si>
  <si>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</si>
  <si>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</si>
  <si>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</si>
  <si>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</si>
  <si>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</si>
  <si>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</si>
  <si>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</si>
  <si>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</si>
  <si>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</si>
  <si>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</si>
  <si>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</si>
  <si>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</si>
  <si>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</si>
  <si>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</si>
  <si>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</si>
  <si>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</si>
  <si>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</si>
  <si>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</si>
  <si>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</si>
  <si>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</si>
  <si>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</si>
  <si>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</si>
  <si>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</si>
  <si>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</si>
  <si>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</si>
  <si>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</si>
  <si>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</si>
  <si>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</si>
  <si>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</si>
  <si>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</si>
  <si>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</si>
  <si>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</si>
  <si>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</si>
  <si>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</si>
  <si>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</si>
  <si>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</si>
  <si>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</si>
  <si>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</si>
  <si>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</si>
  <si>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</si>
  <si>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</si>
  <si>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</si>
  <si>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</si>
  <si>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</si>
  <si>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</si>
  <si>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</si>
  <si>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</si>
  <si>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</si>
  <si>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</si>
  <si>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</si>
  <si>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</si>
  <si>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</si>
  <si>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</si>
  <si>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</si>
  <si>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</si>
  <si>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</si>
  <si>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</si>
  <si>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</si>
  <si>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</si>
  <si>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</si>
  <si>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</si>
  <si>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</si>
  <si>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</si>
  <si>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</si>
  <si>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</si>
  <si>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</si>
  <si>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</si>
  <si>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</si>
  <si>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</si>
  <si>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</si>
  <si>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</si>
  <si>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</si>
  <si>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</si>
  <si>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</si>
  <si>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</si>
  <si>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</si>
  <si>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</si>
  <si>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</si>
  <si>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</si>
  <si>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</si>
  <si>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</si>
  <si>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</si>
  <si>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</si>
  <si>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</si>
  <si>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</si>
  <si>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</si>
  <si>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</si>
  <si>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</si>
  <si>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</si>
  <si>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</si>
  <si>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</si>
  <si>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</si>
  <si>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</si>
  <si>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</si>
  <si>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</si>
  <si>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</si>
  <si>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</si>
  <si>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</si>
  <si>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</si>
  <si>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</si>
  <si>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</si>
  <si>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</si>
  <si>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</si>
  <si>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</si>
  <si>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</si>
  <si>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</si>
  <si>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</si>
  <si>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</si>
  <si>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</si>
  <si>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</si>
  <si>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</si>
  <si>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</si>
  <si>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</si>
  <si>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</si>
  <si>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</si>
  <si>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</si>
  <si>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</si>
  <si>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</si>
  <si>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</si>
  <si>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</si>
  <si>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</si>
  <si>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</si>
  <si>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</si>
  <si>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</si>
  <si>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</si>
  <si>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</si>
  <si>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</si>
  <si>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</si>
  <si>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</si>
  <si>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</si>
  <si>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</si>
  <si>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</si>
  <si>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</si>
  <si>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</si>
  <si>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</si>
  <si>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</si>
  <si>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</si>
  <si>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</si>
  <si>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</si>
  <si>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</si>
  <si>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</si>
  <si>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</si>
  <si>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</si>
  <si>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</si>
  <si>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</si>
  <si>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</si>
  <si>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</si>
  <si>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</si>
  <si>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</si>
  <si>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</si>
  <si>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</si>
  <si>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</si>
  <si>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</si>
  <si>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</si>
  <si>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</si>
  <si>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</si>
  <si>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</si>
  <si>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</si>
  <si>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</si>
  <si>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</si>
  <si>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</si>
  <si>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</si>
  <si>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</si>
  <si>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</si>
  <si>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</si>
  <si>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</si>
  <si>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</si>
  <si>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</si>
  <si>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</si>
  <si>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</si>
  <si>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</si>
  <si>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</si>
  <si>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</si>
  <si>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</si>
  <si>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</si>
  <si>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</si>
  <si>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</si>
  <si>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</si>
  <si>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</si>
  <si>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</si>
  <si>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</si>
  <si>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</si>
  <si>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</si>
  <si>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</si>
  <si>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</si>
  <si>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</si>
  <si>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</si>
  <si>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</si>
  <si>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</si>
  <si>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</si>
  <si>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</si>
  <si>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</si>
  <si>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</si>
  <si>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</si>
  <si>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</si>
  <si>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</si>
  <si>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</si>
  <si>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</si>
  <si>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</si>
  <si>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</si>
  <si>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</si>
  <si>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</si>
  <si>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</si>
  <si>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</si>
  <si>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</si>
  <si>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</si>
  <si>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</si>
  <si>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</si>
  <si>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</si>
  <si>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</si>
  <si>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</si>
  <si>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</si>
  <si>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</si>
  <si>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</si>
  <si>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</si>
  <si>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</si>
  <si>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</si>
  <si>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</si>
  <si>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</si>
  <si>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</si>
  <si>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</si>
  <si>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</si>
  <si>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</si>
  <si>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</si>
  <si>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</si>
  <si>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</si>
  <si>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</si>
  <si>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</si>
  <si>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</si>
  <si>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</si>
  <si>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</si>
  <si>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</si>
  <si>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</si>
  <si>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</si>
  <si>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</si>
  <si>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</si>
  <si>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</si>
  <si>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</si>
  <si>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</si>
  <si>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</si>
  <si>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</si>
  <si>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</si>
  <si>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</si>
  <si>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</si>
  <si>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</si>
  <si>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</si>
  <si>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</si>
  <si>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</si>
  <si>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</si>
  <si>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</si>
  <si>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</si>
  <si>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</si>
  <si>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</si>
  <si>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</si>
  <si>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</si>
  <si>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</si>
  <si>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</si>
  <si>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</si>
  <si>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</si>
  <si>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</si>
  <si>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</si>
  <si>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</si>
  <si>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</si>
  <si>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</si>
  <si>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</si>
  <si>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</si>
  <si>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</si>
  <si>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</si>
  <si>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</si>
  <si>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</si>
  <si>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</si>
  <si>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</si>
  <si>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</si>
  <si>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</si>
  <si>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</si>
  <si>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</si>
  <si>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</si>
  <si>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</si>
  <si>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</si>
  <si>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</si>
  <si>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</si>
  <si>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</si>
  <si>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</si>
  <si>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</si>
  <si>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</si>
  <si>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</si>
  <si>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</si>
  <si>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</si>
  <si>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</si>
  <si>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</si>
  <si>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</si>
  <si>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</si>
  <si>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</si>
  <si>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</si>
  <si>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</si>
  <si>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</si>
  <si>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</si>
  <si>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</si>
  <si>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</si>
  <si>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</si>
  <si>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</si>
  <si>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</si>
  <si>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</si>
  <si>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</si>
  <si>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</si>
  <si>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</si>
  <si>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</si>
  <si>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</si>
  <si>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</si>
  <si>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</si>
  <si>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</si>
  <si>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</si>
  <si>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</si>
  <si>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</si>
  <si>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</si>
  <si>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</si>
  <si>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</si>
  <si>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</si>
  <si>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</si>
  <si>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</si>
  <si>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</si>
  <si>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</si>
  <si>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</si>
  <si>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</si>
  <si>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</si>
  <si>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</si>
  <si>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</si>
  <si>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</si>
  <si>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</si>
  <si>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</si>
  <si>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</si>
  <si>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</si>
  <si>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</si>
  <si>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</si>
  <si>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</si>
  <si>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</si>
  <si>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</si>
  <si>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</si>
  <si>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</si>
  <si>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</si>
  <si>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</si>
  <si>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</si>
  <si>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</si>
  <si>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</si>
  <si>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</si>
  <si>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</si>
  <si>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</si>
  <si>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</si>
  <si>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</si>
  <si>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</si>
  <si>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</si>
  <si>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</si>
  <si>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</si>
  <si>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</si>
  <si>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</si>
  <si>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</si>
  <si>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</si>
  <si>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</si>
  <si>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</si>
  <si>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</si>
  <si>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</si>
  <si>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</si>
  <si>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</si>
  <si>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</si>
  <si>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</si>
  <si>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</si>
  <si>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</si>
  <si>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</si>
  <si>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</si>
  <si>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</si>
  <si>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</si>
  <si>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</si>
  <si>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</si>
  <si>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</si>
  <si>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</si>
  <si>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</si>
  <si>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</si>
  <si>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</si>
  <si>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</si>
  <si>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</si>
  <si>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</si>
  <si>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</si>
  <si>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</si>
  <si>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</si>
  <si>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</si>
  <si>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</si>
  <si>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</si>
  <si>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</si>
  <si>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</si>
  <si>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</si>
  <si>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</si>
  <si>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</si>
  <si>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</si>
  <si>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</si>
  <si>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</si>
  <si>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</si>
  <si>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</si>
  <si>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</si>
  <si>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</si>
  <si>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</si>
  <si>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</si>
  <si>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</si>
  <si>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</si>
  <si>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</si>
  <si>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</si>
  <si>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</si>
  <si>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</si>
  <si>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</si>
  <si>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</si>
  <si>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</si>
  <si>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</si>
  <si>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</si>
  <si>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</si>
  <si>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</si>
  <si>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</si>
  <si>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</si>
  <si>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</si>
  <si>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</si>
  <si>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</si>
  <si>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</si>
  <si>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</si>
  <si>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</si>
  <si>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</si>
  <si>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</si>
  <si>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</si>
  <si>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</si>
  <si>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</si>
  <si>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</si>
  <si>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</si>
  <si>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</si>
  <si>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</si>
  <si>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</si>
  <si>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</si>
  <si>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</si>
  <si>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</si>
  <si>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</si>
  <si>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</si>
  <si>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</si>
  <si>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</si>
  <si>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</si>
  <si>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</si>
  <si>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</si>
  <si>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</si>
  <si>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</si>
  <si>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</si>
  <si>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</si>
  <si>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</si>
  <si>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</si>
  <si>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</si>
  <si>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</si>
  <si>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</si>
  <si>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</si>
  <si>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</si>
  <si>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</si>
  <si>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</si>
  <si>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</si>
  <si>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</si>
  <si>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</si>
  <si>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</si>
  <si>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</si>
  <si>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</si>
  <si>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</si>
  <si>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</si>
  <si>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</si>
  <si>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</si>
  <si>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</si>
  <si>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</si>
  <si>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</si>
  <si>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</si>
  <si>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</si>
  <si>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</si>
  <si>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</si>
  <si>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</si>
  <si>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</si>
  <si>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</si>
  <si>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</si>
  <si>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</si>
  <si>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</si>
  <si>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</si>
  <si>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</si>
  <si>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</si>
  <si>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</si>
  <si>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</si>
  <si>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</si>
  <si>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</si>
  <si>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</si>
  <si>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</si>
  <si>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</si>
  <si>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</si>
  <si>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</si>
  <si>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</si>
  <si>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</si>
  <si>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</si>
  <si>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</si>
  <si>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</si>
  <si>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</si>
  <si>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</si>
  <si>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</si>
  <si>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</si>
  <si>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</si>
  <si>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</si>
  <si>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</si>
  <si>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</si>
  <si>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</si>
  <si>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</si>
  <si>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</si>
  <si>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</si>
  <si>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</si>
  <si>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</si>
  <si>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</si>
  <si>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</si>
  <si>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</si>
  <si>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</si>
  <si>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</si>
  <si>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</si>
  <si>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</si>
  <si>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</si>
  <si>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</si>
  <si>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</si>
  <si>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</si>
  <si>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</si>
  <si>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</si>
  <si>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</si>
  <si>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</si>
  <si>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</si>
  <si>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</si>
  <si>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</si>
  <si>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</si>
  <si>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</si>
  <si>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</si>
  <si>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</si>
  <si>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</si>
  <si>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</si>
  <si>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</si>
  <si>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</si>
  <si>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</si>
  <si>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</si>
  <si>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</si>
  <si>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</si>
  <si>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</si>
  <si>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</si>
  <si>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</si>
  <si>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</si>
  <si>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</si>
  <si>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</si>
  <si>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</si>
  <si>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</si>
  <si>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</si>
  <si>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</si>
  <si>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</si>
  <si>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</si>
  <si>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</si>
  <si>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</si>
  <si>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</si>
  <si>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</si>
  <si>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</si>
  <si>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</si>
  <si>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</si>
  <si>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</si>
  <si>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</si>
  <si>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</si>
  <si>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</si>
  <si>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</si>
  <si>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</si>
  <si>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</si>
  <si>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</si>
  <si>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</si>
  <si>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</si>
  <si>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</si>
  <si>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</si>
  <si>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</si>
  <si>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</si>
  <si>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</si>
  <si>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</si>
  <si>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</si>
  <si>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</si>
  <si>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</si>
  <si>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</si>
  <si>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</si>
  <si>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</si>
  <si>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</si>
  <si>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</si>
  <si>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</si>
  <si>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</si>
  <si>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</si>
  <si>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</si>
  <si>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</si>
  <si>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</si>
  <si>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</si>
  <si>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</si>
  <si>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</si>
  <si>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</si>
  <si>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</si>
  <si>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</si>
  <si>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</si>
  <si>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</si>
  <si>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</si>
  <si>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</si>
  <si>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</si>
  <si>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</si>
  <si>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</si>
  <si>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</si>
  <si>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</si>
  <si>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</si>
  <si>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</si>
  <si>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</si>
  <si>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</si>
  <si>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</si>
  <si>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</si>
  <si>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</si>
  <si>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</si>
  <si>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</si>
  <si>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</si>
  <si>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</si>
  <si>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</si>
  <si>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</si>
  <si>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</si>
  <si>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</si>
  <si>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</si>
  <si>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</si>
  <si>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</si>
  <si>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</si>
  <si>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</si>
  <si>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</si>
  <si>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</si>
  <si>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</si>
  <si>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</si>
  <si>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</si>
  <si>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</si>
  <si>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</si>
  <si>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</si>
  <si>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</si>
  <si>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</si>
  <si>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</si>
  <si>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</si>
  <si>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</si>
  <si>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</si>
  <si>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</si>
  <si>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</si>
  <si>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</si>
  <si>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</si>
  <si>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</si>
  <si>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</si>
  <si>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</si>
  <si>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</si>
  <si>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</si>
  <si>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</si>
  <si>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</si>
  <si>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</si>
  <si>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</si>
  <si>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</si>
  <si>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</si>
  <si>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</si>
  <si>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</si>
  <si>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</si>
  <si>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</si>
  <si>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</si>
  <si>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</si>
  <si>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</si>
  <si>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</si>
  <si>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</si>
  <si>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</si>
  <si>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</si>
  <si>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</si>
  <si>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</si>
  <si>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</si>
  <si>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</si>
  <si>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</si>
  <si>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</si>
  <si>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</si>
  <si>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</si>
  <si>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</si>
  <si>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</si>
  <si>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</si>
  <si>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</si>
  <si>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</si>
  <si>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</si>
  <si>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</si>
  <si>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</si>
  <si>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</si>
  <si>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</si>
  <si>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</si>
  <si>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</si>
  <si>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</si>
  <si>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</si>
  <si>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</si>
  <si>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</si>
  <si>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</si>
  <si>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</si>
  <si>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</si>
  <si>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</si>
  <si>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</si>
  <si>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</si>
  <si>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</si>
  <si>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</si>
  <si>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</si>
  <si>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</si>
  <si>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</si>
  <si>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</si>
  <si>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</si>
  <si>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</si>
  <si>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</si>
  <si>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</si>
  <si>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</si>
  <si>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</si>
  <si>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</si>
  <si>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</si>
  <si>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</si>
  <si>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</si>
  <si>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</si>
  <si>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</si>
  <si>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</si>
  <si>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</si>
  <si>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</si>
  <si>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</si>
  <si>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</si>
  <si>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</si>
  <si>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</si>
  <si>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</si>
  <si>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</si>
  <si>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</si>
  <si>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</si>
  <si>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</si>
  <si>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</si>
  <si>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</si>
  <si>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</si>
  <si>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</si>
  <si>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</si>
  <si>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</si>
  <si>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</si>
  <si>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</si>
  <si>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</si>
  <si>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</si>
  <si>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</si>
  <si>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</si>
  <si>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</si>
  <si>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</si>
  <si>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</si>
  <si>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</si>
  <si>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</si>
  <si>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</si>
  <si>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</si>
  <si>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</si>
  <si>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</si>
  <si>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</si>
  <si>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</si>
  <si>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</si>
  <si>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</si>
  <si>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</si>
  <si>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</si>
  <si>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</si>
  <si>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</si>
  <si>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</si>
  <si>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</si>
  <si>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</si>
  <si>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</si>
  <si>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</si>
  <si>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</si>
  <si>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</si>
  <si>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</si>
  <si>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</si>
  <si>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</si>
  <si>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</si>
  <si>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</si>
  <si>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</si>
  <si>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</si>
  <si>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</si>
  <si>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</si>
  <si>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</si>
  <si>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</si>
  <si>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</si>
  <si>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</si>
  <si>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</si>
  <si>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</si>
  <si>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</si>
  <si>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</si>
  <si>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</si>
  <si>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</si>
  <si>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</si>
  <si>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</si>
  <si>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</si>
  <si>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</si>
  <si>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</si>
  <si>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</si>
  <si>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</si>
  <si>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</si>
  <si>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</si>
  <si>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</si>
  <si>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</si>
  <si>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</si>
  <si>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</si>
  <si>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</si>
  <si>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</si>
  <si>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</si>
  <si>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</si>
  <si>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</si>
  <si>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</si>
  <si>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</si>
  <si>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</si>
  <si>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</si>
  <si>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</si>
  <si>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</si>
  <si>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</si>
  <si>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</si>
  <si>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</si>
  <si>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</si>
  <si>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</si>
  <si>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</si>
  <si>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</si>
  <si>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</si>
  <si>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</si>
  <si>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</si>
  <si>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</si>
  <si>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</si>
  <si>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</si>
  <si>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</si>
  <si>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</si>
  <si>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</si>
  <si>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</si>
  <si>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</si>
  <si>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</si>
  <si>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</si>
  <si>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</si>
  <si>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</si>
  <si>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</si>
  <si>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</si>
  <si>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</si>
  <si>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</si>
  <si>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</si>
  <si>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</si>
  <si>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</si>
  <si>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</si>
  <si>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</si>
  <si>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</si>
  <si>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</si>
  <si>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</si>
  <si>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</si>
  <si>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</si>
  <si>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</si>
  <si>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</si>
  <si>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</si>
  <si>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</si>
  <si>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</si>
  <si>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</si>
  <si>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</si>
  <si>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</si>
  <si>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</si>
  <si>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</si>
  <si>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</si>
  <si>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</si>
  <si>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</si>
  <si>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</si>
  <si>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</si>
  <si>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</si>
  <si>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</si>
  <si>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</si>
  <si>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</si>
  <si>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</si>
  <si>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</si>
  <si>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</si>
  <si>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</si>
  <si>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</si>
  <si>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</si>
  <si>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</si>
  <si>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</si>
  <si>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</si>
  <si>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</si>
  <si>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</si>
  <si>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</si>
  <si>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</si>
  <si>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</si>
  <si>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</si>
  <si>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</si>
  <si>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</si>
  <si>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</si>
  <si>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</si>
  <si>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</si>
  <si>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</si>
  <si>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</si>
  <si>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</si>
  <si>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</si>
  <si>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</si>
  <si>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</si>
  <si>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</si>
  <si>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</si>
  <si>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</si>
  <si>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</si>
  <si>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</si>
  <si>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</si>
  <si>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</si>
  <si>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</si>
  <si>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</si>
  <si>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</si>
  <si>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</si>
  <si>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</si>
  <si>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</si>
  <si>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</si>
  <si>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</si>
  <si>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</si>
  <si>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</si>
  <si>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</si>
  <si>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</si>
  <si>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</si>
  <si>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</si>
  <si>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</si>
  <si>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</si>
  <si>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</si>
  <si>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</si>
  <si>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</si>
  <si>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</si>
  <si>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</si>
  <si>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</si>
  <si>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</si>
  <si>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</si>
  <si>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</si>
  <si>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</si>
  <si>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</si>
  <si>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</si>
  <si>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</si>
  <si>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</si>
  <si>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</si>
  <si>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</si>
  <si>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</si>
  <si>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</si>
  <si>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</si>
  <si>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</si>
  <si>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</si>
  <si>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</si>
  <si>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</si>
  <si>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</si>
  <si>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</si>
  <si>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</si>
  <si>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</si>
  <si>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</si>
  <si>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</si>
  <si>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</si>
  <si>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</si>
  <si>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</si>
  <si>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</si>
  <si>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</si>
  <si>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</si>
  <si>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</si>
  <si>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</si>
  <si>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</si>
  <si>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</si>
  <si>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</si>
  <si>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</si>
  <si>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</si>
  <si>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</si>
  <si>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</si>
  <si>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</si>
  <si>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</si>
  <si>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</si>
  <si>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</si>
  <si>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</si>
  <si>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</si>
  <si>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</si>
  <si>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</si>
  <si>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</si>
  <si>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</si>
  <si>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</si>
  <si>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</si>
  <si>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</si>
  <si>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</si>
  <si>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</si>
  <si>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</si>
  <si>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</si>
  <si>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</si>
  <si>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</si>
  <si>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</si>
  <si>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</si>
  <si>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</si>
  <si>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</si>
  <si>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</si>
  <si>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</si>
  <si>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</si>
  <si>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</si>
  <si>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</si>
  <si>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</si>
  <si>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</si>
  <si>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</si>
  <si>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</si>
  <si>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</si>
  <si>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</si>
  <si>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</si>
  <si>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</si>
  <si>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</si>
  <si>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</si>
  <si>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</si>
  <si>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</si>
  <si>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</si>
  <si>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</si>
  <si>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</si>
  <si>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</si>
  <si>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</si>
  <si>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</si>
  <si>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</si>
  <si>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</si>
  <si>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</si>
  <si>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</si>
  <si>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</si>
  <si>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</si>
  <si>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</si>
  <si>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</si>
  <si>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</si>
  <si>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</si>
  <si>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</si>
  <si>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</si>
  <si>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</si>
  <si>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</si>
  <si>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</si>
  <si>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</si>
  <si>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</si>
  <si>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</si>
  <si>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</si>
  <si>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</si>
  <si>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</si>
  <si>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</si>
  <si>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</si>
  <si>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</si>
  <si>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</si>
  <si>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</si>
  <si>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</si>
  <si>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</si>
  <si>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</si>
  <si>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</si>
  <si>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</si>
  <si>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</si>
  <si>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</si>
  <si>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</si>
  <si>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</si>
  <si>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</si>
  <si>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</si>
  <si>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</si>
  <si>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</si>
  <si>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</si>
  <si>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</si>
  <si>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</si>
  <si>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</si>
  <si>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</si>
  <si>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</si>
  <si>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</si>
  <si>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</si>
  <si>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</si>
  <si>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</si>
  <si>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</si>
  <si>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</si>
  <si>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</si>
  <si>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</si>
  <si>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</si>
  <si>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</si>
  <si>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</si>
  <si>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</si>
  <si>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</si>
  <si>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</si>
  <si>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</si>
  <si>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</si>
  <si>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</si>
  <si>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</si>
  <si>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</si>
  <si>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</si>
  <si>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</si>
  <si>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</si>
  <si>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</si>
  <si>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</si>
  <si>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</si>
  <si>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</si>
  <si>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</si>
  <si>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</si>
  <si>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</si>
  <si>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</si>
  <si>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</si>
  <si>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</si>
  <si>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</si>
  <si>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</si>
  <si>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</si>
  <si>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</si>
  <si>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</si>
  <si>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</si>
  <si>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</si>
  <si>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</si>
  <si>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</si>
  <si>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</si>
  <si>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</si>
  <si>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</si>
  <si>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</si>
  <si>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</si>
  <si>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</si>
  <si>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</si>
  <si>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</si>
  <si>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</si>
  <si>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</si>
  <si>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</si>
  <si>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</si>
  <si>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</si>
  <si>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</si>
  <si>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</si>
  <si>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</si>
  <si>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</si>
  <si>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</si>
  <si>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</si>
  <si>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</si>
  <si>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</si>
  <si>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</si>
  <si>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</si>
  <si>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</si>
  <si>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</si>
  <si>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</si>
  <si>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</si>
  <si>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</si>
  <si>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</si>
  <si>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</si>
  <si>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</si>
  <si>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</si>
  <si>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</si>
  <si>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</si>
  <si>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</si>
  <si>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</si>
  <si>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</si>
  <si>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</si>
  <si>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</si>
  <si>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</si>
  <si>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</si>
  <si>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</si>
  <si>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</si>
  <si>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</si>
  <si>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</si>
  <si>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</si>
  <si>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</si>
  <si>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</si>
  <si>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</si>
  <si>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</si>
  <si>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</si>
  <si>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</si>
  <si>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</si>
  <si>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</si>
  <si>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</si>
  <si>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</si>
  <si>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</si>
  <si>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</si>
  <si>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</si>
  <si>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</si>
  <si>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</si>
  <si>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</si>
  <si>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</si>
  <si>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</si>
  <si>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</si>
  <si>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</si>
  <si>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</si>
  <si>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</si>
  <si>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</si>
  <si>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</si>
  <si>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</si>
  <si>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</si>
  <si>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</si>
  <si>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</si>
  <si>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</si>
  <si>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</si>
  <si>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</si>
  <si>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</si>
  <si>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</si>
  <si>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</si>
  <si>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</si>
  <si>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</si>
  <si>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</si>
  <si>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</si>
  <si>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</si>
  <si>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</si>
  <si>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</si>
  <si>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</si>
  <si>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</si>
  <si>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</si>
  <si>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</si>
  <si>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</si>
  <si>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</si>
  <si>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</si>
  <si>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</si>
  <si>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</si>
  <si>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</si>
  <si>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</si>
  <si>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</si>
  <si>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</si>
  <si>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</si>
  <si>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</si>
  <si>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</si>
  <si>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</si>
  <si>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</si>
  <si>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</si>
  <si>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</si>
  <si>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</si>
  <si>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</si>
  <si>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</si>
  <si>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</si>
  <si>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</si>
  <si>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</si>
  <si>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</si>
  <si>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</si>
  <si>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</si>
  <si>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</si>
  <si>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</si>
  <si>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</si>
  <si>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</si>
  <si>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</si>
  <si>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</si>
  <si>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</si>
  <si>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</si>
  <si>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</si>
  <si>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</si>
  <si>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</si>
  <si>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</si>
  <si>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</si>
  <si>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</si>
  <si>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</si>
  <si>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</si>
  <si>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</si>
  <si>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</si>
  <si>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</si>
  <si>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中汇百邦（厦门）税务师事务所有限公司</t>
  </si>
  <si>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</si>
  <si>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</si>
  <si>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</si>
  <si>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</si>
  <si>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</si>
  <si>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</si>
  <si>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</si>
  <si>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</si>
  <si>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</si>
  <si>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</si>
  <si>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</si>
  <si>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</si>
  <si>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</si>
  <si>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</si>
  <si>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</si>
  <si>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</si>
  <si>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</si>
  <si>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</si>
  <si>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</si>
  <si>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</si>
  <si>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</si>
  <si>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</si>
  <si>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</si>
  <si>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</si>
  <si>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</si>
  <si>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</si>
  <si>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</si>
  <si>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</si>
  <si>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</si>
  <si>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</si>
  <si>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</si>
  <si>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</si>
  <si>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</si>
  <si>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</si>
  <si>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</si>
  <si>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</si>
  <si>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</si>
  <si>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</si>
  <si>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</si>
  <si>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</si>
  <si>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</si>
  <si>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</si>
  <si>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</si>
  <si>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</si>
  <si>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</si>
  <si>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</si>
  <si>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</si>
  <si>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</si>
  <si>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</si>
  <si>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</si>
  <si>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</si>
  <si>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</si>
  <si>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</si>
  <si>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</si>
  <si>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</si>
  <si>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</si>
  <si>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</si>
  <si>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</si>
  <si>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</si>
  <si>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</si>
  <si>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</si>
  <si>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</si>
  <si>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</si>
  <si>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</si>
  <si>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</si>
  <si>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</si>
  <si>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</si>
  <si>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</si>
  <si>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</si>
  <si>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</si>
  <si>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</si>
  <si>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</si>
  <si>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</si>
  <si>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</si>
  <si>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</si>
  <si>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</si>
  <si>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</si>
  <si>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</si>
  <si>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</si>
  <si>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</si>
  <si>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</si>
  <si>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</si>
  <si>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</si>
  <si>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</si>
  <si>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</si>
  <si>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</si>
  <si>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</si>
  <si>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</si>
  <si>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</si>
  <si>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</si>
  <si>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</si>
  <si>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</si>
  <si>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</si>
  <si>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</si>
  <si>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</si>
  <si>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</si>
  <si>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</si>
  <si>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</si>
  <si>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</si>
  <si>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</si>
  <si>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</si>
  <si>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</si>
  <si>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</si>
  <si>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</si>
  <si>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</si>
  <si>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</si>
  <si>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</si>
  <si>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</si>
  <si>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</si>
  <si>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</si>
  <si>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</si>
  <si>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</si>
  <si>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</si>
  <si>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</si>
  <si>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</si>
  <si>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</si>
  <si>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</si>
  <si>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</si>
  <si>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</si>
  <si>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</si>
  <si>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</si>
  <si>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</si>
  <si>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</si>
  <si>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</si>
  <si>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</si>
  <si>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</si>
  <si>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</si>
  <si>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</si>
  <si>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</si>
  <si>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</si>
  <si>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</si>
  <si>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</si>
  <si>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</si>
  <si>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</si>
  <si>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</si>
  <si>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</si>
  <si>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</si>
  <si>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</si>
  <si>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</si>
  <si>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</si>
  <si>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</si>
  <si>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</si>
  <si>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</si>
  <si>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</si>
  <si>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</si>
  <si>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</si>
  <si>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</si>
  <si>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</si>
  <si>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</si>
  <si>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</si>
  <si>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</si>
  <si>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</si>
  <si>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</si>
  <si>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</si>
  <si>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</si>
  <si>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</si>
  <si>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</si>
  <si>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</si>
  <si>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</si>
  <si>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</si>
  <si>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</si>
  <si>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</si>
  <si>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</si>
  <si>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</si>
  <si>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</si>
  <si>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</si>
  <si>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</si>
  <si>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</si>
  <si>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</si>
  <si>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</si>
  <si>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</si>
  <si>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</si>
  <si>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</si>
  <si>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</si>
  <si>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</si>
  <si>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</si>
  <si>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</si>
  <si>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</si>
  <si>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</si>
  <si>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</si>
  <si>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</si>
  <si>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</si>
  <si>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</si>
  <si>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</si>
  <si>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</si>
  <si>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</si>
  <si>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</si>
  <si>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</si>
  <si>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</si>
  <si>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</si>
  <si>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</si>
  <si>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</si>
  <si>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</si>
  <si>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</si>
  <si>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</si>
  <si>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</si>
  <si>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</si>
  <si>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</si>
  <si>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</si>
  <si>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</si>
  <si>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</si>
  <si>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</si>
  <si>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</si>
  <si>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</si>
  <si>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</si>
  <si>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</si>
  <si>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</si>
  <si>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</si>
  <si>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</si>
  <si>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</si>
  <si>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</si>
  <si>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</si>
  <si>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</si>
  <si>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</si>
  <si>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</si>
  <si>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</si>
  <si>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</si>
  <si>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</si>
  <si>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</si>
  <si>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</si>
  <si>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</si>
  <si>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</si>
  <si>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</si>
  <si>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</si>
  <si>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</si>
  <si>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</si>
  <si>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</si>
  <si>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</si>
  <si>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</si>
  <si>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</si>
  <si>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</si>
  <si>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</si>
  <si>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</si>
  <si>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</si>
  <si>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</si>
  <si>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</si>
  <si>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</si>
  <si>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</si>
  <si>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</si>
  <si>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</si>
  <si>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</si>
  <si>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</si>
  <si>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</si>
  <si>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</si>
  <si>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</si>
  <si>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</si>
  <si>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</si>
  <si>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</si>
  <si>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</si>
  <si>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</si>
  <si>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</si>
  <si>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</si>
  <si>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</si>
  <si>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</si>
  <si>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</si>
  <si>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</si>
  <si>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</si>
  <si>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</si>
  <si>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</si>
  <si>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</si>
  <si>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</si>
  <si>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</si>
  <si>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</si>
  <si>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</si>
  <si>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</si>
  <si>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</si>
  <si>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</si>
  <si>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</si>
  <si>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</si>
  <si>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</si>
  <si>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</si>
  <si>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</si>
  <si>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</si>
  <si>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</si>
  <si>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</si>
  <si>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</si>
  <si>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</si>
  <si>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</si>
  <si>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</si>
  <si>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</si>
  <si>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</si>
  <si>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</si>
  <si>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</si>
  <si>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</si>
  <si>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</si>
  <si>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</si>
  <si>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</si>
  <si>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</si>
  <si>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</si>
  <si>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</si>
  <si>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</si>
  <si>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</si>
  <si>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</si>
  <si>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</si>
  <si>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</si>
  <si>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</si>
  <si>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</si>
  <si>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</si>
  <si>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</si>
  <si>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</si>
  <si>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</si>
  <si>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</si>
  <si>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</si>
  <si>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</si>
  <si>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</si>
  <si>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</si>
  <si>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</si>
  <si>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</si>
  <si>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</si>
  <si>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</si>
  <si>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</si>
  <si>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</si>
  <si>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</si>
  <si>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</si>
  <si>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</si>
  <si>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</si>
  <si>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</si>
  <si>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</si>
  <si>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</si>
  <si>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</si>
  <si>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</si>
  <si>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</si>
  <si>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</si>
  <si>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</si>
  <si>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</si>
  <si>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</si>
  <si>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</si>
  <si>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</si>
  <si>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</si>
  <si>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</si>
  <si>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</si>
  <si>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</si>
  <si>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</si>
  <si>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</si>
  <si>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</si>
  <si>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</si>
  <si>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</si>
  <si>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</si>
  <si>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</si>
  <si>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</si>
  <si>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</si>
  <si>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</si>
  <si>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</si>
  <si>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</si>
  <si>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</si>
  <si>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</si>
  <si>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</si>
  <si>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</si>
  <si>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</si>
  <si>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</si>
  <si>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</si>
  <si>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</si>
  <si>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</si>
  <si>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</si>
  <si>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</si>
  <si>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</si>
  <si>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</si>
  <si>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</si>
  <si>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</si>
  <si>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</si>
  <si>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</si>
  <si>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</si>
  <si>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</si>
  <si>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</si>
  <si>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</si>
  <si>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</si>
  <si>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</si>
  <si>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</si>
  <si>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</si>
  <si>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</si>
  <si>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</si>
  <si>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</si>
  <si>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</si>
  <si>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</si>
  <si>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</si>
  <si>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</si>
  <si>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</si>
  <si>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</si>
  <si>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</si>
  <si>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</si>
  <si>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</si>
  <si>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</si>
  <si>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</si>
  <si>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</si>
  <si>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</si>
  <si>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</si>
  <si>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</si>
  <si>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</si>
  <si>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</si>
  <si>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</si>
  <si>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</si>
  <si>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</si>
  <si>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</si>
  <si>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</si>
  <si>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</si>
  <si>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</si>
  <si>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</si>
  <si>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</si>
  <si>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</si>
  <si>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</si>
  <si>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</si>
  <si>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</si>
  <si>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</si>
  <si>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</si>
  <si>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</si>
  <si>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</si>
  <si>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</si>
  <si>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</si>
  <si>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</si>
  <si>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</si>
  <si>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</si>
  <si>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</si>
  <si>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</si>
  <si>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</si>
  <si>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</si>
  <si>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</si>
  <si>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</si>
  <si>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</si>
  <si>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</si>
  <si>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</si>
  <si>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</si>
  <si>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</si>
  <si>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</si>
  <si>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</si>
  <si>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</si>
  <si>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</si>
  <si>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</si>
  <si>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</si>
  <si>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</si>
  <si>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</si>
  <si>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</si>
  <si>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</si>
  <si>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</si>
  <si>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</si>
  <si>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</si>
  <si>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</si>
  <si>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</si>
  <si>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</si>
  <si>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</si>
  <si>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</si>
  <si>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</si>
  <si>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</si>
  <si>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</si>
  <si>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</si>
  <si>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</si>
  <si>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</si>
  <si>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</si>
  <si>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</si>
  <si>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</si>
  <si>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</si>
  <si>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</si>
  <si>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</si>
  <si>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</si>
  <si>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</si>
  <si>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</si>
  <si>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</si>
  <si>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</si>
  <si>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</si>
  <si>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</si>
  <si>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</si>
  <si>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</si>
  <si>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</si>
  <si>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</si>
  <si>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</si>
  <si>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</si>
  <si>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</si>
  <si>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</si>
  <si>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</si>
  <si>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</si>
  <si>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</si>
  <si>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</si>
  <si>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</si>
  <si>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</si>
  <si>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</si>
  <si>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</si>
  <si>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</si>
  <si>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</si>
  <si>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</si>
  <si>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</si>
  <si>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</si>
  <si>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</si>
  <si>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</si>
  <si>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</si>
  <si>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</si>
  <si>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</si>
  <si>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</si>
  <si>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</si>
  <si>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</si>
  <si>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</si>
  <si>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</si>
  <si>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</si>
  <si>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</si>
  <si>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</si>
  <si>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</si>
  <si>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</si>
  <si>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</si>
  <si>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</si>
  <si>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</si>
  <si>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</si>
  <si>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</si>
  <si>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</si>
  <si>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</si>
  <si>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</si>
  <si>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</si>
  <si>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</si>
  <si>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</si>
  <si>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</si>
  <si>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</si>
  <si>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</si>
  <si>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</si>
  <si>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</si>
  <si>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</si>
  <si>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</si>
  <si>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</si>
  <si>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</si>
  <si>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</si>
  <si>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</si>
  <si>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</si>
  <si>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</si>
  <si>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</si>
  <si>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</si>
  <si>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</si>
  <si>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</si>
  <si>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</si>
  <si>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</si>
  <si>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</si>
  <si>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</si>
  <si>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</si>
  <si>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</si>
  <si>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</si>
  <si>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</si>
  <si>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</si>
  <si>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</si>
  <si>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</si>
  <si>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</si>
  <si>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</si>
  <si>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</si>
  <si>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</si>
  <si>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</si>
  <si>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</si>
  <si>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</si>
  <si>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</si>
  <si>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</si>
  <si>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</si>
  <si>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</si>
  <si>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</si>
  <si>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</si>
  <si>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</si>
  <si>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</si>
  <si>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</si>
  <si>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</si>
  <si>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</si>
  <si>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</si>
  <si>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</si>
  <si>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</si>
  <si>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</si>
  <si>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</si>
  <si>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</si>
  <si>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</si>
  <si>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</si>
  <si>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</si>
  <si>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</si>
  <si>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</si>
  <si>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</si>
  <si>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</si>
  <si>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</si>
  <si>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</si>
  <si>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</si>
  <si>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</si>
  <si>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</si>
  <si>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</si>
  <si>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</si>
  <si>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</si>
  <si>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</si>
  <si>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</si>
  <si>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</si>
  <si>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</si>
  <si>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</si>
  <si>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</si>
  <si>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</si>
  <si>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</si>
  <si>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</si>
  <si>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</si>
  <si>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</si>
  <si>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</si>
  <si>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</si>
  <si>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</si>
  <si>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</si>
  <si>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</si>
  <si>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</si>
  <si>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</si>
  <si>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</si>
  <si>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</si>
  <si>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</si>
  <si>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</si>
  <si>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</si>
  <si>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</si>
  <si>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</si>
  <si>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</si>
  <si>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</si>
  <si>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</si>
  <si>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</si>
  <si>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</si>
  <si>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</si>
  <si>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</si>
  <si>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</si>
  <si>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</si>
  <si>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</si>
  <si>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</si>
  <si>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</si>
  <si>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</si>
  <si>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</si>
  <si>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</si>
  <si>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</si>
  <si>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</si>
  <si>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</si>
  <si>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</si>
  <si>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</si>
  <si>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</si>
  <si>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</si>
  <si>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</si>
  <si>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</si>
  <si>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</si>
  <si>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</si>
  <si>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</si>
  <si>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</si>
  <si>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</si>
  <si>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</si>
  <si>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</si>
  <si>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</si>
  <si>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</si>
  <si>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</si>
  <si>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</si>
  <si>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</si>
  <si>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</si>
  <si>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</si>
  <si>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</si>
  <si>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</si>
  <si>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</si>
  <si>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</si>
  <si>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</si>
  <si>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</si>
  <si>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</si>
  <si>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</si>
  <si>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</si>
  <si>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</si>
  <si>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</si>
  <si>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</si>
  <si>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</si>
  <si>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</si>
  <si>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</si>
  <si>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</si>
  <si>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</si>
  <si>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</si>
  <si>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</si>
  <si>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</si>
  <si>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</si>
  <si>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</si>
  <si>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</si>
  <si>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</si>
  <si>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</si>
  <si>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</si>
  <si>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</si>
  <si>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</si>
  <si>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</si>
  <si>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</si>
  <si>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</si>
  <si>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</si>
  <si>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</si>
  <si>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</si>
  <si>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</si>
  <si>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</si>
  <si>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</si>
  <si>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</si>
  <si>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</si>
  <si>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</si>
  <si>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</si>
  <si>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</si>
  <si>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</si>
  <si>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</si>
  <si>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</si>
  <si>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</si>
  <si>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</si>
  <si>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</si>
  <si>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</si>
  <si>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</si>
  <si>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</si>
  <si>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</si>
  <si>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</si>
  <si>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</si>
  <si>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</si>
  <si>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</si>
  <si>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</si>
  <si>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</si>
  <si>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</si>
  <si>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</si>
  <si>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</si>
  <si>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</si>
  <si>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</si>
  <si>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</si>
  <si>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</si>
  <si>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</si>
  <si>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</si>
  <si>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</si>
  <si>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</si>
  <si>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</si>
  <si>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</si>
  <si>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</si>
  <si>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</si>
  <si>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</si>
  <si>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</si>
  <si>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</si>
  <si>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</si>
  <si>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</si>
  <si>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</si>
  <si>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</si>
  <si>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</si>
  <si>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</si>
  <si>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</si>
  <si>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</si>
  <si>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</si>
  <si>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</si>
  <si>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</si>
  <si>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</si>
  <si>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</si>
  <si>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</si>
  <si>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</si>
  <si>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</si>
  <si>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</si>
  <si>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</si>
  <si>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</si>
  <si>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</si>
  <si>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</si>
  <si>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</si>
  <si>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</si>
  <si>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</si>
  <si>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</si>
  <si>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</si>
  <si>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</si>
  <si>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</si>
  <si>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</si>
  <si>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</si>
  <si>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</si>
  <si>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</si>
  <si>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</si>
  <si>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</si>
  <si>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</si>
  <si>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</si>
  <si>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</si>
  <si>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</si>
  <si>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</si>
  <si>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</si>
  <si>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</si>
  <si>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</si>
  <si>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</si>
  <si>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</si>
  <si>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</si>
  <si>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</si>
  <si>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</si>
  <si>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</si>
  <si>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</si>
  <si>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</si>
  <si>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</si>
  <si>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</si>
  <si>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</si>
  <si>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</si>
  <si>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</si>
  <si>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</si>
  <si>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</si>
  <si>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</si>
  <si>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</si>
  <si>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</si>
  <si>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</si>
  <si>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</si>
  <si>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</si>
  <si>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</si>
  <si>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</si>
  <si>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</si>
  <si>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</si>
  <si>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</si>
  <si>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</si>
  <si>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</si>
  <si>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</si>
  <si>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</si>
  <si>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</si>
  <si>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</si>
  <si>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</si>
  <si>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</si>
  <si>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</si>
  <si>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</si>
  <si>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</si>
  <si>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</si>
  <si>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</si>
  <si>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</si>
  <si>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</si>
  <si>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</si>
  <si>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</si>
  <si>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</si>
  <si>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</si>
  <si>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</si>
  <si>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</si>
  <si>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</si>
  <si>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</si>
  <si>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</si>
  <si>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</si>
  <si>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</si>
  <si>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</si>
  <si>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</si>
  <si>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</si>
  <si>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</si>
  <si>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</si>
  <si>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</si>
  <si>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</si>
  <si>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</si>
  <si>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</si>
  <si>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</si>
  <si>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</si>
  <si>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</si>
  <si>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</si>
  <si>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</si>
  <si>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</si>
  <si>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</si>
  <si>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</si>
  <si>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</si>
  <si>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</si>
  <si>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</si>
  <si>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</si>
  <si>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</si>
  <si>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</si>
  <si>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</si>
  <si>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</si>
  <si>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</si>
  <si>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</si>
  <si>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</si>
  <si>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</si>
  <si>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</si>
  <si>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</si>
  <si>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</si>
  <si>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</si>
  <si>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</si>
  <si>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</si>
  <si>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</si>
  <si>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</si>
  <si>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</si>
  <si>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</si>
  <si>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</si>
  <si>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</si>
  <si>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</si>
  <si>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</si>
  <si>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</si>
  <si>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</si>
  <si>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</si>
  <si>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</si>
  <si>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</si>
  <si>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</si>
  <si>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</si>
  <si>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</si>
  <si>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</si>
  <si>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</si>
  <si>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</si>
  <si>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</si>
  <si>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</si>
  <si>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</si>
  <si>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</si>
  <si>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</si>
  <si>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</si>
  <si>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</si>
  <si>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</si>
  <si>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</si>
  <si>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</si>
  <si>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</si>
  <si>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</si>
  <si>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</si>
  <si>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</si>
  <si>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</si>
  <si>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</si>
  <si>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</si>
  <si>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</si>
  <si>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</si>
  <si>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</si>
  <si>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</si>
  <si>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</si>
  <si>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</si>
  <si>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</si>
  <si>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</si>
  <si>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</si>
  <si>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</si>
  <si>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</si>
  <si>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</si>
  <si>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</si>
  <si>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</si>
  <si>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</si>
  <si>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</si>
  <si>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</si>
  <si>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</si>
  <si>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</si>
  <si>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</si>
  <si>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</si>
  <si>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</si>
  <si>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</si>
  <si>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</si>
  <si>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</si>
  <si>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</si>
  <si>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</si>
  <si>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</si>
  <si>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</si>
  <si>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</si>
  <si>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</si>
  <si>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</si>
  <si>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</si>
  <si>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</si>
  <si>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</si>
  <si>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</si>
  <si>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</si>
  <si>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</si>
  <si>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</si>
  <si>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</si>
  <si>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</si>
  <si>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</si>
  <si>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</si>
  <si>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</si>
  <si>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</si>
  <si>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</si>
  <si>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</si>
  <si>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</si>
  <si>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</si>
  <si>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</si>
  <si>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</si>
  <si>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</si>
  <si>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</si>
  <si>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</si>
  <si>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</si>
  <si>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</si>
  <si>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</si>
  <si>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</si>
  <si>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</si>
  <si>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</si>
  <si>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</si>
  <si>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</si>
  <si>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</si>
  <si>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</si>
  <si>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</si>
  <si>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</si>
  <si>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</si>
  <si>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</si>
  <si>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</si>
  <si>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</si>
  <si>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</si>
  <si>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</si>
  <si>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</si>
  <si>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</si>
  <si>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</si>
  <si>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</si>
  <si>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</si>
  <si>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</si>
  <si>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</si>
  <si>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</si>
  <si>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</si>
  <si>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</si>
  <si>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</si>
  <si>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</si>
  <si>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</si>
  <si>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</si>
  <si>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</si>
  <si>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</si>
  <si>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</si>
  <si>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</si>
  <si>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</si>
  <si>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</si>
  <si>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</si>
  <si>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</si>
  <si>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</si>
  <si>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</si>
  <si>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</si>
  <si>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</si>
  <si>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</si>
  <si>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</si>
  <si>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</si>
  <si>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</si>
  <si>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</si>
  <si>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</si>
  <si>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</si>
  <si>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</si>
  <si>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</si>
  <si>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</si>
  <si>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</si>
  <si>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</si>
  <si>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</si>
  <si>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</si>
  <si>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</si>
  <si>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</si>
  <si>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</si>
  <si>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</si>
  <si>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</si>
  <si>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</si>
  <si>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</si>
  <si>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</si>
  <si>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</si>
  <si>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</si>
  <si>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</si>
  <si>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</si>
  <si>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</si>
  <si>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</si>
  <si>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</si>
  <si>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</si>
  <si>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</si>
  <si>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</si>
  <si>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</si>
  <si>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</si>
  <si>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</si>
  <si>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</si>
  <si>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</si>
  <si>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</si>
  <si>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</si>
  <si>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</si>
  <si>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</si>
  <si>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</si>
  <si>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</si>
  <si>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</si>
  <si>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</si>
  <si>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</si>
  <si>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</si>
  <si>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</si>
  <si>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</si>
  <si>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</si>
  <si>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</si>
  <si>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</si>
  <si>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</si>
  <si>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</si>
  <si>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</si>
  <si>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</si>
  <si>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</si>
  <si>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</si>
  <si>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</si>
  <si>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</si>
  <si>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</si>
  <si>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</si>
  <si>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</si>
  <si>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</si>
  <si>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</si>
  <si>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</si>
  <si>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</si>
  <si>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</si>
  <si>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</si>
  <si>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</si>
  <si>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</si>
  <si>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</si>
  <si>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</si>
  <si>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</si>
  <si>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</si>
  <si>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</si>
  <si>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</si>
  <si>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</si>
  <si>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</si>
  <si>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</si>
  <si>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</si>
  <si>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</si>
  <si>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</si>
  <si>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</si>
  <si>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</si>
  <si>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</si>
  <si>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</si>
  <si>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</si>
  <si>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</si>
  <si>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</si>
  <si>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</si>
  <si>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</si>
  <si>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</si>
  <si>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</si>
  <si>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</si>
  <si>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</si>
  <si>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</si>
  <si>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</si>
  <si>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</si>
  <si>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</si>
  <si>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</si>
  <si>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</si>
  <si>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</si>
  <si>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</si>
  <si>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</si>
  <si>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</si>
  <si>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</si>
  <si>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</si>
  <si>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</si>
  <si>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</si>
  <si>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</si>
  <si>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</si>
  <si>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</si>
  <si>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</si>
  <si>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</si>
  <si>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</si>
  <si>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</si>
  <si>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</si>
  <si>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</si>
  <si>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</si>
  <si>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</si>
  <si>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</si>
  <si>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</si>
  <si>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</si>
  <si>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</si>
  <si>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</si>
  <si>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</si>
  <si>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</si>
  <si>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</si>
  <si>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</si>
  <si>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</si>
  <si>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</si>
  <si>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</si>
  <si>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</si>
  <si>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</si>
  <si>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</si>
  <si>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</si>
  <si>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</si>
  <si>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</si>
  <si>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</si>
  <si>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</si>
  <si>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</si>
  <si>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</si>
  <si>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</si>
  <si>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</si>
  <si>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</si>
  <si>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</si>
  <si>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</si>
  <si>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</si>
  <si>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</si>
  <si>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</si>
  <si>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</si>
  <si>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</si>
  <si>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</si>
  <si>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</si>
  <si>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</si>
  <si>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</si>
  <si>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</si>
  <si>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</si>
  <si>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</si>
  <si>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</si>
  <si>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</si>
  <si>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</si>
  <si>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</si>
  <si>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</si>
  <si>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</si>
  <si>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</si>
  <si>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</si>
  <si>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</si>
  <si>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</si>
  <si>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</si>
  <si>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</si>
  <si>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</si>
  <si>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</si>
  <si>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</si>
  <si>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</si>
  <si>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</si>
  <si>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</si>
  <si>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</si>
  <si>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</si>
  <si>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</si>
  <si>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</si>
  <si>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</si>
  <si>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</si>
  <si>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</si>
  <si>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</si>
  <si>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</si>
  <si>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</si>
  <si>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</si>
  <si>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</si>
  <si>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</si>
  <si>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</si>
  <si>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</si>
  <si>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</si>
  <si>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</si>
  <si>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</si>
  <si>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</si>
  <si>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</si>
  <si>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</si>
  <si>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</si>
  <si>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</si>
  <si>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</si>
  <si>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</si>
  <si>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</si>
  <si>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</si>
  <si>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</si>
  <si>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</si>
  <si>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</si>
  <si>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</si>
  <si>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</si>
  <si>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</si>
  <si>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</si>
  <si>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</si>
  <si>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</si>
  <si>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</si>
  <si>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</si>
  <si>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</si>
  <si>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</si>
  <si>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</si>
  <si>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</si>
  <si>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</si>
  <si>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</si>
  <si>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</si>
  <si>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</si>
  <si>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</si>
  <si>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</si>
  <si>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</si>
  <si>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</si>
  <si>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</si>
  <si>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</si>
  <si>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</si>
  <si>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</si>
  <si>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</si>
  <si>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</si>
  <si>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</si>
  <si>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</si>
  <si>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</si>
  <si>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</si>
  <si>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</si>
  <si>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</si>
  <si>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</si>
  <si>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</si>
  <si>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</si>
  <si>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</si>
  <si>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</si>
  <si>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</si>
  <si>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</si>
  <si>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</si>
  <si>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</si>
  <si>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</si>
  <si>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</si>
  <si>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</si>
  <si>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</si>
  <si>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</si>
  <si>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</si>
  <si>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</si>
  <si>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</si>
  <si>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</si>
  <si>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</si>
  <si>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</si>
  <si>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</si>
  <si>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</si>
  <si>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</si>
  <si>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</si>
  <si>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</si>
  <si>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</si>
  <si>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</si>
  <si>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</si>
  <si>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</si>
  <si>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</si>
  <si>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</si>
  <si>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</si>
  <si>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</si>
  <si>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</si>
  <si>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</si>
  <si>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</si>
  <si>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</si>
  <si>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</si>
  <si>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</si>
  <si>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</si>
  <si>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</si>
  <si>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</si>
  <si>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</si>
  <si>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</si>
  <si>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</si>
  <si>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</si>
  <si>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</si>
  <si>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</si>
  <si>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</si>
  <si>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</si>
  <si>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</si>
  <si>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</si>
  <si>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</si>
  <si>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</si>
  <si>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</si>
  <si>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</si>
  <si>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</si>
  <si>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</si>
  <si>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</si>
  <si>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</si>
  <si>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</si>
  <si>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</si>
  <si>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</si>
  <si>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</si>
  <si>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</si>
  <si>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</si>
  <si>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</si>
  <si>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</si>
  <si>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</si>
  <si>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</si>
  <si>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</si>
  <si>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</si>
  <si>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</si>
  <si>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</si>
  <si>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</si>
  <si>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</si>
  <si>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</si>
  <si>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</si>
  <si>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</si>
  <si>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</si>
  <si>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</si>
  <si>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</si>
  <si>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</si>
  <si>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</si>
  <si>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</si>
  <si>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</si>
  <si>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</si>
  <si>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</si>
  <si>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</si>
  <si>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</si>
  <si>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</si>
  <si>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</si>
  <si>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</si>
  <si>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</si>
  <si>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</si>
  <si>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</si>
  <si>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</si>
  <si>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</si>
  <si>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</si>
  <si>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</si>
  <si>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</si>
  <si>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</si>
  <si>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</si>
  <si>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</si>
  <si>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</si>
  <si>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</si>
  <si>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</si>
  <si>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</si>
  <si>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</si>
  <si>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</si>
  <si>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</si>
  <si>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</si>
  <si>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</si>
  <si>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</si>
  <si>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</si>
  <si>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</si>
  <si>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</si>
  <si>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</si>
  <si>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</si>
  <si>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</si>
  <si>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</si>
  <si>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</si>
  <si>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</si>
  <si>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</si>
  <si>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</si>
  <si>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</si>
  <si>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</si>
  <si>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</si>
  <si>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</si>
  <si>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</si>
  <si>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</si>
  <si>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</si>
  <si>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</si>
  <si>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</si>
  <si>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</si>
  <si>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</si>
  <si>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</si>
  <si>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</si>
  <si>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</si>
  <si>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</si>
  <si>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</si>
  <si>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</si>
  <si>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</si>
  <si>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</si>
  <si>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</si>
  <si>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</si>
  <si>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</si>
  <si>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</si>
  <si>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</si>
  <si>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</si>
  <si>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</si>
  <si>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</si>
  <si>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</si>
  <si>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</si>
  <si>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</si>
  <si>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</si>
  <si>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</si>
  <si>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</si>
  <si>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</si>
  <si>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</si>
  <si>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</si>
  <si>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</si>
  <si>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</si>
  <si>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</si>
  <si>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</si>
  <si>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</si>
  <si>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</si>
  <si>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</si>
  <si>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</si>
  <si>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</si>
  <si>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</si>
  <si>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</si>
  <si>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</si>
  <si>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</si>
  <si>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</si>
  <si>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</si>
  <si>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</si>
  <si>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</si>
  <si>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</si>
  <si>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</si>
  <si>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</si>
  <si>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</si>
  <si>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</si>
  <si>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</si>
  <si>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</si>
  <si>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</si>
  <si>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</si>
  <si>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</si>
  <si>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</si>
  <si>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</si>
  <si>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</si>
  <si>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</si>
  <si>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</si>
  <si>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</si>
  <si>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</si>
  <si>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</si>
  <si>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</si>
  <si>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</si>
  <si>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</si>
  <si>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</si>
  <si>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</si>
  <si>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</si>
  <si>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</si>
  <si>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</si>
  <si>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</si>
  <si>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</si>
  <si>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</si>
  <si>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</si>
  <si>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</si>
  <si>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</si>
  <si>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</si>
  <si>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</si>
  <si>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</si>
  <si>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</si>
  <si>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</si>
  <si>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</si>
  <si>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</si>
  <si>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</si>
  <si>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</si>
  <si>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</si>
  <si>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</si>
  <si>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</si>
  <si>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</si>
  <si>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</si>
  <si>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</si>
  <si>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</si>
  <si>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</si>
  <si>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</si>
  <si>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</si>
  <si>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</si>
  <si>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</si>
  <si>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</si>
  <si>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</si>
  <si>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</si>
  <si>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</si>
  <si>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</si>
  <si>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</si>
  <si>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</si>
  <si>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</si>
  <si>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</si>
  <si>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</si>
  <si>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</si>
  <si>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</si>
  <si>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</si>
  <si>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</si>
  <si>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</si>
  <si>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</si>
  <si>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</si>
  <si>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</si>
  <si>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</si>
  <si>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</si>
  <si>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</si>
  <si>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</si>
  <si>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</si>
  <si>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</si>
  <si>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</si>
  <si>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</si>
  <si>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</si>
  <si>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</si>
  <si>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</si>
  <si>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</si>
  <si>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</si>
  <si>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</si>
  <si>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</si>
  <si>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</si>
  <si>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</si>
  <si>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</si>
  <si>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</si>
  <si>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</si>
  <si>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</si>
  <si>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</si>
  <si>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</si>
  <si>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</si>
  <si>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</si>
  <si>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</si>
  <si>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</si>
  <si>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</si>
  <si>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</si>
  <si>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</si>
  <si>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</si>
  <si>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</si>
  <si>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</si>
  <si>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</si>
  <si>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</si>
  <si>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</si>
  <si>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</si>
  <si>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</si>
  <si>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</si>
  <si>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</si>
  <si>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</si>
  <si>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</si>
  <si>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</si>
  <si>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</si>
  <si>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</si>
  <si>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</si>
  <si>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</si>
  <si>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</si>
  <si>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</si>
  <si>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</si>
  <si>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</si>
  <si>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</si>
  <si>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</si>
  <si>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</si>
  <si>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</si>
  <si>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</si>
  <si>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</si>
  <si>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</si>
  <si>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</si>
  <si>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</si>
  <si>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</si>
  <si>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</si>
  <si>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</si>
  <si>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</si>
  <si>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</si>
  <si>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</si>
  <si>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</si>
  <si>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</si>
  <si>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</si>
  <si>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</si>
  <si>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</si>
  <si>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</si>
  <si>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</si>
  <si>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</si>
  <si>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</si>
  <si>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</si>
  <si>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</si>
  <si>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</si>
  <si>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</si>
  <si>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</si>
  <si>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</si>
  <si>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</si>
  <si>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</si>
  <si>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</si>
  <si>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</si>
  <si>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</si>
  <si>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</si>
  <si>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</si>
  <si>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</si>
  <si>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</si>
  <si>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</si>
  <si>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</si>
  <si>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</si>
  <si>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</si>
  <si>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</si>
  <si>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</si>
  <si>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</si>
  <si>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</si>
  <si>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</si>
  <si>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</si>
  <si>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</si>
  <si>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</si>
  <si>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</si>
  <si>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</si>
  <si>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</si>
  <si>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</si>
  <si>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</si>
  <si>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</si>
  <si>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</si>
  <si>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</si>
  <si>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</si>
  <si>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</si>
  <si>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</si>
  <si>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</si>
  <si>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</si>
  <si>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</si>
  <si>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</si>
  <si>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</si>
  <si>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</si>
  <si>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</si>
  <si>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</si>
  <si>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</si>
  <si>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</si>
  <si>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</si>
  <si>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</si>
  <si>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</si>
  <si>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</si>
  <si>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</si>
  <si>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</si>
  <si>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</si>
  <si>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</si>
  <si>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</si>
  <si>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</si>
  <si>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</si>
  <si>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</si>
  <si>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</si>
  <si>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</si>
  <si>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</si>
  <si>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</si>
  <si>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</si>
  <si>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</si>
  <si>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</si>
  <si>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</si>
  <si>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</si>
  <si>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</si>
  <si>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</si>
  <si>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</si>
  <si>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</si>
  <si>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</si>
  <si>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</si>
  <si>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</si>
  <si>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</si>
  <si>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</si>
  <si>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</si>
  <si>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</si>
  <si>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</si>
  <si>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</si>
  <si>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</si>
  <si>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</si>
  <si>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</si>
  <si>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</si>
  <si>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</si>
  <si>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</si>
  <si>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</si>
  <si>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</si>
  <si>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</si>
  <si>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</si>
  <si>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</si>
  <si>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</si>
  <si>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</si>
  <si>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</si>
  <si>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</si>
  <si>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</si>
  <si>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</si>
  <si>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</si>
  <si>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</si>
  <si>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</si>
  <si>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</si>
  <si>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</si>
  <si>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</si>
  <si>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</si>
  <si>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</si>
  <si>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</si>
  <si>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</si>
  <si>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</si>
  <si>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</si>
  <si>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</si>
  <si>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</si>
  <si>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</si>
  <si>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</si>
  <si>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</si>
  <si>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</si>
  <si>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</si>
  <si>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</si>
  <si>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</si>
  <si>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</si>
  <si>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</si>
  <si>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</si>
  <si>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</si>
  <si>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</si>
  <si>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</si>
  <si>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</si>
  <si>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</si>
  <si>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</si>
  <si>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</si>
  <si>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</si>
  <si>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</si>
  <si>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</si>
  <si>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</si>
  <si>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</si>
  <si>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</si>
  <si>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</si>
  <si>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</si>
  <si>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</si>
  <si>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</si>
  <si>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</si>
  <si>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</si>
  <si>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</si>
  <si>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</si>
  <si>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</si>
  <si>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</si>
  <si>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</si>
  <si>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</si>
  <si>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</si>
  <si>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</si>
  <si>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</si>
  <si>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</si>
  <si>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</si>
  <si>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</si>
  <si>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</si>
  <si>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</si>
  <si>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</si>
  <si>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</si>
  <si>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</si>
  <si>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</si>
  <si>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</si>
  <si>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</si>
  <si>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</si>
  <si>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</si>
  <si>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</si>
  <si>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</si>
  <si>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</si>
  <si>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</si>
  <si>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</si>
  <si>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</si>
  <si>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</si>
  <si>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</si>
  <si>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</si>
  <si>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</si>
  <si>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</si>
  <si>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</si>
  <si>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</si>
  <si>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</si>
  <si>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</si>
  <si>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</si>
  <si>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</si>
  <si>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</si>
  <si>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</si>
  <si>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</si>
  <si>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</si>
  <si>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</si>
  <si>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</si>
  <si>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</si>
  <si>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</si>
  <si>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</si>
  <si>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</si>
  <si>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</si>
  <si>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</si>
  <si>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</si>
  <si>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</si>
  <si>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</si>
  <si>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</si>
  <si>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</si>
  <si>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</si>
  <si>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</si>
  <si>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</si>
  <si>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</si>
  <si>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</si>
  <si>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</si>
  <si>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</si>
  <si>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</si>
  <si>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</si>
  <si>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</si>
  <si>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</si>
  <si>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</si>
  <si>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</si>
  <si>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</si>
  <si>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</si>
  <si>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</si>
  <si>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</si>
  <si>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</si>
  <si>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</si>
  <si>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</si>
  <si>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</si>
  <si>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</si>
  <si>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</si>
  <si>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</si>
  <si>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</si>
  <si>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</si>
  <si>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</si>
  <si>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</si>
  <si>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</si>
  <si>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</si>
  <si>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</si>
  <si>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</si>
  <si>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</si>
  <si>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</si>
  <si>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</si>
  <si>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</si>
  <si>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</si>
  <si>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</si>
  <si>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</si>
  <si>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</si>
  <si>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</si>
  <si>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</si>
  <si>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</si>
  <si>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</si>
  <si>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</si>
  <si>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</si>
  <si>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</si>
  <si>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</si>
  <si>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</si>
  <si>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</si>
  <si>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</si>
  <si>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</si>
  <si>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</si>
  <si>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</si>
  <si>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</si>
  <si>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</si>
  <si>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</si>
  <si>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</si>
  <si>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</si>
  <si>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</si>
  <si>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</si>
  <si>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</si>
  <si>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</si>
  <si>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</si>
  <si>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</si>
  <si>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</si>
  <si>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</si>
  <si>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</si>
  <si>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</si>
  <si>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</si>
  <si>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</si>
  <si>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</si>
  <si>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</si>
  <si>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</si>
  <si>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</si>
  <si>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</si>
  <si>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</si>
  <si>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</si>
  <si>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</si>
  <si>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</si>
  <si>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</si>
  <si>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</si>
  <si>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</si>
  <si>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</si>
  <si>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</si>
  <si>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</si>
  <si>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</si>
  <si>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</si>
  <si>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</si>
  <si>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</si>
  <si>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</si>
  <si>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</si>
  <si>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</si>
  <si>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</si>
  <si>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</si>
  <si>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</si>
  <si>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</si>
  <si>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</si>
  <si>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</si>
  <si>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</si>
  <si>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</si>
  <si>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</si>
  <si>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</si>
  <si>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</si>
  <si>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</si>
  <si>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</si>
  <si>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</si>
  <si>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</si>
  <si>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</si>
  <si>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</si>
  <si>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</si>
  <si>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</si>
  <si>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</si>
  <si>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</si>
  <si>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</si>
  <si>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</si>
  <si>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</si>
  <si>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</si>
  <si>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</si>
  <si>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</si>
  <si>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</si>
  <si>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</si>
  <si>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</si>
  <si>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</si>
  <si>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</si>
  <si>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</si>
  <si>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</si>
  <si>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</si>
  <si>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</si>
  <si>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</si>
  <si>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</si>
  <si>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</si>
  <si>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</si>
  <si>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</si>
  <si>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</si>
  <si>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</si>
  <si>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</si>
  <si>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</si>
  <si>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</si>
  <si>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</si>
  <si>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</si>
  <si>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</si>
  <si>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</si>
  <si>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</si>
  <si>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</si>
  <si>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</si>
  <si>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</si>
  <si>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</si>
  <si>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</si>
  <si>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</si>
  <si>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</si>
  <si>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</si>
  <si>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</si>
  <si>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</si>
  <si>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</si>
  <si>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</si>
  <si>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</si>
  <si>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</si>
  <si>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</si>
  <si>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</si>
  <si>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</si>
  <si>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</si>
  <si>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</si>
  <si>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</si>
  <si>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</si>
  <si>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</si>
  <si>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</si>
  <si>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</si>
  <si>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</si>
  <si>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</si>
  <si>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</si>
  <si>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</si>
  <si>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</si>
  <si>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</si>
  <si>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</si>
  <si>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</si>
  <si>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</si>
  <si>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</si>
  <si>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</si>
  <si>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</si>
  <si>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</si>
  <si>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</si>
  <si>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</si>
  <si>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</si>
  <si>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</si>
  <si>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</si>
  <si>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</si>
  <si>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</si>
  <si>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</si>
  <si>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</si>
  <si>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</si>
  <si>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</si>
  <si>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</si>
  <si>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</si>
  <si>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</si>
  <si>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</si>
  <si>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</si>
  <si>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</si>
  <si>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</si>
  <si>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</si>
  <si>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</si>
  <si>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</si>
  <si>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</si>
  <si>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</si>
  <si>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</si>
  <si>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</si>
  <si>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</si>
  <si>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</si>
  <si>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</si>
  <si>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</si>
  <si>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</si>
  <si>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</si>
  <si>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</si>
  <si>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</si>
  <si>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</si>
  <si>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</si>
  <si>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</si>
  <si>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</si>
  <si>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</si>
  <si>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</si>
  <si>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</si>
  <si>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</si>
  <si>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</si>
  <si>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</si>
  <si>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</si>
  <si>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</si>
  <si>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</si>
  <si>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</si>
  <si>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</si>
  <si>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</si>
  <si>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</si>
  <si>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</si>
  <si>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</si>
  <si>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</si>
  <si>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</si>
  <si>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</si>
  <si>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</si>
  <si>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</si>
  <si>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</si>
  <si>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</si>
  <si>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</si>
  <si>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</si>
  <si>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</si>
  <si>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</si>
  <si>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</si>
  <si>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</si>
  <si>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</si>
  <si>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</si>
  <si>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</si>
  <si>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</si>
  <si>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</si>
  <si>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</si>
  <si>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</si>
  <si>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</si>
  <si>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</si>
  <si>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</si>
  <si>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</si>
  <si>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</si>
  <si>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</si>
  <si>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</si>
  <si>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</si>
  <si>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</si>
  <si>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</si>
  <si>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</si>
  <si>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</si>
  <si>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</si>
  <si>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</si>
  <si>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</si>
  <si>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</si>
  <si>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</si>
  <si>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</si>
  <si>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</si>
  <si>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</si>
  <si>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</si>
  <si>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</si>
  <si>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</si>
  <si>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</si>
  <si>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</si>
  <si>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</si>
  <si>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</si>
  <si>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</si>
  <si>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</si>
  <si>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</si>
  <si>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</si>
  <si>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</si>
  <si>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</si>
  <si>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</si>
  <si>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</si>
  <si>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</si>
  <si>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</si>
  <si>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</si>
  <si>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</si>
  <si>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</si>
  <si>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</si>
  <si>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</si>
  <si>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</si>
  <si>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</si>
  <si>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</si>
  <si>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</si>
  <si>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</si>
  <si>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</si>
  <si>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</si>
  <si>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</si>
  <si>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</si>
  <si>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</si>
  <si>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</si>
  <si>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</si>
  <si>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</si>
  <si>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</si>
  <si>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</si>
  <si>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</si>
  <si>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</si>
  <si>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</si>
  <si>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</si>
  <si>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</si>
  <si>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</si>
  <si>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</si>
  <si>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</si>
  <si>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</si>
  <si>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</si>
  <si>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</si>
  <si>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</si>
  <si>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</si>
  <si>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</si>
  <si>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</si>
  <si>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</si>
  <si>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</si>
  <si>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</si>
  <si>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</si>
  <si>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</si>
  <si>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</si>
  <si>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</si>
  <si>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</si>
  <si>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</si>
  <si>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</si>
  <si>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</si>
  <si>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</si>
  <si>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</si>
  <si>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</si>
  <si>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</si>
  <si>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</si>
  <si>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</si>
  <si>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</si>
  <si>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</si>
  <si>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</si>
  <si>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</si>
  <si>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</si>
  <si>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</si>
  <si>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</si>
  <si>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</si>
  <si>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</si>
  <si>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</si>
  <si>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</si>
  <si>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</si>
  <si>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</si>
  <si>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</si>
  <si>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</si>
  <si>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</si>
  <si>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</si>
  <si>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</si>
  <si>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</si>
  <si>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</si>
  <si>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</si>
  <si>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</si>
  <si>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</si>
  <si>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</si>
  <si>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</si>
  <si>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</si>
  <si>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</si>
  <si>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</si>
  <si>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</si>
  <si>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</si>
  <si>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</si>
  <si>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</si>
  <si>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</si>
  <si>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</si>
  <si>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</si>
  <si>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</si>
  <si>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</si>
  <si>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</si>
  <si>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</si>
  <si>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</si>
  <si>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</si>
  <si>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</si>
  <si>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</si>
  <si>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</si>
  <si>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</si>
  <si>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</si>
  <si>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</si>
  <si>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</si>
  <si>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</si>
  <si>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</si>
  <si>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</si>
  <si>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</si>
  <si>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</si>
  <si>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</si>
  <si>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</si>
  <si>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</si>
  <si>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</si>
  <si>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</si>
  <si>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</si>
  <si>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</si>
  <si>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</si>
  <si>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</si>
  <si>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</si>
  <si>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</si>
  <si>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</si>
  <si>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</si>
  <si>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</si>
  <si>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</si>
  <si>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</si>
  <si>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</si>
  <si>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</si>
  <si>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</si>
  <si>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</si>
  <si>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</si>
  <si>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</si>
  <si>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</si>
  <si>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</si>
  <si>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</si>
  <si>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</si>
  <si>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</si>
  <si>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</si>
  <si>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</si>
  <si>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</si>
  <si>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</si>
  <si>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</si>
  <si>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</si>
  <si>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</si>
  <si>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</si>
  <si>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</si>
  <si>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</si>
  <si>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</si>
  <si>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</si>
  <si>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</si>
  <si>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</si>
  <si>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</si>
  <si>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</si>
  <si>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</si>
  <si>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</si>
  <si>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</si>
  <si>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</si>
  <si>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</si>
  <si>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</si>
  <si>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</si>
  <si>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</si>
  <si>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</si>
  <si>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</si>
  <si>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</si>
  <si>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</si>
  <si>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</si>
  <si>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</si>
  <si>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</si>
  <si>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</si>
  <si>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</si>
  <si>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</si>
  <si>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</si>
  <si>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</si>
  <si>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</si>
  <si>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</si>
  <si>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</si>
  <si>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</si>
  <si>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</si>
  <si>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</si>
  <si>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</si>
  <si>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</si>
  <si>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</si>
  <si>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</si>
  <si>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</si>
  <si>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</si>
  <si>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</si>
  <si>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</si>
  <si>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</si>
  <si>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</si>
  <si>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</si>
  <si>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</si>
  <si>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</si>
  <si>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</si>
  <si>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</si>
  <si>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</si>
  <si>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</si>
  <si>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</si>
  <si>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</si>
  <si>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</si>
  <si>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</si>
  <si>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</si>
  <si>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</si>
  <si>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</si>
  <si>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</si>
  <si>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</si>
  <si>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</si>
  <si>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</si>
  <si>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</si>
  <si>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</si>
  <si>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</si>
  <si>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</si>
  <si>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</si>
  <si>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</si>
  <si>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</si>
  <si>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</si>
  <si>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</si>
  <si>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</si>
  <si>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</si>
  <si>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</si>
  <si>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</si>
  <si>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</si>
  <si>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</si>
  <si>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</si>
  <si>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</si>
  <si>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</si>
  <si>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</si>
  <si>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</si>
  <si>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</si>
  <si>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</si>
  <si>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</si>
  <si>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</si>
  <si>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</si>
  <si>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</si>
  <si>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</si>
  <si>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</si>
  <si>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</si>
  <si>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</si>
  <si>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</si>
  <si>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</si>
  <si>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</si>
  <si>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</si>
  <si>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</si>
  <si>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</si>
  <si>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</si>
  <si>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</si>
  <si>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</si>
  <si>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</si>
  <si>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</si>
  <si>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</si>
  <si>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</si>
  <si>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</si>
  <si>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</si>
  <si>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</si>
  <si>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</si>
  <si>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</si>
  <si>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</si>
  <si>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</si>
  <si>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</si>
  <si>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</si>
  <si>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</si>
  <si>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</si>
  <si>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</si>
  <si>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</si>
  <si>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</si>
  <si>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</si>
  <si>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</si>
  <si>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</si>
  <si>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</si>
  <si>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</si>
  <si>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</si>
  <si>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</si>
  <si>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</si>
  <si>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</si>
  <si>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</si>
  <si>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</si>
  <si>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</si>
  <si>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</si>
  <si>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</si>
  <si>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</si>
  <si>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</si>
  <si>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</si>
  <si>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</si>
  <si>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</si>
  <si>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</si>
  <si>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</si>
  <si>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</si>
  <si>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</si>
  <si>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</si>
  <si>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</si>
  <si>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</si>
  <si>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</si>
  <si>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</si>
  <si>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</si>
  <si>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</si>
  <si>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</si>
  <si>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</si>
  <si>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</si>
  <si>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</si>
  <si>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</si>
  <si>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</si>
  <si>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</si>
  <si>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</si>
  <si>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</si>
  <si>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</si>
  <si>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</si>
  <si>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</si>
  <si>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</si>
  <si>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</si>
  <si>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</si>
  <si>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</si>
  <si>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</si>
  <si>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</si>
  <si>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</si>
  <si>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</si>
  <si>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</si>
  <si>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</si>
  <si>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</si>
  <si>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</si>
  <si>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</si>
  <si>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</si>
  <si>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</si>
  <si>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</si>
  <si>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</si>
  <si>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</si>
  <si>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</si>
  <si>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</si>
  <si>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</si>
  <si>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</si>
  <si>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</si>
  <si>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</si>
  <si>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</si>
  <si>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</si>
  <si>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</si>
  <si>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</si>
  <si>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</si>
  <si>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</si>
  <si>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</si>
  <si>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</si>
  <si>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</si>
  <si>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</si>
  <si>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</si>
  <si>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</si>
  <si>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</si>
  <si>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</si>
  <si>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</si>
  <si>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</si>
  <si>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</si>
  <si>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</si>
  <si>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</si>
  <si>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</si>
  <si>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</si>
  <si>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</si>
  <si>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</si>
  <si>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</si>
  <si>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</si>
  <si>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</si>
  <si>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</si>
  <si>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</si>
  <si>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</si>
  <si>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</si>
  <si>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</si>
  <si>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</si>
  <si>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</si>
  <si>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</si>
  <si>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</si>
  <si>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</si>
  <si>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</si>
  <si>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</si>
  <si>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</si>
  <si>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</si>
  <si>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</si>
  <si>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</si>
  <si>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</si>
  <si>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</si>
  <si>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</si>
  <si>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</si>
  <si>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</si>
  <si>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</si>
  <si>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</si>
  <si>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</si>
  <si>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</si>
  <si>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</si>
  <si>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</si>
  <si>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</si>
  <si>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</si>
  <si>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</si>
  <si>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</si>
  <si>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</si>
  <si>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</si>
  <si>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</si>
  <si>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</si>
  <si>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</si>
  <si>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</si>
  <si>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</si>
  <si>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</si>
  <si>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</si>
  <si>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</si>
  <si>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</si>
  <si>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</si>
  <si>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</si>
  <si>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</si>
  <si>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</si>
  <si>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</si>
  <si>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</si>
  <si>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</si>
  <si>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</si>
  <si>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</si>
  <si>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</si>
  <si>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35.序号10.1“其中：准予加计扣除的摊销额”：应当按照以前年度及本年度对应项目的资本化可加计扣除的研发费用率乘以当年度摊销额合计数填报。</t>
    <phoneticPr fontId="51" type="noConversion"/>
  </si>
  <si>
    <r>
      <t>34.序号10“十、研发项目形成无形资产当期摊销额</t>
    </r>
    <r>
      <rPr>
        <b/>
        <sz val="10"/>
        <rFont val="仿宋"/>
        <family val="3"/>
        <charset val="134"/>
      </rPr>
      <t>”：</t>
    </r>
    <r>
      <rPr>
        <sz val="10"/>
        <rFont val="仿宋"/>
        <family val="3"/>
        <charset val="134"/>
      </rPr>
      <t>应当按照以前年度及当期形成无形资产的研发项目当期摊销额填报；</t>
    </r>
    <r>
      <rPr>
        <sz val="11"/>
        <color indexed="8"/>
        <rFont val="宋体"/>
        <family val="3"/>
        <charset val="134"/>
      </rPr>
      <t/>
    </r>
    <phoneticPr fontId="51" type="noConversion"/>
  </si>
  <si>
    <t>33.序号9“九、当期费用化支出可加计扣除总额”：取自《“研发支出”辅助账汇总表》序号9第4行“结转管理费用”；</t>
    <phoneticPr fontId="150" type="noConversion"/>
  </si>
  <si>
    <t>32.序号8“八、允许加计扣除的研发费用中的第1至5类费用合计（1+2+3+4+5）”：取自《“研发支出”辅助账汇总表》序号8第4行“结转管理费用”；</t>
    <phoneticPr fontId="51" type="noConversion"/>
  </si>
  <si>
    <t>31.序号7.1“其中：委托境外进行研发活动所发生的费用（包括存在关联关系的委托研发）”：取自《“研发支出”辅助账汇总表》序号7.1第4行“结转管理费 用”；</t>
    <phoneticPr fontId="51" type="noConversion"/>
  </si>
  <si>
    <t>30.序号7“七、委托外部机构或个人进行研发活动所发生的费用”：取自《“研发支出”辅助账汇总表》序号7第4行“结转管理费 用”；</t>
    <phoneticPr fontId="51" type="noConversion"/>
  </si>
  <si>
    <t>29.序号6明细：取自《“研发支出”辅助账汇总表》序号6第4行“结转管理费用”明细，应当将明细名称一并填入；</t>
    <phoneticPr fontId="150" type="noConversion"/>
  </si>
  <si>
    <t>28.序号6“六、其他相关费用小计”：等于序号6明细的合计；</t>
    <phoneticPr fontId="51" type="noConversion"/>
  </si>
  <si>
    <t>27.序号5.4“勘探开发技术的现场试验费”：取自《“研发支出”辅助账汇总表》序号5.4第4行“结转管理费用”；</t>
    <phoneticPr fontId="150" type="noConversion"/>
  </si>
  <si>
    <t>26.序号5.3“新药研制的临床试验费”：取自《“研发支出”辅助账汇总表》序号5.3第4行“结转管理费用”；</t>
    <phoneticPr fontId="150" type="noConversion"/>
  </si>
  <si>
    <t>25.序号5.2“新工艺规程制定费”：取自《“研发支出”辅助账汇总表》序号5.2第4行“结转管理费用”；</t>
    <phoneticPr fontId="150" type="noConversion"/>
  </si>
  <si>
    <t>24.序号5.1“新产品设计费”：取自《“研发支出”辅助账汇总表》序号5.1第4行“结转管理费用”；</t>
    <phoneticPr fontId="150" type="noConversion"/>
  </si>
  <si>
    <t>23.序号5“五、新产品设计费等小计”：等于序号5.1至5.4的合计；</t>
    <phoneticPr fontId="51" type="noConversion"/>
  </si>
  <si>
    <t>22.序号4.3“用于研发活动的非专利技术（包括许可证、专有技术、设计和计算方法等）的摊销费用”：取自《“研发支出”辅助账汇总表》序号4.3第4行“结转管理费用”；</t>
    <phoneticPr fontId="150" type="noConversion"/>
  </si>
  <si>
    <t>21.序号4.2“用于研发活动的专利权的摊销费用”：取自《“研发支出”辅助账汇总表》序号4.2第4行“结转管理费用”；</t>
    <phoneticPr fontId="150" type="noConversion"/>
  </si>
  <si>
    <t>20.序号4.1“用于研发活动的软件的摊销费用”：取自《“研发支出”辅助账汇总表》序号4.1第4行“结转管理费用”；</t>
    <phoneticPr fontId="150" type="noConversion"/>
  </si>
  <si>
    <t>19.序号4“四、无形资产摊销小计”：等于序号4.1至4.3的合计；</t>
    <phoneticPr fontId="51" type="noConversion"/>
  </si>
  <si>
    <t>18.序号3.2“用于研发活动的设备的折旧费”：取自《“研发支出”辅助账汇总表》序号3.2第4行“结转管理费用”；</t>
    <phoneticPr fontId="150" type="noConversion"/>
  </si>
  <si>
    <t>17.序号3.1“用于研发活动的仪器的折旧费”：取自《“研发支出”辅助账汇总表》序号3.1第4行“结转管理费用”；</t>
    <phoneticPr fontId="150" type="noConversion"/>
  </si>
  <si>
    <t>16.序号3“三、折旧费用小计”：等于序号3.1加3.2；</t>
    <phoneticPr fontId="51" type="noConversion"/>
  </si>
  <si>
    <t>15.序号2.8“通过经营租赁方式租入的用于研发活动的仪器、设备租赁费”：取自《“研发支出”辅助账汇总表》序号2.8第4行“结转管理费用”；</t>
    <phoneticPr fontId="150" type="noConversion"/>
  </si>
  <si>
    <t>14.序号2.7“用于研发活动的仪器、设备的运行维护、调整、检验、维修等费用”：取自《“研发支出”辅助账汇总表》序号2.7第4行“结转管理费用”；</t>
    <phoneticPr fontId="150" type="noConversion"/>
  </si>
  <si>
    <t>13.序号2.6“用于试制产品的检验费”：取自《“研发支出”辅助账汇总表》序号2.6第4行“结转管理费用”；</t>
    <phoneticPr fontId="150" type="noConversion"/>
  </si>
  <si>
    <t>12.序号2.5“用于不构成固定资产的样品、样机及一般测试手段购置费”：取自《“研发支出”辅助账汇总表》序号2.5第4行“结转管理费用”；</t>
    <phoneticPr fontId="150" type="noConversion"/>
  </si>
  <si>
    <t>11.序号2.4“研发活动直接消耗材料用于中间试验和产品试制的模具、工艺装备开发及制造费”：取自《“研发支出”辅助账汇总 表》序号2.4第4行“结转管理费用”；</t>
    <phoneticPr fontId="150" type="noConversion"/>
  </si>
  <si>
    <t>10.序号2.3“研发活动直接消耗动力费用”：取自《“研发支出”辅助账汇总表》序号2.3第4行“结转管理费用”；</t>
    <phoneticPr fontId="150" type="noConversion"/>
  </si>
  <si>
    <t>9.序号2.2“研发活动直接消耗燃料”：取自《“研发支出”辅助账汇总表》序号2.2第4行“结转管理费用”；</t>
    <phoneticPr fontId="150" type="noConversion"/>
  </si>
  <si>
    <t>8.序号2.1“研发活动直接消耗材料”：取自《“研发支出”辅助账汇总表》序号2.1第4行“结转管理费用”；</t>
    <phoneticPr fontId="150" type="noConversion"/>
  </si>
  <si>
    <t>7.序号2“二、直接投入费用小计”：等于序号2.1至2.8的合计；</t>
    <phoneticPr fontId="51" type="noConversion"/>
  </si>
  <si>
    <t>6.序号1.3“2.外聘研发人员的劳务费用”：取自《“研发支出”辅助账汇总表》序号1.3第4行“结转管理费用”；</t>
    <phoneticPr fontId="150" type="noConversion"/>
  </si>
  <si>
    <t>5.序号1.2“1.直接从事研发活动人员五险一金”：取自《“研发支出”辅助账汇总表》序号1.2第4行“结转管理费用”；</t>
    <phoneticPr fontId="150" type="noConversion"/>
  </si>
  <si>
    <t>4.序号1.1“1.直接从事研发活动人员工资薪金”：取自《“研发支出”辅助账汇总表》序号1.1第4行“结转管理费用”；</t>
    <phoneticPr fontId="51" type="noConversion"/>
  </si>
  <si>
    <t>3.序号1“一、人员人工费用小计”：等于序号1.1至1.3的合计；</t>
    <phoneticPr fontId="51" type="noConversion"/>
  </si>
  <si>
    <t>2.本表应当按照“研发支出”辅助账汇总表填报；</t>
    <phoneticPr fontId="51" type="noConversion"/>
  </si>
  <si>
    <t>1.本表在企业所得税汇算清缴时随申报表一并报送；</t>
    <phoneticPr fontId="51" type="noConversion"/>
  </si>
  <si>
    <t>填表说明：</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</si>
  <si>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</si>
  <si>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</si>
  <si>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</si>
  <si>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</si>
  <si>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其他相关费用限额=序号8×10％/(1-10％)</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</si>
  <si>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</si>
  <si>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</si>
  <si>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七、委托外部机构或个人进行研发活动所发生的费用</t>
    <phoneticPr fontId="51" type="noConversion"/>
  </si>
  <si>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</si>
  <si>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</si>
  <si>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</si>
  <si>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</si>
  <si>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</si>
  <si>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</si>
  <si>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</si>
  <si>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</si>
  <si>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</si>
  <si>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</si>
  <si>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</si>
  <si>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</si>
  <si>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</si>
  <si>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</si>
  <si>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</si>
  <si>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</si>
  <si>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</si>
  <si>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</si>
  <si>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</si>
  <si>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</si>
  <si>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</si>
  <si>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</si>
  <si>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</si>
  <si>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</si>
  <si>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</si>
  <si>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</si>
  <si>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</si>
  <si>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</si>
  <si>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</si>
  <si>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</si>
  <si>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</si>
  <si>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6.9</t>
  </si>
  <si>
    <t>6.8</t>
  </si>
  <si>
    <t>6.7</t>
  </si>
  <si>
    <t>6.6</t>
  </si>
  <si>
    <t>6.5</t>
  </si>
  <si>
    <t>6.4</t>
  </si>
  <si>
    <t>6.3</t>
  </si>
  <si>
    <t>6.2</t>
  </si>
  <si>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</si>
  <si>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</si>
  <si>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</si>
  <si>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</si>
  <si>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</si>
  <si>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</si>
  <si>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</si>
  <si>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</si>
  <si>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用于研发活动的专利权的摊销费用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</si>
  <si>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</si>
  <si>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</si>
  <si>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</si>
  <si>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</si>
  <si>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三、折旧费用小计</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</si>
  <si>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</si>
  <si>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</si>
  <si>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</si>
  <si>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</si>
  <si>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</si>
  <si>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动力费用</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</si>
  <si>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</si>
  <si>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</si>
  <si>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</si>
  <si>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</si>
  <si>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</si>
  <si>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</si>
  <si>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</si>
  <si>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</si>
  <si>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一、人员人工费用小计</t>
    <phoneticPr fontId="51" type="noConversion"/>
  </si>
  <si>
    <t>发生额</t>
    <phoneticPr fontId="51" type="noConversion"/>
  </si>
  <si>
    <t>项目</t>
    <phoneticPr fontId="51" type="noConversion"/>
  </si>
  <si>
    <t>序号</t>
    <phoneticPr fontId="51" type="noConversion"/>
  </si>
  <si>
    <t>金额单位：元(列至角分）</t>
    <phoneticPr fontId="51" type="noConversion"/>
  </si>
  <si>
    <t>研发项目可加计扣除研究开发费用情况归集表</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</si>
  <si>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</si>
  <si>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</si>
  <si>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</si>
  <si>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</si>
  <si>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</si>
  <si>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</si>
  <si>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</si>
  <si>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</si>
  <si>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</si>
  <si>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</si>
  <si>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</si>
  <si>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</si>
  <si>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</si>
  <si>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</si>
  <si>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</si>
  <si>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</si>
  <si>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</si>
  <si>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</si>
  <si>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</si>
  <si>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</si>
  <si>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</si>
  <si>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</si>
  <si>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</si>
  <si>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</si>
  <si>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</si>
  <si>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</si>
  <si>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</si>
  <si>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</si>
  <si>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</si>
  <si>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</si>
  <si>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</si>
  <si>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发生额</t>
    <phoneticPr fontId="51" type="noConversion"/>
  </si>
  <si>
    <t>项目</t>
    <phoneticPr fontId="51" type="noConversion"/>
  </si>
  <si>
    <t>金额单位：元(列至角分）</t>
    <phoneticPr fontId="51" type="noConversion"/>
  </si>
  <si>
    <t>研发项目可加计扣除研究开发费用情况归集表</t>
    <phoneticPr fontId="51" type="noConversion"/>
  </si>
  <si>
    <t>研发加计扣除归集审核表</t>
  </si>
  <si>
    <t>受控外国企业信息报告表</t>
  </si>
  <si>
    <t>非货币性资产投资递延纳税调整明细表</t>
  </si>
  <si>
    <t xml:space="preserve">企业重组所得税特殊性税务处理报告表 </t>
  </si>
  <si>
    <t>研发项目可加计扣除研究开发费用情况归集表</t>
  </si>
  <si>
    <t>企业重组所得税特殊性税务处理报告表</t>
  </si>
  <si>
    <t>研发加计扣除归集审核表</t>
    <phoneticPr fontId="51" type="noConversion"/>
  </si>
  <si>
    <t>V20170517</t>
    <phoneticPr fontId="51" type="noConversion"/>
  </si>
  <si>
    <t>01月01日</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</si>
</sst>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 #,##0.00_ ;_ * \-#,##0.00_ ;_ * &quot;-&quot;??_ ;_ @_ "/>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58">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
      <sz val="11"/>
      <color indexed="8"/>
      <name val="Tahoma"/>
      <family val="2"/>
    </font>
    <font>
      <sz val="12"/>
      <name val="仿宋"/>
      <family val="3"/>
      <charset val="134"/>
    </font>
    <font>
      <sz val="10"/>
      <name val="仿宋"/>
      <family val="3"/>
      <charset val="134"/>
    </font>
    <font>
      <b/>
      <sz val="10"/>
      <name val="仿宋"/>
      <family val="3"/>
      <charset val="134"/>
    </font>
    <font>
      <sz val="9"/>
      <name val="Tahoma"/>
      <family val="2"/>
    </font>
    <font>
      <sz val="10"/>
      <color indexed="63"/>
      <name val="仿宋"/>
      <family val="3"/>
      <charset val="134"/>
    </font>
    <font>
      <b/>
      <sz val="10"/>
      <color indexed="8"/>
      <name val="仿宋"/>
      <family val="3"/>
      <charset val="134"/>
    </font>
    <font>
      <b/>
      <sz val="10"/>
      <color indexed="63"/>
      <name val="仿宋"/>
      <family val="3"/>
      <charset val="134"/>
    </font>
    <font>
      <sz val="10"/>
      <color indexed="8"/>
      <name val="仿宋"/>
      <family val="3"/>
      <charset val="134"/>
    </font>
    <font>
      <b/>
      <u/>
      <sz val="10"/>
      <name val="仿宋"/>
      <family val="3"/>
      <charset val="134"/>
    </font>
    <font>
      <b/>
      <sz val="16"/>
      <name val="仿宋"/>
      <family val="3"/>
      <charset val="134"/>
    </font>
    <font>
      <sz val="16"/>
      <name val="黑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8">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1">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xf numFmtId="0" fontId="146" fillId="0" borderId="0">
      <alignment vertical="center"/>
    </xf>
    <xf numFmtId="43" fontId="146" fillId="0" borderId="0" applyFont="0" applyFill="0" applyBorder="0" applyAlignment="0" applyProtection="0">
      <alignment vertical="center"/>
    </xf>
  </cellStyleXfs>
  <cellXfs count="4119">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0" borderId="15" xfId="0" applyFont="1" applyBorder="1" applyAlignment="1" applyProtection="1">
      <alignment horizontal="center"/>
    </xf>
    <xf numFmtId="0" fontId="13" fillId="0" borderId="138" xfId="0" applyFont="1" applyBorder="1" applyAlignment="1" applyProtection="1">
      <alignment horizont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147" fillId="0" borderId="0" xfId="9" applyFont="1" applyAlignment="1">
      <alignment vertical="center" wrapText="1"/>
    </xf>
    <xf numFmtId="0" fontId="148" fillId="0" borderId="0" xfId="9" applyFont="1" applyAlignment="1">
      <alignment vertical="center" wrapText="1"/>
    </xf>
    <xf numFmtId="0" fontId="148" fillId="0" borderId="0" xfId="9" applyFont="1" applyAlignment="1">
      <alignment vertical="center"/>
    </xf>
    <xf numFmtId="43" fontId="148" fillId="30" borderId="231" xfId="10" applyFont="1" applyFill="1" applyBorder="1" applyAlignment="1">
      <alignment vertical="center" wrapText="1"/>
    </xf>
    <xf numFmtId="0" fontId="148" fillId="33" borderId="232" xfId="9" applyFont="1" applyFill="1" applyBorder="1" applyAlignment="1">
      <alignment horizontal="left" vertical="center" wrapText="1"/>
    </xf>
    <xf numFmtId="43" fontId="148" fillId="0" borderId="233" xfId="10" applyFont="1" applyFill="1" applyBorder="1" applyAlignment="1">
      <alignment vertical="center" wrapText="1"/>
    </xf>
    <xf numFmtId="0" fontId="148" fillId="33" borderId="132" xfId="9" applyFont="1" applyFill="1" applyBorder="1" applyAlignment="1">
      <alignment horizontal="left" vertical="center" wrapText="1"/>
    </xf>
    <xf numFmtId="43" fontId="148" fillId="30" borderId="233" xfId="10" applyFont="1" applyFill="1" applyBorder="1" applyAlignment="1">
      <alignment vertical="center" wrapText="1"/>
    </xf>
    <xf numFmtId="0" fontId="148" fillId="33" borderId="132" xfId="9" quotePrefix="1" applyFont="1" applyFill="1" applyBorder="1" applyAlignment="1">
      <alignment horizontal="left" vertical="center" wrapText="1"/>
    </xf>
    <xf numFmtId="0" fontId="148" fillId="0" borderId="0" xfId="9" applyFont="1" applyAlignment="1">
      <alignment horizontal="justify" vertical="center" wrapText="1"/>
    </xf>
    <xf numFmtId="0" fontId="154" fillId="33" borderId="93" xfId="9" applyFont="1" applyFill="1" applyBorder="1" applyAlignment="1">
      <alignment horizontal="left" vertical="center" wrapText="1"/>
    </xf>
    <xf numFmtId="0" fontId="148" fillId="33" borderId="93" xfId="9" applyFont="1" applyFill="1" applyBorder="1" applyAlignment="1">
      <alignment vertical="center" wrapText="1"/>
    </xf>
    <xf numFmtId="0" fontId="149" fillId="33" borderId="234" xfId="9" applyFont="1" applyFill="1" applyBorder="1" applyAlignment="1">
      <alignment horizontal="center" vertical="center" wrapText="1"/>
    </xf>
    <xf numFmtId="0" fontId="149" fillId="33" borderId="237" xfId="9" applyFont="1" applyFill="1" applyBorder="1" applyAlignment="1">
      <alignment horizontal="center" vertical="center" wrapText="1"/>
    </xf>
    <xf numFmtId="0" fontId="148" fillId="33" borderId="0" xfId="9" applyFont="1" applyFill="1" applyAlignment="1">
      <alignment horizontal="right" vertical="center"/>
    </xf>
    <xf numFmtId="0" fontId="148" fillId="33" borderId="0" xfId="9" applyFont="1" applyFill="1" applyBorder="1" applyAlignment="1">
      <alignment horizontal="left" vertical="center" wrapText="1"/>
    </xf>
    <xf numFmtId="0" fontId="148" fillId="33" borderId="0" xfId="9" applyFont="1" applyFill="1" applyAlignment="1">
      <alignment vertical="center" wrapText="1"/>
    </xf>
    <xf numFmtId="0" fontId="149" fillId="33" borderId="0" xfId="9" applyFont="1" applyFill="1" applyAlignment="1">
      <alignment vertical="center" wrapText="1"/>
    </xf>
    <xf numFmtId="0" fontId="149" fillId="33" borderId="0" xfId="9" applyFont="1" applyFill="1" applyAlignment="1">
      <alignment vertical="center"/>
    </xf>
    <xf numFmtId="0" fontId="157" fillId="33" borderId="0" xfId="9" applyFont="1" applyFill="1" applyAlignment="1">
      <alignment vertical="center"/>
    </xf>
    <xf numFmtId="43" fontId="148" fillId="32" borderId="233" xfId="10" applyFont="1" applyFill="1" applyBorder="1" applyAlignment="1">
      <alignment vertical="center" wrapText="1"/>
    </xf>
    <xf numFmtId="0" fontId="12" fillId="0" borderId="93" xfId="2" applyFill="1" applyBorder="1" applyProtection="1">
      <alignment vertical="center"/>
    </xf>
    <xf numFmtId="0" fontId="12" fillId="0" borderId="93" xfId="2" applyBorder="1">
      <alignment vertical="center"/>
    </xf>
    <xf numFmtId="43" fontId="2" fillId="0" borderId="71" xfId="0" applyNumberFormat="1" applyFont="1" applyFill="1" applyBorder="1" applyProtection="1">
      <alignment vertical="center"/>
      <protection locked="0"/>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2" borderId="7" xfId="0" applyFill="1"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16" fillId="5" borderId="32" xfId="0" applyFont="1" applyFill="1" applyBorder="1" applyAlignment="1" applyProtection="1">
      <alignment horizontal="left" wrapText="1"/>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31" xfId="0" applyFont="1" applyBorder="1" applyAlignment="1" applyProtection="1">
      <alignment horizontal="center" vertical="center" wrapText="1"/>
      <protection locked="0"/>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horizontal="left" wrapText="1"/>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23" fillId="5" borderId="0" xfId="0" applyFont="1" applyFill="1" applyBorder="1" applyAlignment="1" applyProtection="1">
      <alignment horizontal="left"/>
    </xf>
    <xf numFmtId="49" fontId="16" fillId="0" borderId="9" xfId="0" applyNumberFormat="1" applyFont="1" applyFill="1" applyBorder="1" applyAlignment="1" applyProtection="1">
      <alignment horizontal="center" vertical="center"/>
      <protection locked="0"/>
    </xf>
    <xf numFmtId="0"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32" borderId="9" xfId="0" applyNumberFormat="1" applyFont="1" applyFill="1" applyBorder="1" applyAlignment="1" applyProtection="1">
      <alignment horizontal="center" vertic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23" fillId="33" borderId="127" xfId="0" applyFont="1" applyFill="1" applyBorder="1" applyAlignment="1" applyProtection="1">
      <alignment horizontal="center"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3" xfId="0" applyFont="1" applyFill="1" applyBorder="1" applyAlignment="1" applyProtection="1">
      <alignment horizontal="center" wrapText="1"/>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123" fillId="33" borderId="0" xfId="0" applyFont="1" applyFill="1" applyAlignment="1" applyProtection="1">
      <alignment horizontal="left" vertical="center"/>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 fillId="2" borderId="3"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wrapText="1"/>
    </xf>
    <xf numFmtId="0" fontId="2" fillId="0"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7" fillId="0" borderId="0" xfId="0" applyFont="1" applyBorder="1" applyAlignment="1">
      <alignment horizontal="center" vertical="center"/>
    </xf>
    <xf numFmtId="0" fontId="2" fillId="0" borderId="98" xfId="0" applyFont="1" applyBorder="1" applyAlignment="1" applyProtection="1">
      <alignment horizontal="left" vertical="top" wrapText="1"/>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0" fillId="2" borderId="6" xfId="0" applyFont="1"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6" borderId="11" xfId="0" applyFill="1" applyBorder="1" applyAlignment="1" applyProtection="1">
      <alignment horizontal="center" vertical="center"/>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0" borderId="2" xfId="0" applyFont="1" applyBorder="1" applyAlignment="1" applyProtection="1">
      <protection locked="0"/>
    </xf>
    <xf numFmtId="0" fontId="2" fillId="2" borderId="12" xfId="0" applyFont="1" applyFill="1" applyBorder="1" applyAlignment="1" applyProtection="1">
      <alignment horizontal="center"/>
      <protection locked="0"/>
    </xf>
    <xf numFmtId="0" fontId="2" fillId="2" borderId="4" xfId="0" applyFont="1" applyFill="1" applyBorder="1" applyAlignment="1" applyProtection="1">
      <protection locked="0"/>
    </xf>
    <xf numFmtId="0" fontId="2" fillId="0" borderId="21" xfId="0" applyFont="1" applyBorder="1" applyAlignment="1" applyProtection="1">
      <protection locked="0"/>
    </xf>
    <xf numFmtId="0" fontId="2" fillId="0" borderId="27" xfId="0" applyFont="1" applyBorder="1" applyAlignment="1" applyProtection="1">
      <protection locked="0"/>
    </xf>
    <xf numFmtId="0" fontId="2" fillId="2" borderId="3" xfId="0" applyFont="1" applyFill="1" applyBorder="1" applyAlignment="1" applyProtection="1">
      <alignment vertical="center" wrapText="1"/>
      <protection locked="0"/>
    </xf>
    <xf numFmtId="0" fontId="2" fillId="0" borderId="28"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2" fillId="2" borderId="37" xfId="0" applyFont="1" applyFill="1" applyBorder="1" applyAlignment="1" applyProtection="1">
      <alignment vertical="center" wrapText="1"/>
      <protection locked="0"/>
    </xf>
    <xf numFmtId="0" fontId="2" fillId="0" borderId="37" xfId="0" applyFont="1" applyBorder="1" applyAlignment="1" applyProtection="1">
      <protection locked="0"/>
    </xf>
    <xf numFmtId="0" fontId="2" fillId="5" borderId="13" xfId="0" applyFont="1" applyFill="1" applyBorder="1" applyAlignment="1" applyProtection="1"/>
    <xf numFmtId="0" fontId="2" fillId="2" borderId="4" xfId="0" applyFont="1" applyFill="1" applyBorder="1" applyAlignment="1" applyProtection="1">
      <alignment horizontal="center" vertical="center" wrapText="1"/>
      <protection locked="0"/>
    </xf>
    <xf numFmtId="0" fontId="2" fillId="2" borderId="2" xfId="0" applyFont="1" applyFill="1" applyBorder="1" applyAlignment="1" applyProtection="1">
      <alignment vertical="center" wrapText="1"/>
      <protection locked="0"/>
    </xf>
    <xf numFmtId="0" fontId="2" fillId="2" borderId="32" xfId="0" applyFont="1" applyFill="1" applyBorder="1" applyAlignment="1" applyProtection="1">
      <alignment vertical="center" wrapText="1"/>
      <protection locked="0"/>
    </xf>
    <xf numFmtId="0" fontId="2" fillId="2" borderId="3" xfId="0" applyFont="1" applyFill="1" applyBorder="1" applyAlignment="1" applyProtection="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31" xfId="0" applyFont="1" applyBorder="1" applyAlignment="1" applyProtection="1">
      <alignment horizontal="center"/>
      <protection locked="0"/>
    </xf>
    <xf numFmtId="0" fontId="2" fillId="0" borderId="37" xfId="0" applyFont="1" applyBorder="1" applyAlignment="1" applyProtection="1">
      <alignment vertical="center"/>
      <protection locked="0"/>
    </xf>
    <xf numFmtId="0" fontId="2" fillId="0" borderId="28" xfId="0" applyFont="1" applyBorder="1" applyAlignment="1" applyProtection="1">
      <alignment vertical="top"/>
      <protection locked="0"/>
    </xf>
    <xf numFmtId="0" fontId="2" fillId="0" borderId="2" xfId="0" applyFont="1" applyBorder="1" applyAlignment="1" applyProtection="1">
      <alignment vertical="top"/>
      <protection locked="0"/>
    </xf>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top"/>
      <protection locked="0"/>
    </xf>
    <xf numFmtId="0" fontId="2" fillId="2" borderId="31" xfId="0" applyFont="1" applyFill="1" applyBorder="1" applyAlignment="1" applyProtection="1">
      <alignment vertical="top"/>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16" fillId="0" borderId="32" xfId="0" applyFont="1" applyBorder="1" applyAlignment="1" applyProtection="1">
      <alignment vertical="center"/>
      <protection locked="0"/>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2" fillId="2" borderId="33"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0" xfId="0" applyFont="1" applyBorder="1" applyAlignment="1" applyProtection="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0" fillId="0" borderId="1" xfId="0" applyFont="1" applyFill="1" applyBorder="1" applyAlignment="1" applyProtection="1">
      <alignment vertical="center"/>
      <protection locked="0"/>
    </xf>
    <xf numFmtId="0" fontId="0" fillId="0" borderId="0" xfId="0" applyBorder="1" applyAlignment="1" applyProtection="1">
      <protection locked="0"/>
    </xf>
    <xf numFmtId="0" fontId="0" fillId="0" borderId="0" xfId="0" applyFont="1" applyBorder="1" applyAlignment="1" applyProtection="1">
      <alignment wrapText="1"/>
      <protection locked="0"/>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textRotation="255"/>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0" fillId="2" borderId="0" xfId="0" applyFont="1" applyFill="1" applyBorder="1" applyAlignment="1">
      <alignment vertical="top" wrapText="1"/>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180" fontId="42" fillId="5" borderId="8" xfId="0" applyNumberFormat="1" applyFont="1" applyFill="1" applyBorder="1" applyAlignment="1" applyProtection="1">
      <alignment horizontal="center" vertical="center"/>
    </xf>
    <xf numFmtId="180" fontId="42" fillId="0" borderId="8"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2" fillId="2"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2" borderId="11" xfId="0" applyFont="1" applyFill="1" applyBorder="1" applyAlignment="1" applyProtection="1">
      <alignment horizontal="center" vertical="center" wrapText="1"/>
      <protection locked="0"/>
    </xf>
    <xf numFmtId="0" fontId="2" fillId="3" borderId="7" xfId="0" applyFont="1" applyFill="1" applyBorder="1" applyAlignment="1" applyProtection="1">
      <alignment horizontal="center" vertical="center"/>
    </xf>
    <xf numFmtId="180" fontId="42" fillId="0" borderId="9" xfId="0" applyNumberFormat="1" applyFont="1" applyFill="1" applyBorder="1" applyAlignment="1" applyProtection="1">
      <alignment vertical="center" shrinkToFit="1"/>
      <protection locked="0"/>
    </xf>
    <xf numFmtId="0" fontId="2" fillId="0" borderId="8" xfId="0" applyFont="1" applyFill="1" applyBorder="1" applyAlignment="1" applyProtection="1">
      <alignment horizontal="center" vertical="center" shrinkToFit="1"/>
      <protection locked="0"/>
    </xf>
    <xf numFmtId="180" fontId="42" fillId="4" borderId="9" xfId="0" applyNumberFormat="1" applyFont="1" applyFill="1" applyBorder="1" applyAlignment="1" applyProtection="1">
      <alignment vertical="center" shrinkToFit="1"/>
      <protection locked="0"/>
    </xf>
    <xf numFmtId="180" fontId="42" fillId="0" borderId="9" xfId="0" applyNumberFormat="1" applyFont="1" applyFill="1" applyBorder="1" applyAlignment="1" applyProtection="1">
      <alignment vertical="center"/>
      <protection locked="0"/>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0" fontId="74" fillId="0" borderId="9" xfId="1" applyNumberFormat="1" applyFill="1" applyBorder="1" applyProtection="1">
      <alignment vertical="center"/>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3" borderId="35" xfId="0" applyNumberFormat="1" applyFont="1" applyFill="1" applyBorder="1" applyAlignment="1" applyProtection="1">
      <alignment vertical="center"/>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12" fillId="0" borderId="1" xfId="2" applyNumberFormat="1" applyFont="1" applyFill="1" applyBorder="1" applyAlignment="1" applyProtection="1">
      <protection locked="0"/>
    </xf>
    <xf numFmtId="180" fontId="42" fillId="5"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protection locked="0"/>
    </xf>
    <xf numFmtId="180" fontId="42" fillId="3" borderId="8" xfId="0" applyNumberFormat="1" applyFont="1" applyFill="1" applyBorder="1" applyAlignment="1" applyProtection="1">
      <alignment vertical="center"/>
    </xf>
    <xf numFmtId="0" fontId="2" fillId="0" borderId="9" xfId="0"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0" fontId="2" fillId="2" borderId="7"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63" xfId="0"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wrapText="1"/>
      <protection locked="0"/>
    </xf>
    <xf numFmtId="0" fontId="2" fillId="2" borderId="59" xfId="0" applyFont="1" applyFill="1" applyBorder="1" applyAlignment="1" applyProtection="1">
      <alignment horizontal="center"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2" fillId="2" borderId="96" xfId="0"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180" fontId="42" fillId="13" borderId="12" xfId="0" applyNumberFormat="1" applyFont="1" applyFill="1" applyBorder="1" applyAlignment="1">
      <alignment horizontal="center" vertical="center"/>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0" borderId="12" xfId="0" applyFont="1" applyBorder="1" applyAlignment="1" applyProtection="1">
      <alignment vertical="center"/>
      <protection locked="0"/>
    </xf>
    <xf numFmtId="0" fontId="2" fillId="0" borderId="10" xfId="0"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0" borderId="1" xfId="0" applyFont="1" applyBorder="1" applyAlignment="1" applyProtection="1">
      <alignment wrapText="1"/>
      <protection locked="0"/>
    </xf>
    <xf numFmtId="0" fontId="2" fillId="2" borderId="10"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0" fontId="2" fillId="2" borderId="10"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2" borderId="34" xfId="0" applyFont="1" applyFill="1" applyBorder="1" applyAlignment="1">
      <alignment horizontal="center" vertical="center" wrapText="1"/>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2" borderId="33" xfId="0" applyFont="1" applyFill="1" applyBorder="1" applyAlignment="1">
      <alignment horizontal="center" vertical="center"/>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180" fontId="42" fillId="0" borderId="12" xfId="0" applyNumberFormat="1" applyFont="1" applyFill="1" applyBorder="1" applyAlignment="1">
      <alignment vertical="center"/>
    </xf>
    <xf numFmtId="0" fontId="2" fillId="0" borderId="1" xfId="0" applyFont="1" applyBorder="1" applyAlignment="1">
      <alignment wrapText="1"/>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2" fillId="0" borderId="74" xfId="0" applyNumberFormat="1" applyFont="1" applyFill="1" applyBorder="1" applyAlignment="1">
      <alignment vertical="center"/>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180" fontId="42" fillId="13" borderId="19" xfId="0" applyNumberFormat="1" applyFont="1" applyFill="1" applyBorder="1" applyAlignment="1">
      <alignment vertical="center"/>
    </xf>
    <xf numFmtId="180" fontId="42" fillId="13" borderId="8"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13" borderId="22" xfId="0" applyFont="1" applyFill="1" applyBorder="1" applyAlignment="1" applyProtection="1">
      <alignment horizontal="center" vertical="center"/>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2" fillId="3" borderId="19" xfId="0" applyFont="1" applyFill="1" applyBorder="1" applyAlignment="1" applyProtection="1">
      <alignmen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4" borderId="68" xfId="0" applyFont="1" applyFill="1" applyBorder="1" applyAlignment="1" applyProtection="1">
      <alignment vertical="center"/>
      <protection locked="0"/>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0" borderId="15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xf>
    <xf numFmtId="177" fontId="42" fillId="0" borderId="93" xfId="0" applyNumberFormat="1" applyFont="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177" fontId="42" fillId="0" borderId="169"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2" fillId="33" borderId="93"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1" fillId="33" borderId="152" xfId="0" applyFont="1" applyFill="1" applyBorder="1" applyAlignment="1">
      <alignment horizontal="center"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56" xfId="0" applyFont="1" applyFill="1" applyBorder="1" applyAlignment="1">
      <alignment horizontal="center" vertical="center" wrapText="1"/>
    </xf>
    <xf numFmtId="0" fontId="51" fillId="33" borderId="157"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49" fontId="10" fillId="27" borderId="93" xfId="0" applyNumberFormat="1" applyFont="1" applyFill="1" applyBorder="1" applyAlignment="1">
      <alignment vertical="center"/>
    </xf>
    <xf numFmtId="49" fontId="0" fillId="0" borderId="93" xfId="0" applyNumberFormat="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33" borderId="0" xfId="0" applyFont="1" applyFill="1" applyBorder="1" applyAlignment="1">
      <alignment horizontal="left" vertical="center"/>
    </xf>
    <xf numFmtId="0" fontId="74" fillId="0" borderId="0" xfId="0" applyFont="1" applyAlignment="1">
      <alignment wrapText="1"/>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93" xfId="0" applyFont="1" applyFill="1" applyBorder="1" applyAlignment="1">
      <alignment vertical="center"/>
    </xf>
    <xf numFmtId="180" fontId="42" fillId="0" borderId="93" xfId="4" applyFont="1" applyFill="1" applyBorder="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1" fillId="0" borderId="0" xfId="0" applyFont="1" applyFill="1" applyAlignment="1">
      <alignment vertical="center" wrapText="1"/>
    </xf>
    <xf numFmtId="0" fontId="2" fillId="33" borderId="122" xfId="0" applyFont="1" applyFill="1" applyBorder="1" applyAlignment="1">
      <alignment horizontal="center" vertical="center"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3" borderId="22"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2" borderId="29" xfId="0" applyFont="1" applyFill="1" applyBorder="1" applyAlignment="1" applyProtection="1">
      <alignment horizontal="center"/>
      <protection locked="0"/>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49" fontId="63" fillId="0" borderId="59" xfId="0" applyNumberFormat="1" applyFont="1" applyFill="1" applyBorder="1" applyAlignment="1" applyProtection="1">
      <alignment horizontal="center" vertical="center"/>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49" fontId="63" fillId="0" borderId="8" xfId="0" applyNumberFormat="1" applyFont="1" applyFill="1" applyBorder="1" applyAlignment="1" applyProtection="1">
      <alignment horizontal="center" vertical="center"/>
      <protection locked="0"/>
    </xf>
    <xf numFmtId="180" fontId="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1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wrapText="1"/>
      <protection locked="0"/>
    </xf>
    <xf numFmtId="0" fontId="2" fillId="0" borderId="10" xfId="0" applyFont="1" applyFill="1" applyBorder="1" applyAlignment="1" applyProtection="1">
      <alignment vertical="center" wrapText="1"/>
      <protection locked="0"/>
    </xf>
    <xf numFmtId="180" fontId="2" fillId="0" borderId="12"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12" xfId="0" applyNumberFormat="1" applyFont="1" applyBorder="1" applyAlignment="1" applyProtection="1">
      <alignment vertical="center"/>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wrapText="1"/>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49" fontId="2" fillId="2" borderId="22" xfId="0" applyNumberFormat="1" applyFont="1" applyFill="1" applyBorder="1" applyAlignment="1" applyProtection="1">
      <alignment horizontal="center" vertical="center"/>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33" xfId="0" applyFont="1" applyFill="1" applyBorder="1" applyAlignment="1" applyProtection="1">
      <alignment horizontal="center" vertical="center"/>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189" fontId="2" fillId="2" borderId="19" xfId="0" applyNumberFormat="1" applyFont="1" applyFill="1" applyBorder="1" applyAlignment="1" applyProtection="1">
      <alignment horizontal="center" vertical="center"/>
      <protection hidden="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0" fontId="2" fillId="0" borderId="1" xfId="0" applyFont="1" applyBorder="1" applyAlignment="1">
      <alignment vertical="center" wrapText="1"/>
    </xf>
    <xf numFmtId="0" fontId="2" fillId="0" borderId="0" xfId="0" applyFont="1" applyBorder="1" applyAlignment="1">
      <alignment vertical="center" wrapText="1"/>
    </xf>
    <xf numFmtId="180" fontId="42" fillId="3" borderId="34" xfId="0" applyNumberFormat="1" applyFont="1" applyFill="1" applyBorder="1" applyAlignment="1" applyProtection="1">
      <alignment vertical="center"/>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0" fontId="2" fillId="5" borderId="13" xfId="0" applyFont="1" applyFill="1" applyBorder="1" applyAlignment="1" applyProtection="1">
      <alignment vertical="center" shrinkToFit="1"/>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0" borderId="72" xfId="0" applyFont="1" applyBorder="1" applyAlignment="1" applyProtection="1">
      <alignment horizontal="left" vertical="top" wrapText="1"/>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30" borderId="35" xfId="0" applyFont="1" applyFill="1" applyBorder="1" applyAlignment="1" applyProtection="1">
      <alignment horizontal="center" vertical="center"/>
    </xf>
    <xf numFmtId="0" fontId="2" fillId="0" borderId="228" xfId="0" applyFont="1" applyFill="1" applyBorder="1" applyAlignment="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9" xfId="0" applyFont="1" applyBorder="1" applyAlignment="1" applyProtection="1">
      <alignment horizontal="center" vertical="center"/>
      <protection locked="0"/>
    </xf>
    <xf numFmtId="0" fontId="27" fillId="2" borderId="0" xfId="0" applyFont="1" applyFill="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 fillId="0" borderId="22" xfId="0" applyFont="1" applyBorder="1" applyAlignment="1" applyProtection="1">
      <alignment horizontal="center" vertical="center"/>
      <protection locked="0"/>
    </xf>
    <xf numFmtId="0" fontId="74" fillId="0" borderId="0" xfId="0" applyFont="1" applyAlignment="1" applyProtection="1">
      <alignment horizontal="justify"/>
      <protection locked="0"/>
    </xf>
    <xf numFmtId="0" fontId="0" fillId="0" borderId="0" xfId="0" applyAlignment="1" applyProtection="1">
      <alignment horizontal="distributed"/>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188" fontId="2" fillId="0" borderId="0" xfId="0" applyNumberFormat="1" applyFont="1" applyFill="1" applyBorder="1" applyAlignment="1">
      <alignment horizontal="left" vertical="center" wrapText="1"/>
    </xf>
    <xf numFmtId="186" fontId="74" fillId="42" borderId="0" xfId="4" applyNumberFormat="1" applyFill="1" applyBorder="1" applyAlignment="1" applyProtection="1">
      <alignment vertical="center"/>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0" fontId="128" fillId="0" borderId="0" xfId="0" applyFont="1" applyBorder="1" applyAlignment="1">
      <alignment horizontal="center" vertical="center" wrapText="1"/>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78" fontId="2" fillId="5" borderId="3" xfId="0" applyNumberFormat="1" applyFont="1" applyFill="1" applyBorder="1" applyAlignment="1" applyProtection="1">
      <alignment horizontal="center" vertical="center" wrapText="1"/>
    </xf>
    <xf numFmtId="0" fontId="2" fillId="0" borderId="3" xfId="0" applyFont="1" applyBorder="1" applyAlignment="1" applyProtection="1">
      <alignment horizontal="center" wrapText="1"/>
      <protection locked="0"/>
    </xf>
    <xf numFmtId="0" fontId="2" fillId="2" borderId="3" xfId="0" applyFont="1" applyFill="1" applyBorder="1" applyAlignment="1" applyProtection="1">
      <alignment horizontal="center" vertical="center" textRotation="255" wrapText="1"/>
      <protection locked="0"/>
    </xf>
    <xf numFmtId="180" fontId="2" fillId="5" borderId="3" xfId="0" applyNumberFormat="1" applyFont="1" applyFill="1" applyBorder="1" applyAlignment="1" applyProtection="1">
      <alignment horizontal="center" vertical="center" shrinkToFit="1"/>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0" fontId="2" fillId="2" borderId="3" xfId="0" applyFont="1" applyFill="1" applyBorder="1" applyAlignment="1" applyProtection="1">
      <alignment horizontal="center" wrapText="1"/>
      <protection locked="0"/>
    </xf>
    <xf numFmtId="0" fontId="2" fillId="5" borderId="3" xfId="0" applyNumberFormat="1" applyFont="1" applyFill="1" applyBorder="1" applyAlignment="1" applyProtection="1">
      <alignment horizontal="center" vertical="center" wrapText="1"/>
    </xf>
    <xf numFmtId="49" fontId="2" fillId="2" borderId="3" xfId="0" applyNumberFormat="1" applyFont="1" applyFill="1" applyBorder="1" applyAlignment="1" applyProtection="1">
      <alignment horizontal="center" vertical="center" wrapText="1"/>
      <protection locked="0"/>
    </xf>
    <xf numFmtId="180" fontId="2" fillId="5" borderId="3" xfId="0" applyNumberFormat="1" applyFont="1" applyFill="1" applyBorder="1" applyAlignment="1" applyProtection="1">
      <alignment horizontal="left"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49" fontId="27" fillId="4" borderId="0" xfId="0" applyNumberFormat="1" applyFont="1" applyFill="1" applyBorder="1" applyAlignment="1" applyProtection="1">
      <alignment vertical="center" wrapText="1"/>
      <protection locked="0"/>
    </xf>
    <xf numFmtId="0" fontId="131" fillId="2" borderId="0" xfId="0" applyFont="1" applyFill="1" applyBorder="1" applyAlignment="1" applyProtection="1">
      <alignment vertical="center"/>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3" borderId="3"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0" borderId="3" xfId="0" applyFont="1" applyFill="1" applyBorder="1" applyAlignment="1" applyProtection="1">
      <alignment vertical="center" shrinkToFit="1"/>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2" borderId="3" xfId="0" applyFont="1" applyFill="1" applyBorder="1" applyAlignment="1" applyProtection="1">
      <alignment horizontal="center" vertical="center"/>
      <protection locked="0"/>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0" fontId="27" fillId="5" borderId="0" xfId="0" applyFont="1" applyFill="1" applyBorder="1" applyAlignment="1" applyProtection="1">
      <alignment vertical="center"/>
    </xf>
    <xf numFmtId="0" fontId="27" fillId="7" borderId="0" xfId="0" applyFont="1" applyFill="1" applyBorder="1" applyAlignment="1" applyProtection="1">
      <alignment vertical="center"/>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31" fontId="2" fillId="5" borderId="0" xfId="0" applyNumberFormat="1" applyFont="1" applyFill="1" applyBorder="1" applyAlignment="1" applyProtection="1">
      <alignment horizontal="center"/>
    </xf>
    <xf numFmtId="0" fontId="51" fillId="2" borderId="3" xfId="0" applyFont="1" applyFill="1" applyBorder="1" applyAlignment="1" applyProtection="1">
      <alignment vertical="center" wrapText="1"/>
      <protection locked="0"/>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0" xfId="0" applyFont="1" applyBorder="1" applyAlignment="1">
      <alignment horizontal="center" vertical="center" wrapText="1"/>
    </xf>
    <xf numFmtId="0" fontId="83" fillId="0" borderId="122" xfId="0" applyFont="1" applyBorder="1" applyAlignment="1">
      <alignment horizontal="center" vertical="center" wrapText="1"/>
    </xf>
    <xf numFmtId="0" fontId="83" fillId="0" borderId="123" xfId="0" applyFont="1" applyBorder="1" applyAlignment="1">
      <alignment horizontal="center" vertical="center" wrapText="1"/>
    </xf>
    <xf numFmtId="0" fontId="83" fillId="0" borderId="124" xfId="0" applyFont="1" applyBorder="1" applyAlignment="1">
      <alignment horizontal="center" vertical="center"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70" fillId="15" borderId="111"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0" fontId="90" fillId="15" borderId="119" xfId="0" applyFont="1" applyFill="1" applyBorder="1" applyAlignment="1">
      <alignment horizontal="center"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09" xfId="0" applyFont="1" applyFill="1" applyBorder="1" applyAlignment="1">
      <alignment horizontal="center" vertical="center"/>
    </xf>
    <xf numFmtId="0" fontId="2" fillId="35" borderId="111" xfId="0" applyFont="1" applyFill="1" applyBorder="1" applyAlignment="1">
      <alignment horizontal="center" vertical="center"/>
    </xf>
    <xf numFmtId="0" fontId="2" fillId="35" borderId="110"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3" borderId="110" xfId="0" applyFont="1" applyFill="1"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0" fillId="33" borderId="0" xfId="0" applyFill="1" applyAlignment="1">
      <alignment vertical="center" wrapText="1"/>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0" fillId="0" borderId="93" xfId="0" applyBorder="1" applyAlignment="1">
      <alignment horizontal="left" vertical="center"/>
    </xf>
    <xf numFmtId="49" fontId="0" fillId="0" borderId="93" xfId="0" applyNumberFormat="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3" borderId="211" xfId="0" applyFont="1" applyFill="1" applyBorder="1" applyAlignment="1">
      <alignment horizontal="center" vertical="center"/>
    </xf>
    <xf numFmtId="0" fontId="51" fillId="33" borderId="212"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74" fillId="33" borderId="119" xfId="0" applyFont="1" applyFill="1" applyBorder="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0" xfId="0" applyFont="1" applyFill="1" applyAlignment="1">
      <alignment horizontal="left" vertical="top"/>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3" borderId="115" xfId="0" applyNumberFormat="1" applyFont="1" applyFill="1" applyBorder="1" applyAlignment="1">
      <alignment vertical="center"/>
    </xf>
    <xf numFmtId="0" fontId="2" fillId="15" borderId="93" xfId="0" applyNumberFormat="1" applyFont="1" applyFill="1" applyBorder="1" applyAlignment="1">
      <alignment vertical="center" wrapText="1"/>
    </xf>
    <xf numFmtId="0" fontId="2" fillId="15" borderId="115"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5" borderId="93" xfId="0" applyNumberFormat="1" applyFont="1" applyFill="1" applyBorder="1" applyAlignment="1">
      <alignment vertical="center"/>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49" fontId="2" fillId="33" borderId="93" xfId="0" applyNumberFormat="1" applyFont="1" applyFill="1" applyBorder="1" applyAlignment="1">
      <alignment horizontal="left" vertical="center"/>
    </xf>
    <xf numFmtId="49" fontId="2" fillId="33" borderId="93" xfId="0" applyNumberFormat="1" applyFont="1" applyFill="1" applyBorder="1" applyAlignment="1">
      <alignment horizontal="left" vertical="center" wrapText="1"/>
    </xf>
    <xf numFmtId="0"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2" borderId="116" xfId="0" applyNumberFormat="1" applyFont="1" applyFill="1" applyBorder="1" applyAlignment="1">
      <alignment horizontal="center"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33"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0" fontId="148" fillId="33" borderId="115" xfId="9" applyFont="1" applyFill="1" applyBorder="1" applyAlignment="1">
      <alignment horizontal="left" vertical="center" wrapText="1"/>
    </xf>
    <xf numFmtId="0" fontId="148" fillId="33" borderId="116" xfId="9" applyFont="1" applyFill="1" applyBorder="1" applyAlignment="1">
      <alignment horizontal="left" vertical="center" wrapText="1"/>
    </xf>
    <xf numFmtId="0" fontId="156" fillId="33" borderId="0" xfId="9" applyFont="1" applyFill="1" applyAlignment="1">
      <alignment horizontal="center" vertical="center" wrapText="1"/>
    </xf>
    <xf numFmtId="0" fontId="155" fillId="33" borderId="0" xfId="9" applyFont="1" applyFill="1" applyBorder="1" applyAlignment="1">
      <alignment horizontal="center" vertical="center" wrapText="1"/>
    </xf>
    <xf numFmtId="0" fontId="149" fillId="33" borderId="0" xfId="9" applyFont="1" applyFill="1" applyBorder="1" applyAlignment="1">
      <alignment horizontal="center" vertical="center" wrapText="1"/>
    </xf>
    <xf numFmtId="0" fontId="149" fillId="33" borderId="236" xfId="9" applyFont="1" applyFill="1" applyBorder="1" applyAlignment="1">
      <alignment horizontal="center" vertical="center" wrapText="1"/>
    </xf>
    <xf numFmtId="0" fontId="149" fillId="33" borderId="235" xfId="9" applyFont="1" applyFill="1" applyBorder="1" applyAlignment="1">
      <alignment horizontal="center" vertical="center" wrapText="1"/>
    </xf>
    <xf numFmtId="0" fontId="149" fillId="33" borderId="109" xfId="9" applyFont="1" applyFill="1" applyBorder="1" applyAlignment="1">
      <alignment horizontal="left" vertical="center" wrapText="1"/>
    </xf>
    <xf numFmtId="0" fontId="149" fillId="33" borderId="110" xfId="9" applyFont="1" applyFill="1" applyBorder="1" applyAlignment="1">
      <alignment horizontal="left" vertical="center" wrapText="1"/>
    </xf>
    <xf numFmtId="0" fontId="151" fillId="33" borderId="109" xfId="9" applyFont="1" applyFill="1" applyBorder="1" applyAlignment="1">
      <alignment horizontal="left" vertical="center" wrapText="1"/>
    </xf>
    <xf numFmtId="0" fontId="148" fillId="33" borderId="110" xfId="9" applyFont="1" applyFill="1" applyBorder="1" applyAlignment="1">
      <alignment horizontal="left" vertical="center" wrapText="1"/>
    </xf>
    <xf numFmtId="0" fontId="151" fillId="33" borderId="110" xfId="9" applyFont="1" applyFill="1" applyBorder="1" applyAlignment="1">
      <alignment horizontal="left" vertical="center" wrapText="1"/>
    </xf>
    <xf numFmtId="0" fontId="149" fillId="33" borderId="109" xfId="9" applyNumberFormat="1" applyFont="1" applyFill="1" applyBorder="1" applyAlignment="1">
      <alignment horizontal="left" vertical="center" wrapText="1"/>
    </xf>
    <xf numFmtId="0" fontId="149" fillId="33" borderId="110" xfId="9" applyNumberFormat="1" applyFont="1" applyFill="1" applyBorder="1" applyAlignment="1">
      <alignment horizontal="left" vertical="center" wrapText="1"/>
    </xf>
    <xf numFmtId="0" fontId="148" fillId="33" borderId="109" xfId="9" applyFont="1" applyFill="1" applyBorder="1" applyAlignment="1">
      <alignment horizontal="left" vertical="center" wrapText="1"/>
    </xf>
    <xf numFmtId="0" fontId="151" fillId="33" borderId="115" xfId="9" applyFont="1" applyFill="1" applyBorder="1" applyAlignment="1">
      <alignment horizontal="left" vertical="center" wrapText="1"/>
    </xf>
    <xf numFmtId="0" fontId="151" fillId="33" borderId="116" xfId="9" applyFont="1" applyFill="1" applyBorder="1" applyAlignment="1">
      <alignment horizontal="left" vertical="center" wrapText="1"/>
    </xf>
    <xf numFmtId="0" fontId="148" fillId="33" borderId="118" xfId="9" applyFont="1" applyFill="1" applyBorder="1" applyAlignment="1">
      <alignment horizontal="left" vertical="center" wrapText="1"/>
    </xf>
    <xf numFmtId="0" fontId="151" fillId="33" borderId="93" xfId="9" applyFont="1" applyFill="1" applyBorder="1" applyAlignment="1">
      <alignment horizontal="left" vertical="center" wrapText="1"/>
    </xf>
    <xf numFmtId="0" fontId="151" fillId="0" borderId="109" xfId="9" applyFont="1" applyFill="1" applyBorder="1" applyAlignment="1">
      <alignment horizontal="left" vertical="center" wrapText="1"/>
    </xf>
    <xf numFmtId="0" fontId="151" fillId="0" borderId="110" xfId="9" applyFont="1" applyFill="1" applyBorder="1" applyAlignment="1">
      <alignment horizontal="left" vertical="center" wrapText="1"/>
    </xf>
    <xf numFmtId="0" fontId="152" fillId="33" borderId="109" xfId="9" applyFont="1" applyFill="1" applyBorder="1" applyAlignment="1">
      <alignment horizontal="left" vertical="center" wrapText="1"/>
    </xf>
    <xf numFmtId="0" fontId="152" fillId="33" borderId="110" xfId="9" applyFont="1" applyFill="1" applyBorder="1" applyAlignment="1">
      <alignment horizontal="left" vertical="center" wrapText="1"/>
    </xf>
    <xf numFmtId="0" fontId="148" fillId="33" borderId="93" xfId="9" applyFont="1" applyFill="1" applyBorder="1" applyAlignment="1">
      <alignment horizontal="left" vertical="center" wrapText="1"/>
    </xf>
    <xf numFmtId="0" fontId="153" fillId="33" borderId="93" xfId="9" applyFont="1" applyFill="1" applyBorder="1" applyAlignment="1">
      <alignment horizontal="left" vertical="center" wrapText="1"/>
    </xf>
    <xf numFmtId="0" fontId="148" fillId="0" borderId="0" xfId="9" applyFont="1" applyAlignment="1">
      <alignment vertical="center" wrapText="1"/>
    </xf>
    <xf numFmtId="0" fontId="149" fillId="0" borderId="128" xfId="9" applyFont="1" applyBorder="1" applyAlignment="1">
      <alignment horizontal="left" vertical="center" wrapText="1"/>
    </xf>
    <xf numFmtId="0" fontId="149" fillId="33" borderId="134" xfId="9" applyFont="1" applyFill="1" applyBorder="1" applyAlignment="1">
      <alignment horizontal="left" vertical="center" wrapText="1"/>
    </xf>
    <xf numFmtId="0" fontId="149" fillId="33" borderId="135" xfId="9" applyFont="1" applyFill="1" applyBorder="1" applyAlignment="1">
      <alignment horizontal="left" vertical="center" wrapText="1"/>
    </xf>
    <xf numFmtId="0" fontId="151" fillId="32" borderId="109" xfId="9" applyFont="1" applyFill="1" applyBorder="1" applyAlignment="1">
      <alignment horizontal="left" vertical="center" wrapText="1"/>
    </xf>
    <xf numFmtId="0" fontId="151" fillId="32" borderId="110" xfId="9" applyFont="1" applyFill="1" applyBorder="1" applyAlignment="1">
      <alignment horizontal="left" vertical="center" wrapText="1"/>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25" fillId="0" borderId="93" xfId="0" applyFont="1" applyBorder="1" applyAlignment="1">
      <alignment horizontal="center" vertical="center" wrapText="1"/>
    </xf>
    <xf numFmtId="0" fontId="25" fillId="0" borderId="93" xfId="0" applyFont="1" applyBorder="1" applyAlignment="1">
      <alignment horizontal="left" vertical="center" wrapText="1"/>
    </xf>
    <xf numFmtId="0" fontId="2" fillId="0" borderId="93" xfId="0" applyFont="1" applyBorder="1" applyAlignment="1">
      <alignment horizontal="left" vertical="center" wrapText="1"/>
    </xf>
    <xf numFmtId="0" fontId="2" fillId="0" borderId="93" xfId="0" applyFont="1" applyBorder="1" applyAlignment="1">
      <alignment horizontal="center" vertical="center"/>
    </xf>
    <xf numFmtId="0" fontId="2" fillId="0" borderId="109" xfId="0" applyFont="1" applyBorder="1" applyAlignment="1">
      <alignment horizontal="left"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70" fillId="15" borderId="93" xfId="0" applyFont="1" applyFill="1" applyBorder="1" applyAlignment="1">
      <alignment horizontal="center"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cellXfs>
  <cellStyles count="11">
    <cellStyle name="百分比" xfId="1" builtinId="5"/>
    <cellStyle name="差" xfId="7" builtinId="27"/>
    <cellStyle name="常规" xfId="0" builtinId="0"/>
    <cellStyle name="常规 2" xfId="9"/>
    <cellStyle name="超链接" xfId="2" builtinId="8"/>
    <cellStyle name="好" xfId="6" builtinId="26"/>
    <cellStyle name="千位分隔" xfId="4" builtinId="3"/>
    <cellStyle name="千位分隔 2" xfId="10"/>
    <cellStyle name="千位分隔[0]" xfId="5" builtinId="6"/>
    <cellStyle name="适中" xfId="8" builtinId="28"/>
    <cellStyle name="표준_0N-HANDLING " xfId="3"/>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theme" Target="theme/theme1.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111"/>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election activeCell="D3" sqref="D3"/>
    </sheetView>
  </sheetViews>
  <sheetFormatPr defaultColWidth="9" defaultRowHeight="15.6"/>
  <cols>
    <col min="1" max="1" width="25.69921875" customWidth="1"/>
    <col min="4" max="4" width="20.19921875" bestFit="1" customWidth="1"/>
    <col min="6" max="6" width="20.19921875" bestFit="1" customWidth="1"/>
    <col min="8" max="8" width="35.5" bestFit="1" customWidth="1"/>
    <col min="14" max="15" width="0" hidden="1" customWidth="1"/>
    <col min="52" max="52" width="9" customWidth="1"/>
  </cols>
  <sheetData>
    <row r="1" spans="1:13">
      <c r="A1" s="1326" t="s">
        <v>10294</v>
      </c>
      <c r="C1" s="1326" t="s">
        <v>9967</v>
      </c>
      <c r="D1" s="1326" t="s">
        <v>7705</v>
      </c>
      <c r="E1" s="1326" t="s">
        <v>9968</v>
      </c>
      <c r="F1" s="1326" t="s">
        <v>7741</v>
      </c>
      <c r="G1" t="s">
        <v>7779</v>
      </c>
      <c r="H1" t="s">
        <v>7780</v>
      </c>
      <c r="I1" t="s">
        <v>7868</v>
      </c>
      <c r="J1" t="s">
        <v>7869</v>
      </c>
      <c r="M1">
        <f t="array" ref="M1">SUM(IFERROR(ABS(凭证检查!$G$6:$G$205),0))</f>
        <v>0</v>
      </c>
    </row>
    <row r="2" spans="1:13">
      <c r="C2" t="s">
        <v>1709</v>
      </c>
      <c r="D2" t="s">
        <v>7706</v>
      </c>
      <c r="E2" t="s">
        <v>7731</v>
      </c>
      <c r="F2" t="s">
        <v>7730</v>
      </c>
      <c r="G2" t="s">
        <v>7781</v>
      </c>
      <c r="H2" t="s">
        <v>12</v>
      </c>
      <c r="I2" t="s">
        <v>7870</v>
      </c>
      <c r="J2" t="s">
        <v>7871</v>
      </c>
      <c r="M2">
        <f t="array" ref="M2">SUM(IFERROR(ABS(纳税申报数据!$D$6:$D$19),0),IFERROR(ABS(纳税申报数据!$F$6:$I$23),0),IFERROR(ABS(纳税申报数据!$K$6:$K$14),0))</f>
        <v>0</v>
      </c>
    </row>
    <row r="3" spans="1:13" ht="62.4" customHeight="1">
      <c r="C3" t="s">
        <v>7708</v>
      </c>
      <c r="D3" t="s">
        <v>7707</v>
      </c>
      <c r="E3" s="1326" t="s">
        <v>9976</v>
      </c>
      <c r="F3" s="1702" t="s">
        <v>9977</v>
      </c>
      <c r="G3" t="s">
        <v>7782</v>
      </c>
      <c r="H3" t="s">
        <v>224</v>
      </c>
      <c r="I3" t="s">
        <v>7872</v>
      </c>
      <c r="J3" t="s">
        <v>7873</v>
      </c>
      <c r="M3">
        <f t="array" ref="M3">SUM(IFERROR(ABS(工资福利!$C$7:$H$25),0),IFERROR(ABS(工资福利!$G$27:$H$30),0),IFERROR(ABS(工资福利!$G$33),0),IFERROR(ABS(工资福利!$G$36),0),IFERROR(ABS(工资福利!$G$37),0),IFERROR(ABS(工资福利!$G$38),0))</f>
        <v>0</v>
      </c>
    </row>
    <row r="4" spans="1:13" ht="62.4" customHeight="1">
      <c r="C4" t="s">
        <v>7710</v>
      </c>
      <c r="D4" t="s">
        <v>7709</v>
      </c>
      <c r="E4" s="1326" t="s">
        <v>9978</v>
      </c>
      <c r="F4" s="1702" t="s">
        <v>9980</v>
      </c>
      <c r="G4" t="s">
        <v>7783</v>
      </c>
      <c r="H4" t="s">
        <v>1270</v>
      </c>
      <c r="I4" t="s">
        <v>7874</v>
      </c>
      <c r="J4" t="s">
        <v>7875</v>
      </c>
      <c r="M4">
        <f t="array" ref="M4">SUM(IFERROR(ABS(招待!$E$8:$K$16),0),IFERROR(ABS(招待!$J$23),0),IFERROR(ABS(招待!$J$24),0))</f>
        <v>0</v>
      </c>
    </row>
    <row r="5" spans="1:13" ht="14.25" customHeight="1">
      <c r="A5" t="s">
        <v>7704</v>
      </c>
      <c r="B5" t="s">
        <v>7704</v>
      </c>
      <c r="C5" t="s">
        <v>7712</v>
      </c>
      <c r="D5" t="s">
        <v>7711</v>
      </c>
      <c r="E5" s="1326" t="s">
        <v>9979</v>
      </c>
      <c r="F5" s="1702" t="s">
        <v>9981</v>
      </c>
      <c r="G5" t="s">
        <v>7784</v>
      </c>
      <c r="H5" t="s">
        <v>1275</v>
      </c>
      <c r="I5" t="s">
        <v>7876</v>
      </c>
      <c r="J5" t="s">
        <v>7877</v>
      </c>
      <c r="M5">
        <f t="array" aca="1" ref="M5" ca="1">SUM(IFERROR(ABS(固资折旧!$A$8:$G$29),0))</f>
        <v>0</v>
      </c>
    </row>
    <row r="6" spans="1:13" ht="14.25" customHeight="1">
      <c r="B6" t="s">
        <v>9982</v>
      </c>
      <c r="C6" t="s">
        <v>6607</v>
      </c>
      <c r="D6" t="s">
        <v>6608</v>
      </c>
      <c r="G6" t="s">
        <v>7785</v>
      </c>
      <c r="H6" t="s">
        <v>7786</v>
      </c>
      <c r="I6" t="s">
        <v>7878</v>
      </c>
      <c r="J6" t="s">
        <v>7879</v>
      </c>
      <c r="M6">
        <f t="array" ref="M6">SUM(IFERROR(ABS(折旧测算!$C$8:$O$8),0))</f>
        <v>0</v>
      </c>
    </row>
    <row r="7" spans="1:13">
      <c r="B7" t="s">
        <v>9990</v>
      </c>
      <c r="C7" t="s">
        <v>7714</v>
      </c>
      <c r="D7" t="s">
        <v>7713</v>
      </c>
      <c r="G7" t="s">
        <v>7777</v>
      </c>
      <c r="H7" t="s">
        <v>1276</v>
      </c>
      <c r="I7" t="s">
        <v>7880</v>
      </c>
      <c r="J7" t="s">
        <v>7881</v>
      </c>
      <c r="M7">
        <f t="array" ref="M7">SUM(IFERROR(ABS(无形长摊!$B$7:$O$27),0))</f>
        <v>0</v>
      </c>
    </row>
    <row r="8" spans="1:13">
      <c r="B8" t="s">
        <v>9987</v>
      </c>
      <c r="C8" t="s">
        <v>7716</v>
      </c>
      <c r="D8" t="s">
        <v>7715</v>
      </c>
      <c r="G8" t="s">
        <v>7787</v>
      </c>
      <c r="H8" t="s">
        <v>226</v>
      </c>
      <c r="I8" t="s">
        <v>7882</v>
      </c>
      <c r="J8" t="s">
        <v>7883</v>
      </c>
      <c r="M8">
        <f t="array" ref="M8">SUM(IFERROR(ABS(社保!$D$8:$F$20),0),IFERROR(ABS(社保!$C$24:$G$24),0),IFERROR(ABS(社保!$C$27:$G$27),0))</f>
        <v>0</v>
      </c>
    </row>
    <row r="9" spans="1:13">
      <c r="B9" t="s">
        <v>9988</v>
      </c>
      <c r="C9" t="s">
        <v>7718</v>
      </c>
      <c r="D9" t="s">
        <v>7717</v>
      </c>
      <c r="G9" t="s">
        <v>7765</v>
      </c>
      <c r="H9" t="s">
        <v>710</v>
      </c>
      <c r="I9" t="s">
        <v>7884</v>
      </c>
      <c r="J9" t="s">
        <v>7885</v>
      </c>
      <c r="M9">
        <f t="array" ref="M9">SUM(IFERROR(ABS(社保明细工资人数!$B$8:$J$36),0))</f>
        <v>0</v>
      </c>
    </row>
    <row r="10" spans="1:13" ht="14.25" customHeight="1">
      <c r="B10" t="s">
        <v>9983</v>
      </c>
      <c r="C10" t="s">
        <v>7720</v>
      </c>
      <c r="D10" t="s">
        <v>7719</v>
      </c>
      <c r="G10" t="s">
        <v>7788</v>
      </c>
      <c r="H10" t="s">
        <v>1277</v>
      </c>
      <c r="I10" t="s">
        <v>7886</v>
      </c>
      <c r="J10" t="s">
        <v>7887</v>
      </c>
      <c r="M10">
        <f t="array" ref="M10">SUM(IFERROR(ABS(广宣!$A$7:$J$24),0),IFERROR(ABS(广宣!$C$27:$J$27),0),IFERROR(ABS(广宣!$J$33:$J$37),0),IFERROR(ABS(广宣!$J$31),0))</f>
        <v>0</v>
      </c>
    </row>
    <row r="11" spans="1:13">
      <c r="B11" t="s">
        <v>9984</v>
      </c>
      <c r="C11" t="s">
        <v>7722</v>
      </c>
      <c r="D11" t="s">
        <v>7721</v>
      </c>
      <c r="G11" t="s">
        <v>7771</v>
      </c>
      <c r="H11" t="s">
        <v>1279</v>
      </c>
      <c r="I11" t="s">
        <v>7888</v>
      </c>
      <c r="J11" t="s">
        <v>7889</v>
      </c>
      <c r="M11">
        <f t="array" ref="M11">SUM(IFERROR(ABS(捐赠!$A$7:$J$17),0))</f>
        <v>0</v>
      </c>
    </row>
    <row r="12" spans="1:13">
      <c r="B12" t="s">
        <v>9996</v>
      </c>
      <c r="C12" t="s">
        <v>6609</v>
      </c>
      <c r="D12" t="s">
        <v>6610</v>
      </c>
      <c r="G12" t="s">
        <v>7789</v>
      </c>
      <c r="H12" t="s">
        <v>2362</v>
      </c>
      <c r="I12" t="s">
        <v>7890</v>
      </c>
      <c r="J12" t="s">
        <v>7891</v>
      </c>
      <c r="M12">
        <f t="array" ref="M12">SUM(IFERROR(ABS(利息!$B$8:$J$17),0),IFERROR(ABS(利息!$C$21:$J$21),0))</f>
        <v>0</v>
      </c>
    </row>
    <row r="13" spans="1:13">
      <c r="B13" t="s">
        <v>9985</v>
      </c>
      <c r="C13" t="s">
        <v>6611</v>
      </c>
      <c r="D13" t="s">
        <v>6612</v>
      </c>
      <c r="G13" t="s">
        <v>7790</v>
      </c>
      <c r="H13" t="s">
        <v>230</v>
      </c>
      <c r="I13" t="s">
        <v>7892</v>
      </c>
      <c r="J13" t="s">
        <v>7893</v>
      </c>
      <c r="M13">
        <f t="array" ref="M13">SUM(IFERROR(ABS(租金!$D$8:$J$18),0),IFERROR(ABS(租金!$B$21:$J$21),0))</f>
        <v>0</v>
      </c>
    </row>
    <row r="14" spans="1:13">
      <c r="B14" t="s">
        <v>9986</v>
      </c>
      <c r="C14" t="s">
        <v>6613</v>
      </c>
      <c r="D14" t="s">
        <v>7723</v>
      </c>
      <c r="G14" t="s">
        <v>7791</v>
      </c>
      <c r="H14" t="s">
        <v>184</v>
      </c>
      <c r="I14" t="s">
        <v>7894</v>
      </c>
      <c r="J14" t="s">
        <v>7895</v>
      </c>
      <c r="M14">
        <f t="array" aca="1" ref="M14" ca="1">SUM(IFERROR(ABS(补亏!$B$7:$G$17),0))</f>
        <v>0</v>
      </c>
    </row>
    <row r="15" spans="1:13" ht="14.25" customHeight="1">
      <c r="A15" s="1326" t="s">
        <v>10061</v>
      </c>
      <c r="B15" t="s">
        <v>1711</v>
      </c>
      <c r="C15" t="s">
        <v>7725</v>
      </c>
      <c r="D15" t="s">
        <v>7724</v>
      </c>
      <c r="G15" t="s">
        <v>7792</v>
      </c>
      <c r="H15" t="s">
        <v>7793</v>
      </c>
      <c r="I15" t="s">
        <v>7896</v>
      </c>
      <c r="J15" t="s">
        <v>7897</v>
      </c>
      <c r="M15">
        <f t="array" ref="M15">SUM(IFERROR(ABS(其他事项!$D$7:$F$42),0))</f>
        <v>0</v>
      </c>
    </row>
    <row r="16" spans="1:13" ht="14.25" customHeight="1">
      <c r="A16" s="1326" t="s">
        <v>10062</v>
      </c>
      <c r="B16" t="s">
        <v>1709</v>
      </c>
      <c r="C16" t="s">
        <v>7727</v>
      </c>
      <c r="D16" t="s">
        <v>7726</v>
      </c>
      <c r="G16" t="s">
        <v>7794</v>
      </c>
      <c r="H16" t="s">
        <v>7795</v>
      </c>
      <c r="I16" t="s">
        <v>7898</v>
      </c>
      <c r="J16" t="s">
        <v>7899</v>
      </c>
      <c r="M16">
        <f t="array" ref="M16">SUM(IFERROR(ABS(无限期结转扣除项目审核表!$C$6:$K$10),0))</f>
        <v>0</v>
      </c>
    </row>
    <row r="17" spans="1:13" ht="14.25" customHeight="1">
      <c r="A17" s="1326" t="s">
        <v>10063</v>
      </c>
      <c r="B17" t="s">
        <v>7680</v>
      </c>
      <c r="C17" t="s">
        <v>7729</v>
      </c>
      <c r="D17" t="s">
        <v>7728</v>
      </c>
      <c r="G17" t="s">
        <v>7796</v>
      </c>
      <c r="H17" t="s">
        <v>7797</v>
      </c>
      <c r="I17" t="s">
        <v>7900</v>
      </c>
      <c r="J17" t="s">
        <v>7901</v>
      </c>
      <c r="M17">
        <f t="array" ref="M17">SUM(IFERROR(ABS(跨年度确认所得情况表!$C$8:$F$17),0))</f>
        <v>0</v>
      </c>
    </row>
    <row r="18" spans="1:13">
      <c r="A18" s="1326" t="s">
        <v>10064</v>
      </c>
      <c r="B18" t="s">
        <v>10071</v>
      </c>
      <c r="C18" t="s">
        <v>7733</v>
      </c>
      <c r="D18" t="s">
        <v>7732</v>
      </c>
      <c r="G18" t="s">
        <v>7798</v>
      </c>
      <c r="H18" t="s">
        <v>7799</v>
      </c>
      <c r="I18" t="s">
        <v>7902</v>
      </c>
      <c r="J18" t="s">
        <v>7903</v>
      </c>
      <c r="M18">
        <f t="array" ref="M18">SUM(IFERROR(ABS(视同销售和房地产开发企业特定业务审核表!$C$8:$D$36),0))</f>
        <v>0</v>
      </c>
    </row>
    <row r="19" spans="1:13">
      <c r="A19" s="1326" t="s">
        <v>10065</v>
      </c>
      <c r="B19" t="s">
        <v>10072</v>
      </c>
      <c r="C19" t="s">
        <v>7735</v>
      </c>
      <c r="D19" t="s">
        <v>7734</v>
      </c>
      <c r="G19" t="s">
        <v>7800</v>
      </c>
      <c r="H19" t="s">
        <v>228</v>
      </c>
      <c r="I19" t="s">
        <v>7904</v>
      </c>
      <c r="J19" t="s">
        <v>7905</v>
      </c>
      <c r="M19">
        <f t="array" ref="M19">SUM(IFERROR(ABS(未按权责发生制确认收入审核表!$C$6:$H$19),0))</f>
        <v>0</v>
      </c>
    </row>
    <row r="20" spans="1:13">
      <c r="B20" s="1326" t="s">
        <v>10073</v>
      </c>
      <c r="C20" t="s">
        <v>7737</v>
      </c>
      <c r="D20" t="s">
        <v>7736</v>
      </c>
      <c r="G20" t="s">
        <v>7801</v>
      </c>
      <c r="H20" t="s">
        <v>7802</v>
      </c>
      <c r="I20" t="s">
        <v>7906</v>
      </c>
      <c r="J20" t="s">
        <v>7907</v>
      </c>
      <c r="M20">
        <f t="array" ref="M20">SUM(IFERROR(ABS(投资收益审核表!$C$6:$M$15),0))</f>
        <v>0</v>
      </c>
    </row>
    <row r="21" spans="1:13" ht="14.25" customHeight="1">
      <c r="B21" s="1326" t="s">
        <v>10074</v>
      </c>
      <c r="C21" t="s">
        <v>6614</v>
      </c>
      <c r="D21" t="s">
        <v>6615</v>
      </c>
      <c r="G21" t="s">
        <v>7803</v>
      </c>
      <c r="H21" t="s">
        <v>7804</v>
      </c>
      <c r="I21" t="s">
        <v>7908</v>
      </c>
      <c r="J21" t="s">
        <v>7909</v>
      </c>
      <c r="M21">
        <f t="array" ref="M21">SUM(IFERROR(ABS(专项用途财政性资金审核表!$D$7:$P$13),0))</f>
        <v>0</v>
      </c>
    </row>
    <row r="22" spans="1:13" ht="14.25" customHeight="1">
      <c r="B22" s="1326" t="s">
        <v>10076</v>
      </c>
      <c r="C22" t="s">
        <v>6616</v>
      </c>
      <c r="D22" t="s">
        <v>6617</v>
      </c>
      <c r="G22" t="s">
        <v>7805</v>
      </c>
      <c r="H22" t="s">
        <v>7806</v>
      </c>
      <c r="I22" t="s">
        <v>7910</v>
      </c>
      <c r="J22" t="s">
        <v>7911</v>
      </c>
      <c r="M22">
        <f t="array" ref="M22">SUM(IFERROR(ABS(固定资产加速折旧审核表!$B$7:$U$34),0))</f>
        <v>0</v>
      </c>
    </row>
    <row r="23" spans="1:13" ht="14.25" customHeight="1">
      <c r="A23" s="1326" t="s">
        <v>9993</v>
      </c>
      <c r="B23" t="s">
        <v>9972</v>
      </c>
      <c r="C23" t="s">
        <v>6618</v>
      </c>
      <c r="D23" t="s">
        <v>6619</v>
      </c>
      <c r="G23" t="s">
        <v>7757</v>
      </c>
      <c r="H23" t="s">
        <v>7807</v>
      </c>
      <c r="I23" t="s">
        <v>7912</v>
      </c>
      <c r="J23" t="s">
        <v>7913</v>
      </c>
      <c r="M23">
        <f t="array" ref="M23">SUM(IFERROR(ABS(资产损失税前扣除审核表!$C$5:$E$18),0))</f>
        <v>0</v>
      </c>
    </row>
    <row r="24" spans="1:13">
      <c r="B24" t="s">
        <v>9989</v>
      </c>
      <c r="C24" s="1326" t="s">
        <v>7740</v>
      </c>
      <c r="D24" t="s">
        <v>6620</v>
      </c>
      <c r="G24" t="s">
        <v>7761</v>
      </c>
      <c r="H24" t="s">
        <v>7808</v>
      </c>
      <c r="I24" t="s">
        <v>7914</v>
      </c>
      <c r="J24" t="s">
        <v>7915</v>
      </c>
      <c r="M24">
        <f t="array" ref="M24">SUM(IFERROR(ABS('资产损失（专项申报）税前扣除审核表'!$C$6:$H$25),0))</f>
        <v>0</v>
      </c>
    </row>
    <row r="25" spans="1:13">
      <c r="B25" t="s">
        <v>9990</v>
      </c>
      <c r="C25" t="s">
        <v>6621</v>
      </c>
      <c r="D25" t="s">
        <v>6622</v>
      </c>
      <c r="G25" t="s">
        <v>7755</v>
      </c>
      <c r="H25" t="s">
        <v>7809</v>
      </c>
      <c r="I25" t="s">
        <v>7916</v>
      </c>
      <c r="J25" t="s">
        <v>7917</v>
      </c>
      <c r="M25">
        <f t="array" ref="M25">SUM(IFERROR(ABS(企业重组审核表!$C$6:$I$19),0))</f>
        <v>0</v>
      </c>
    </row>
    <row r="26" spans="1:13">
      <c r="B26" t="s">
        <v>9991</v>
      </c>
      <c r="C26" t="s">
        <v>6623</v>
      </c>
      <c r="D26" t="s">
        <v>6624</v>
      </c>
      <c r="G26" t="s">
        <v>7763</v>
      </c>
      <c r="H26" t="s">
        <v>7810</v>
      </c>
      <c r="I26" t="s">
        <v>7918</v>
      </c>
      <c r="J26" t="s">
        <v>7919</v>
      </c>
      <c r="M26">
        <f t="array" ref="M26">SUM(IFERROR(ABS(政策性搬迁审核表!$C$4:$C$27),0))</f>
        <v>0</v>
      </c>
    </row>
    <row r="27" spans="1:13">
      <c r="B27" t="s">
        <v>9992</v>
      </c>
      <c r="C27" t="s">
        <v>7683</v>
      </c>
      <c r="D27" t="s">
        <v>7738</v>
      </c>
      <c r="G27" t="s">
        <v>7759</v>
      </c>
      <c r="H27" t="s">
        <v>7811</v>
      </c>
      <c r="I27" t="s">
        <v>7920</v>
      </c>
      <c r="J27" t="s">
        <v>7921</v>
      </c>
      <c r="M27">
        <f t="array" ref="M27">SUM(IFERROR(ABS(特殊行业准备金审核表!$C$5:$E$34),0))</f>
        <v>0</v>
      </c>
    </row>
    <row r="28" spans="1:13">
      <c r="B28" t="s">
        <v>9994</v>
      </c>
      <c r="C28" t="s">
        <v>7684</v>
      </c>
      <c r="D28" t="s">
        <v>7739</v>
      </c>
      <c r="G28" t="s">
        <v>7812</v>
      </c>
      <c r="H28" t="s">
        <v>7813</v>
      </c>
      <c r="I28" t="s">
        <v>7922</v>
      </c>
      <c r="J28" t="s">
        <v>7923</v>
      </c>
      <c r="M28">
        <f t="array" ref="M28">SUM(IFERROR(ABS(免税、减计收入及加计扣除优惠审核表!$C$4:$C$30),0))</f>
        <v>0</v>
      </c>
    </row>
    <row r="29" spans="1:13">
      <c r="B29" t="s">
        <v>9995</v>
      </c>
      <c r="G29" t="s">
        <v>7814</v>
      </c>
      <c r="H29" t="s">
        <v>7815</v>
      </c>
      <c r="I29" t="s">
        <v>7924</v>
      </c>
      <c r="J29" t="s">
        <v>7925</v>
      </c>
      <c r="M29">
        <f t="array" ref="M29">SUM(IFERROR(ABS(股息红利优惠审核表!$D$6:$Q$15),0))</f>
        <v>0</v>
      </c>
    </row>
    <row r="30" spans="1:13">
      <c r="B30" t="s">
        <v>9996</v>
      </c>
      <c r="G30" t="s">
        <v>7816</v>
      </c>
      <c r="H30" t="s">
        <v>7817</v>
      </c>
      <c r="I30" t="s">
        <v>7926</v>
      </c>
      <c r="J30" t="s">
        <v>7927</v>
      </c>
      <c r="M30">
        <f t="array" ref="M30">SUM(IFERROR(ABS(综合利用资源生产产品取得的收入优惠审核表!$J$6:$K$15),0))</f>
        <v>0</v>
      </c>
    </row>
    <row r="31" spans="1:13">
      <c r="B31" t="s">
        <v>9997</v>
      </c>
      <c r="G31" t="s">
        <v>7818</v>
      </c>
      <c r="H31" t="s">
        <v>7819</v>
      </c>
      <c r="I31" t="s">
        <v>7928</v>
      </c>
      <c r="J31" t="s">
        <v>7929</v>
      </c>
      <c r="M31">
        <f t="array" ref="M31">SUM(IFERROR(ABS(金融保险等机构取得涉农利息保费收入优惠审核表!$C$5:$C$16),0))</f>
        <v>0</v>
      </c>
    </row>
    <row r="32" spans="1:13">
      <c r="B32" t="s">
        <v>9998</v>
      </c>
      <c r="G32" t="s">
        <v>7820</v>
      </c>
      <c r="H32" t="s">
        <v>7821</v>
      </c>
      <c r="I32" t="s">
        <v>7930</v>
      </c>
      <c r="J32" t="s">
        <v>7931</v>
      </c>
      <c r="M32">
        <f t="array" ref="M32">SUM(IFERROR(ABS(研发费用加计扣除优惠审核表!$C$6:$T$15),0))</f>
        <v>0</v>
      </c>
    </row>
    <row r="33" spans="1:13">
      <c r="A33" s="1326" t="s">
        <v>10061</v>
      </c>
      <c r="B33" s="1702" t="s">
        <v>10066</v>
      </c>
      <c r="G33" t="s">
        <v>7822</v>
      </c>
      <c r="H33" t="s">
        <v>7823</v>
      </c>
      <c r="I33" t="s">
        <v>7932</v>
      </c>
      <c r="J33" t="s">
        <v>7933</v>
      </c>
      <c r="M33">
        <f t="array" ref="M33">SUM(IFERROR(ABS(所得减免优惠审核表!$C$5:$I$44),0))</f>
        <v>0</v>
      </c>
    </row>
    <row r="34" spans="1:13">
      <c r="A34" s="1326" t="s">
        <v>10062</v>
      </c>
      <c r="B34" s="1326" t="s">
        <v>10067</v>
      </c>
      <c r="G34" t="s">
        <v>7824</v>
      </c>
      <c r="H34" t="s">
        <v>7825</v>
      </c>
      <c r="I34" t="s">
        <v>7934</v>
      </c>
      <c r="J34" t="s">
        <v>7935</v>
      </c>
      <c r="M34">
        <f t="array" ref="M34">SUM(IFERROR(ABS(抵扣应纳税所得额审核表!$C$5),0),IFERROR(ABS(抵扣应纳税所得额审核表!$C$8),0),IFERROR(ABS(抵扣应纳税所得额审核表!$C$14:$C$16),0))</f>
        <v>0</v>
      </c>
    </row>
    <row r="35" spans="1:13">
      <c r="A35" s="1326" t="s">
        <v>10063</v>
      </c>
      <c r="B35" s="1702" t="s">
        <v>10068</v>
      </c>
      <c r="G35" t="s">
        <v>7826</v>
      </c>
      <c r="H35" t="s">
        <v>7827</v>
      </c>
      <c r="I35" t="s">
        <v>7936</v>
      </c>
      <c r="J35" t="s">
        <v>7937</v>
      </c>
      <c r="M35">
        <f t="array" ref="M35">SUM(IFERROR(ABS(减免所得税优惠审核表!$C$4:$C$53),0))</f>
        <v>0</v>
      </c>
    </row>
    <row r="36" spans="1:13">
      <c r="A36" s="1326" t="s">
        <v>10064</v>
      </c>
      <c r="B36" s="1675" t="s">
        <v>10069</v>
      </c>
      <c r="G36" t="s">
        <v>7828</v>
      </c>
      <c r="H36" t="s">
        <v>7829</v>
      </c>
      <c r="I36" t="s">
        <v>7938</v>
      </c>
      <c r="J36" t="s">
        <v>7939</v>
      </c>
      <c r="M36">
        <f t="array" ref="M36">SUM(IFERROR(ABS(高新技术企业优惠情况审核表!$D$4:$D$34),0))</f>
        <v>0</v>
      </c>
    </row>
    <row r="37" spans="1:13">
      <c r="A37" s="1326" t="s">
        <v>10065</v>
      </c>
      <c r="B37" s="1675" t="s">
        <v>10070</v>
      </c>
      <c r="G37" t="s">
        <v>7830</v>
      </c>
      <c r="H37" t="s">
        <v>7831</v>
      </c>
      <c r="I37" t="s">
        <v>7940</v>
      </c>
      <c r="J37" t="s">
        <v>7941</v>
      </c>
      <c r="M37">
        <f t="array" ref="M37">SUM(IFERROR(ABS(软件、集成电路企业优惠情况审核表!$E$4:$E$45),0))</f>
        <v>0</v>
      </c>
    </row>
    <row r="38" spans="1:13">
      <c r="B38" s="1326" t="s">
        <v>10073</v>
      </c>
      <c r="G38" t="s">
        <v>7832</v>
      </c>
      <c r="H38" t="s">
        <v>7833</v>
      </c>
      <c r="I38" t="s">
        <v>7942</v>
      </c>
      <c r="J38" t="s">
        <v>7943</v>
      </c>
      <c r="M38">
        <f t="array" aca="1" ref="M38" ca="1">SUM(IFERROR(ABS(税额抵免优惠审核表!$E$6:$N$11),0),IFERROR(ABS(税额抵免优惠审核表!$M$12),0),IFERROR(ABS(税额抵免优惠审核表!$N$13),0),IFERROR(ABS(税额抵免优惠审核表!$K$14:$N$16),0))</f>
        <v>0</v>
      </c>
    </row>
    <row r="39" spans="1:13">
      <c r="B39" s="1326" t="s">
        <v>10075</v>
      </c>
      <c r="G39" t="s">
        <v>7834</v>
      </c>
      <c r="H39" t="s">
        <v>7835</v>
      </c>
      <c r="I39" t="s">
        <v>7944</v>
      </c>
      <c r="J39" t="s">
        <v>7945</v>
      </c>
      <c r="M39">
        <f t="array" ref="M39">SUM(IFERROR(ABS(境外所得税收抵免审核表!$C$6:$T$15),0))</f>
        <v>0</v>
      </c>
    </row>
    <row r="40" spans="1:13">
      <c r="B40" s="1326" t="s">
        <v>10077</v>
      </c>
      <c r="G40" t="s">
        <v>7836</v>
      </c>
      <c r="H40" t="s">
        <v>7837</v>
      </c>
      <c r="I40" t="s">
        <v>7946</v>
      </c>
      <c r="J40" t="s">
        <v>7947</v>
      </c>
      <c r="M40">
        <f t="array" ref="M40">SUM(IFERROR(ABS(境外所得纳税调整后所得审核表!$C$6:$S$15),0))</f>
        <v>0</v>
      </c>
    </row>
    <row r="41" spans="1:13">
      <c r="G41" t="s">
        <v>7838</v>
      </c>
      <c r="H41" t="s">
        <v>7839</v>
      </c>
      <c r="I41" t="s">
        <v>7948</v>
      </c>
      <c r="J41" t="s">
        <v>7949</v>
      </c>
      <c r="M41">
        <f t="array" ref="M41">SUM(IFERROR(ABS(境外分支机构弥补亏损审核表!$C$9:$T$18),0))</f>
        <v>0</v>
      </c>
    </row>
    <row r="42" spans="1:13">
      <c r="G42" t="s">
        <v>7767</v>
      </c>
      <c r="H42" t="s">
        <v>1272</v>
      </c>
      <c r="I42" t="s">
        <v>7950</v>
      </c>
      <c r="J42" t="s">
        <v>7951</v>
      </c>
      <c r="M42">
        <f t="array" ref="M42">SUM(IFERROR(ABS(跨年度结转抵免境外所得税审核表!$C$6:$T$15),0))</f>
        <v>0</v>
      </c>
    </row>
    <row r="43" spans="1:13">
      <c r="G43" t="s">
        <v>7769</v>
      </c>
      <c r="H43" t="s">
        <v>1273</v>
      </c>
      <c r="I43" t="s">
        <v>7952</v>
      </c>
      <c r="J43" t="s">
        <v>7953</v>
      </c>
      <c r="M43">
        <f t="array" ref="M43">SUM(IFERROR(ABS(跨地区经营汇总纳税企业年度分摊企业所得税审核表!$C$4),0))</f>
        <v>0</v>
      </c>
    </row>
    <row r="44" spans="1:13">
      <c r="G44" t="s">
        <v>7840</v>
      </c>
      <c r="H44" t="s">
        <v>1274</v>
      </c>
      <c r="I44" t="s">
        <v>7954</v>
      </c>
      <c r="J44" t="s">
        <v>7955</v>
      </c>
      <c r="M44">
        <f t="array" ref="M44">SUM(IFERROR(ABS(企业所得税汇总纳税分支机构所得税分配表!$D$9:$H$23),0))</f>
        <v>0</v>
      </c>
    </row>
    <row r="45" spans="1:13">
      <c r="G45" t="s">
        <v>7775</v>
      </c>
      <c r="H45" t="s">
        <v>7841</v>
      </c>
      <c r="I45" t="s">
        <v>7956</v>
      </c>
      <c r="J45" t="s">
        <v>7957</v>
      </c>
      <c r="M45">
        <f t="array" ref="M45">SUM(IFERROR(ABS(减值准备审核表!$C$6:$H$22),0))</f>
        <v>0</v>
      </c>
    </row>
    <row r="46" spans="1:13">
      <c r="G46" t="s">
        <v>7842</v>
      </c>
      <c r="H46" t="s">
        <v>7843</v>
      </c>
      <c r="I46" t="s">
        <v>7958</v>
      </c>
      <c r="J46" t="s">
        <v>7959</v>
      </c>
      <c r="M46">
        <f t="array" ref="M46">SUM(IFERROR(ABS(公允价值变动审定表!$C$8:$G$17),0))</f>
        <v>0</v>
      </c>
    </row>
    <row r="47" spans="1:13">
      <c r="G47" t="s">
        <v>7844</v>
      </c>
      <c r="H47" t="s">
        <v>7845</v>
      </c>
      <c r="I47" t="s">
        <v>7960</v>
      </c>
      <c r="J47" t="s">
        <v>7961</v>
      </c>
      <c r="M47">
        <f t="array" ref="M47">SUM(IFERROR(ABS(主营收支!$C$8:$H$40),0))</f>
        <v>0</v>
      </c>
    </row>
    <row r="48" spans="1:13">
      <c r="G48" t="s">
        <v>7846</v>
      </c>
      <c r="H48" t="s">
        <v>7847</v>
      </c>
      <c r="I48" t="s">
        <v>7962</v>
      </c>
      <c r="J48" t="s">
        <v>7963</v>
      </c>
      <c r="M48">
        <f t="array" ref="M48">SUM(IFERROR(ABS(收入与申报核对表!$D$8:$K$25),0))</f>
        <v>0</v>
      </c>
    </row>
    <row r="49" spans="7:13">
      <c r="G49" t="s">
        <v>7848</v>
      </c>
      <c r="H49" t="s">
        <v>7849</v>
      </c>
      <c r="I49" t="s">
        <v>7964</v>
      </c>
      <c r="J49" t="s">
        <v>7965</v>
      </c>
      <c r="M49">
        <f t="array" ref="M49">SUM(IFERROR(ABS(毛利分析!$C$8:$F$34),0))</f>
        <v>0</v>
      </c>
    </row>
    <row r="50" spans="7:13">
      <c r="G50" t="s">
        <v>7850</v>
      </c>
      <c r="H50" t="s">
        <v>7851</v>
      </c>
      <c r="I50" t="s">
        <v>7966</v>
      </c>
      <c r="J50" t="s">
        <v>7967</v>
      </c>
      <c r="M50">
        <f t="array" ref="M50">SUM(IFERROR(ABS(制造费用、生产成本!$B$8:$G$40),0))</f>
        <v>0</v>
      </c>
    </row>
    <row r="51" spans="7:13">
      <c r="G51" t="s">
        <v>7852</v>
      </c>
      <c r="H51" t="s">
        <v>7853</v>
      </c>
      <c r="I51" t="s">
        <v>7968</v>
      </c>
      <c r="J51" t="s">
        <v>7969</v>
      </c>
      <c r="M51">
        <f t="array" ref="M51">SUM(IFERROR(ABS(成本倒轧!$D$8:$E$40),0))</f>
        <v>0</v>
      </c>
    </row>
    <row r="52" spans="7:13">
      <c r="G52" t="s">
        <v>7854</v>
      </c>
      <c r="H52" t="s">
        <v>7855</v>
      </c>
      <c r="I52" t="s">
        <v>7970</v>
      </c>
      <c r="J52" t="s">
        <v>7971</v>
      </c>
      <c r="M52">
        <f t="array" ref="M52">SUM(IFERROR(ABS(存货计价测试!$B$8:$O$20),0))</f>
        <v>0</v>
      </c>
    </row>
    <row r="53" spans="7:13">
      <c r="G53" t="s">
        <v>7856</v>
      </c>
      <c r="H53" t="s">
        <v>7857</v>
      </c>
      <c r="I53" t="s">
        <v>7972</v>
      </c>
      <c r="J53" t="s">
        <v>7973</v>
      </c>
      <c r="M53">
        <f t="array" ref="M53">SUM(IFERROR(ABS(主营税金!$E$8:$G$42),0))</f>
        <v>0</v>
      </c>
    </row>
    <row r="54" spans="7:13">
      <c r="G54" t="s">
        <v>7858</v>
      </c>
      <c r="H54" t="s">
        <v>7859</v>
      </c>
      <c r="I54" t="s">
        <v>7974</v>
      </c>
      <c r="J54" t="s">
        <v>7975</v>
      </c>
      <c r="M54">
        <f t="array" aca="1" ref="M54" ca="1">SUM(IFERROR(ABS(税费缴纳测算!$C$7:$G$25),0),IFERROR(ABS(税费缴纳测算!$E$36:$H$56),0))</f>
        <v>0</v>
      </c>
    </row>
    <row r="55" spans="7:13">
      <c r="G55" t="s">
        <v>7860</v>
      </c>
      <c r="H55" t="s">
        <v>7861</v>
      </c>
      <c r="I55" t="s">
        <v>7976</v>
      </c>
      <c r="J55" t="s">
        <v>7977</v>
      </c>
      <c r="M55">
        <f t="array" ref="M55">SUM(IFERROR(ABS(其他业务!$C$8:$J$18),0),IFERROR(ABS(其他业务!$F$19),0),IFERROR(ABS(其他业务!$H$19),0),IFERROR(ABS(其他业务!$J$19),0))</f>
        <v>0</v>
      </c>
    </row>
    <row r="56" spans="7:13">
      <c r="G56" t="s">
        <v>7862</v>
      </c>
      <c r="H56" t="s">
        <v>7863</v>
      </c>
      <c r="I56" t="s">
        <v>7978</v>
      </c>
      <c r="J56" t="s">
        <v>7979</v>
      </c>
      <c r="M56">
        <f t="array" ref="M56">SUM(IFERROR(ABS(营业费用!$D$6:$H$44),0))</f>
        <v>0</v>
      </c>
    </row>
    <row r="57" spans="7:13">
      <c r="G57" t="s">
        <v>7864</v>
      </c>
      <c r="H57" t="s">
        <v>7865</v>
      </c>
      <c r="I57" t="s">
        <v>7980</v>
      </c>
      <c r="J57" t="s">
        <v>7981</v>
      </c>
      <c r="M57">
        <f t="array" ref="M57">SUM(IFERROR(ABS(管理费用!$D$6:$H$44),0))</f>
        <v>0</v>
      </c>
    </row>
    <row r="58" spans="7:13">
      <c r="G58" t="s">
        <v>7866</v>
      </c>
      <c r="H58" t="s">
        <v>7867</v>
      </c>
      <c r="I58" t="s">
        <v>7982</v>
      </c>
      <c r="J58" t="s">
        <v>7983</v>
      </c>
      <c r="M58">
        <f t="array" ref="M58">SUM(IFERROR(ABS(财务费用!$D$6:$H$27),0))</f>
        <v>0</v>
      </c>
    </row>
    <row r="59" spans="7:13">
      <c r="G59" t="s">
        <v>7773</v>
      </c>
      <c r="H59" t="s">
        <v>247</v>
      </c>
      <c r="I59" t="s">
        <v>7984</v>
      </c>
      <c r="J59" t="s">
        <v>7985</v>
      </c>
      <c r="M59">
        <f t="array" ref="M59">SUM(IFERROR(ABS(营外收支!$C$6:$F$36),0))</f>
        <v>0</v>
      </c>
    </row>
    <row r="60" spans="7:13">
      <c r="I60" t="s">
        <v>7986</v>
      </c>
      <c r="J60" t="s">
        <v>7987</v>
      </c>
      <c r="M60">
        <f t="array" ref="M60">SUM(IFERROR(ABS(货币资金!$D$24:$H$24),0))</f>
        <v>0</v>
      </c>
    </row>
    <row r="61" spans="7:13">
      <c r="I61" t="s">
        <v>7988</v>
      </c>
      <c r="J61" t="s">
        <v>7989</v>
      </c>
      <c r="M61">
        <f t="array" ref="M61">SUM(IFERROR(ABS(现金证明!$D$6),0))</f>
        <v>0</v>
      </c>
    </row>
    <row r="62" spans="7:13">
      <c r="I62" t="s">
        <v>7990</v>
      </c>
      <c r="J62" t="s">
        <v>7991</v>
      </c>
      <c r="M62">
        <f t="array" ref="M62">SUM(IFERROR(ABS(银行调节!$A$5),0))</f>
        <v>0</v>
      </c>
    </row>
    <row r="63" spans="7:13">
      <c r="I63" t="s">
        <v>7992</v>
      </c>
      <c r="J63" t="s">
        <v>7993</v>
      </c>
      <c r="M63">
        <f t="array" ref="M63">SUM(IFERROR(ABS(应收!$B$13:$F$14),0),IFERROR(ABS(应收!$B$11:$F$11),0))</f>
        <v>0</v>
      </c>
    </row>
    <row r="64" spans="7:13">
      <c r="I64" t="s">
        <v>7994</v>
      </c>
      <c r="J64" t="s">
        <v>7995</v>
      </c>
      <c r="M64">
        <f t="array" ref="M64">SUM(IFERROR(ABS(预付!$B$11:$F$11),0),IFERROR(ABS(预付!$B$13:$F$14),0))</f>
        <v>0</v>
      </c>
    </row>
    <row r="65" spans="9:13">
      <c r="I65" t="s">
        <v>7996</v>
      </c>
      <c r="J65" t="s">
        <v>7997</v>
      </c>
      <c r="M65">
        <f t="array" ref="M65">SUM(IFERROR(ABS(其他应收!$B$11:$F$11),0),IFERROR(ABS(其他应收!$B$13:$F$14),0))</f>
        <v>0</v>
      </c>
    </row>
    <row r="66" spans="9:13">
      <c r="I66" t="s">
        <v>7998</v>
      </c>
      <c r="J66" t="s">
        <v>7999</v>
      </c>
      <c r="M66">
        <f t="array" ref="M66">SUM(IFERROR(ABS(存货!$C$7:$F$27),0))</f>
        <v>0</v>
      </c>
    </row>
    <row r="67" spans="9:13">
      <c r="I67" t="s">
        <v>8000</v>
      </c>
      <c r="J67" t="s">
        <v>8001</v>
      </c>
      <c r="M67">
        <f t="array" ref="M67">SUM(IFERROR(ABS(待摊预提!$D$12:$J$12),0),IFERROR(ABS(待摊预提!$D$19:$J$19),0))</f>
        <v>0</v>
      </c>
    </row>
    <row r="68" spans="9:13">
      <c r="I68" t="s">
        <v>8002</v>
      </c>
      <c r="J68" t="s">
        <v>8003</v>
      </c>
      <c r="M68">
        <f t="array" ref="M68">SUM(IFERROR(ABS(在建工程审核表!$C$15:$H$15),0))</f>
        <v>0</v>
      </c>
    </row>
    <row r="69" spans="9:13">
      <c r="I69" t="s">
        <v>8004</v>
      </c>
      <c r="J69" t="s">
        <v>8005</v>
      </c>
      <c r="M69">
        <f t="array" ref="M69">SUM(IFERROR(ABS(应付!$B$11:$F$12),0))</f>
        <v>0</v>
      </c>
    </row>
    <row r="70" spans="9:13">
      <c r="I70" t="s">
        <v>8006</v>
      </c>
      <c r="J70" t="s">
        <v>8007</v>
      </c>
      <c r="M70">
        <f t="array" ref="M70">SUM(IFERROR(ABS(预收!$B$11:$F$12),0))</f>
        <v>0</v>
      </c>
    </row>
    <row r="71" spans="9:13">
      <c r="I71" t="s">
        <v>8008</v>
      </c>
      <c r="J71" t="s">
        <v>8009</v>
      </c>
      <c r="M71">
        <f t="array" ref="M71">SUM(IFERROR(ABS(其他应付!$B$11:$F$12),0))</f>
        <v>0</v>
      </c>
    </row>
    <row r="72" spans="9:13">
      <c r="I72" t="s">
        <v>8010</v>
      </c>
      <c r="J72" t="s">
        <v>8011</v>
      </c>
      <c r="M72">
        <f t="array" ref="M72">SUM(IFERROR(ABS(实收公积!$C$13:$H$13),0),IFERROR(ABS(实收公积!$C$18:$H$18),0),IFERROR(ABS(实收公积!$C$24:$H$24),0))</f>
        <v>0</v>
      </c>
    </row>
    <row r="73" spans="9:13">
      <c r="I73" t="s">
        <v>8012</v>
      </c>
      <c r="J73" t="s">
        <v>8013</v>
      </c>
      <c r="M73">
        <f t="array" ref="M73">SUM(IFERROR(ABS(未分利润!$C$8:$E$24),0))</f>
        <v>0</v>
      </c>
    </row>
    <row r="74" spans="9:13">
      <c r="I74" t="s">
        <v>8014</v>
      </c>
      <c r="J74" t="s">
        <v>8015</v>
      </c>
    </row>
    <row r="75" spans="9:13">
      <c r="I75" t="s">
        <v>8016</v>
      </c>
      <c r="J75" t="s">
        <v>8017</v>
      </c>
    </row>
    <row r="76" spans="9:13">
      <c r="I76" t="s">
        <v>8018</v>
      </c>
      <c r="J76" t="s">
        <v>8019</v>
      </c>
    </row>
    <row r="77" spans="9:13">
      <c r="I77" t="s">
        <v>8020</v>
      </c>
      <c r="J77" t="s">
        <v>8021</v>
      </c>
    </row>
    <row r="78" spans="9:13">
      <c r="I78" t="s">
        <v>8022</v>
      </c>
      <c r="J78" t="s">
        <v>8023</v>
      </c>
    </row>
    <row r="79" spans="9:13">
      <c r="I79" t="s">
        <v>8024</v>
      </c>
      <c r="J79" t="s">
        <v>8025</v>
      </c>
    </row>
    <row r="80" spans="9:13">
      <c r="I80" t="s">
        <v>8026</v>
      </c>
      <c r="J80" t="s">
        <v>8027</v>
      </c>
    </row>
    <row r="81" spans="9:10">
      <c r="I81" t="s">
        <v>8028</v>
      </c>
      <c r="J81" t="s">
        <v>8029</v>
      </c>
    </row>
    <row r="82" spans="9:10">
      <c r="I82" t="s">
        <v>8030</v>
      </c>
      <c r="J82" t="s">
        <v>8031</v>
      </c>
    </row>
    <row r="83" spans="9:10">
      <c r="I83" t="s">
        <v>8032</v>
      </c>
      <c r="J83" t="s">
        <v>8033</v>
      </c>
    </row>
    <row r="84" spans="9:10">
      <c r="I84" t="s">
        <v>8034</v>
      </c>
      <c r="J84" t="s">
        <v>8035</v>
      </c>
    </row>
    <row r="85" spans="9:10">
      <c r="I85" t="s">
        <v>8036</v>
      </c>
      <c r="J85" t="s">
        <v>8037</v>
      </c>
    </row>
    <row r="86" spans="9:10">
      <c r="I86" t="s">
        <v>8038</v>
      </c>
      <c r="J86" t="s">
        <v>8039</v>
      </c>
    </row>
    <row r="87" spans="9:10">
      <c r="I87" t="s">
        <v>8040</v>
      </c>
      <c r="J87" t="s">
        <v>2793</v>
      </c>
    </row>
    <row r="88" spans="9:10">
      <c r="I88" t="s">
        <v>8041</v>
      </c>
      <c r="J88" t="s">
        <v>8042</v>
      </c>
    </row>
    <row r="89" spans="9:10">
      <c r="I89" t="s">
        <v>8043</v>
      </c>
      <c r="J89" t="s">
        <v>8044</v>
      </c>
    </row>
    <row r="90" spans="9:10">
      <c r="I90" t="s">
        <v>8045</v>
      </c>
      <c r="J90" t="s">
        <v>8046</v>
      </c>
    </row>
    <row r="91" spans="9:10">
      <c r="I91" t="s">
        <v>8047</v>
      </c>
      <c r="J91" t="s">
        <v>8048</v>
      </c>
    </row>
    <row r="92" spans="9:10">
      <c r="I92" t="s">
        <v>8049</v>
      </c>
      <c r="J92" t="s">
        <v>8050</v>
      </c>
    </row>
    <row r="93" spans="9:10">
      <c r="I93" t="s">
        <v>8051</v>
      </c>
      <c r="J93" t="s">
        <v>8052</v>
      </c>
    </row>
    <row r="94" spans="9:10">
      <c r="I94" t="s">
        <v>8053</v>
      </c>
      <c r="J94" t="s">
        <v>8054</v>
      </c>
    </row>
    <row r="95" spans="9:10">
      <c r="I95" t="s">
        <v>8055</v>
      </c>
      <c r="J95" t="s">
        <v>8056</v>
      </c>
    </row>
    <row r="96" spans="9:10">
      <c r="I96" t="s">
        <v>8057</v>
      </c>
      <c r="J96" t="s">
        <v>8058</v>
      </c>
    </row>
    <row r="97" spans="9:10">
      <c r="I97" t="s">
        <v>8059</v>
      </c>
      <c r="J97" t="s">
        <v>8060</v>
      </c>
    </row>
    <row r="98" spans="9:10">
      <c r="I98" t="s">
        <v>8061</v>
      </c>
      <c r="J98" t="s">
        <v>8062</v>
      </c>
    </row>
    <row r="99" spans="9:10">
      <c r="I99" t="s">
        <v>8063</v>
      </c>
      <c r="J99" t="s">
        <v>8064</v>
      </c>
    </row>
    <row r="100" spans="9:10">
      <c r="I100" t="s">
        <v>8065</v>
      </c>
      <c r="J100" t="s">
        <v>8066</v>
      </c>
    </row>
    <row r="101" spans="9:10">
      <c r="I101" t="s">
        <v>8067</v>
      </c>
      <c r="J101" t="s">
        <v>8068</v>
      </c>
    </row>
    <row r="102" spans="9:10">
      <c r="I102" t="s">
        <v>8069</v>
      </c>
      <c r="J102" t="s">
        <v>8070</v>
      </c>
    </row>
    <row r="103" spans="9:10">
      <c r="I103" t="s">
        <v>8071</v>
      </c>
      <c r="J103" t="s">
        <v>8072</v>
      </c>
    </row>
    <row r="104" spans="9:10">
      <c r="I104" t="s">
        <v>8073</v>
      </c>
      <c r="J104" t="s">
        <v>8074</v>
      </c>
    </row>
    <row r="105" spans="9:10">
      <c r="I105" t="s">
        <v>8075</v>
      </c>
      <c r="J105" t="s">
        <v>8076</v>
      </c>
    </row>
    <row r="106" spans="9:10">
      <c r="I106" t="s">
        <v>8077</v>
      </c>
      <c r="J106" t="s">
        <v>8078</v>
      </c>
    </row>
    <row r="107" spans="9:10">
      <c r="I107" t="s">
        <v>8079</v>
      </c>
      <c r="J107" t="s">
        <v>8080</v>
      </c>
    </row>
    <row r="108" spans="9:10">
      <c r="I108" t="s">
        <v>8081</v>
      </c>
      <c r="J108" t="s">
        <v>8082</v>
      </c>
    </row>
    <row r="109" spans="9:10">
      <c r="I109" t="s">
        <v>8083</v>
      </c>
      <c r="J109" t="s">
        <v>8084</v>
      </c>
    </row>
    <row r="110" spans="9:10">
      <c r="I110" t="s">
        <v>8085</v>
      </c>
      <c r="J110" t="s">
        <v>8086</v>
      </c>
    </row>
    <row r="111" spans="9:10">
      <c r="I111" t="s">
        <v>8087</v>
      </c>
      <c r="J111" t="s">
        <v>8088</v>
      </c>
    </row>
    <row r="112" spans="9:10">
      <c r="I112" t="s">
        <v>8089</v>
      </c>
      <c r="J112" t="s">
        <v>8090</v>
      </c>
    </row>
    <row r="113" spans="9:10">
      <c r="I113" t="s">
        <v>8091</v>
      </c>
      <c r="J113" t="s">
        <v>8092</v>
      </c>
    </row>
    <row r="114" spans="9:10">
      <c r="I114" t="s">
        <v>8093</v>
      </c>
      <c r="J114" t="s">
        <v>8094</v>
      </c>
    </row>
    <row r="115" spans="9:10">
      <c r="I115" t="s">
        <v>8095</v>
      </c>
      <c r="J115" t="s">
        <v>8096</v>
      </c>
    </row>
    <row r="116" spans="9:10">
      <c r="I116" t="s">
        <v>8097</v>
      </c>
      <c r="J116" t="s">
        <v>8098</v>
      </c>
    </row>
    <row r="117" spans="9:10">
      <c r="I117" t="s">
        <v>8099</v>
      </c>
      <c r="J117" t="s">
        <v>8100</v>
      </c>
    </row>
    <row r="118" spans="9:10">
      <c r="I118" t="s">
        <v>8101</v>
      </c>
      <c r="J118" t="s">
        <v>4418</v>
      </c>
    </row>
    <row r="119" spans="9:10">
      <c r="I119" t="s">
        <v>8102</v>
      </c>
      <c r="J119" t="s">
        <v>8103</v>
      </c>
    </row>
    <row r="120" spans="9:10">
      <c r="I120" t="s">
        <v>8104</v>
      </c>
      <c r="J120" t="s">
        <v>8105</v>
      </c>
    </row>
    <row r="121" spans="9:10">
      <c r="I121" t="s">
        <v>8106</v>
      </c>
      <c r="J121" t="s">
        <v>8107</v>
      </c>
    </row>
    <row r="122" spans="9:10">
      <c r="I122" t="s">
        <v>8108</v>
      </c>
      <c r="J122" t="s">
        <v>8109</v>
      </c>
    </row>
    <row r="123" spans="9:10">
      <c r="I123" t="s">
        <v>8110</v>
      </c>
      <c r="J123" t="s">
        <v>8111</v>
      </c>
    </row>
    <row r="124" spans="9:10">
      <c r="I124" t="s">
        <v>8112</v>
      </c>
      <c r="J124" t="s">
        <v>8113</v>
      </c>
    </row>
    <row r="125" spans="9:10">
      <c r="I125" t="s">
        <v>8114</v>
      </c>
      <c r="J125" t="s">
        <v>8115</v>
      </c>
    </row>
    <row r="126" spans="9:10">
      <c r="I126" t="s">
        <v>8116</v>
      </c>
      <c r="J126" t="s">
        <v>8117</v>
      </c>
    </row>
    <row r="127" spans="9:10">
      <c r="I127" t="s">
        <v>8118</v>
      </c>
      <c r="J127" t="s">
        <v>8119</v>
      </c>
    </row>
    <row r="128" spans="9:10">
      <c r="I128" t="s">
        <v>8120</v>
      </c>
      <c r="J128" t="s">
        <v>8121</v>
      </c>
    </row>
    <row r="129" spans="9:10">
      <c r="I129" t="s">
        <v>8122</v>
      </c>
      <c r="J129" t="s">
        <v>8123</v>
      </c>
    </row>
    <row r="130" spans="9:10">
      <c r="I130" t="s">
        <v>8124</v>
      </c>
      <c r="J130" t="s">
        <v>8125</v>
      </c>
    </row>
    <row r="131" spans="9:10">
      <c r="I131" t="s">
        <v>8126</v>
      </c>
      <c r="J131" t="s">
        <v>8127</v>
      </c>
    </row>
    <row r="132" spans="9:10">
      <c r="I132" t="s">
        <v>8128</v>
      </c>
      <c r="J132" t="s">
        <v>8129</v>
      </c>
    </row>
    <row r="133" spans="9:10">
      <c r="I133" t="s">
        <v>8130</v>
      </c>
      <c r="J133" t="s">
        <v>8131</v>
      </c>
    </row>
    <row r="134" spans="9:10">
      <c r="I134" t="s">
        <v>8132</v>
      </c>
      <c r="J134" t="s">
        <v>8133</v>
      </c>
    </row>
    <row r="135" spans="9:10">
      <c r="I135" t="s">
        <v>8134</v>
      </c>
      <c r="J135" t="s">
        <v>8135</v>
      </c>
    </row>
    <row r="136" spans="9:10">
      <c r="I136" t="s">
        <v>8136</v>
      </c>
      <c r="J136" t="s">
        <v>8137</v>
      </c>
    </row>
    <row r="137" spans="9:10">
      <c r="I137" t="s">
        <v>8138</v>
      </c>
      <c r="J137" t="s">
        <v>8139</v>
      </c>
    </row>
    <row r="138" spans="9:10">
      <c r="I138" t="s">
        <v>8140</v>
      </c>
      <c r="J138" t="s">
        <v>8141</v>
      </c>
    </row>
    <row r="139" spans="9:10">
      <c r="I139" t="s">
        <v>8142</v>
      </c>
      <c r="J139" t="s">
        <v>8143</v>
      </c>
    </row>
    <row r="140" spans="9:10">
      <c r="I140" t="s">
        <v>8144</v>
      </c>
      <c r="J140" t="s">
        <v>8145</v>
      </c>
    </row>
    <row r="141" spans="9:10">
      <c r="I141" t="s">
        <v>8146</v>
      </c>
      <c r="J141" t="s">
        <v>8147</v>
      </c>
    </row>
    <row r="142" spans="9:10">
      <c r="I142" t="s">
        <v>8148</v>
      </c>
      <c r="J142" t="s">
        <v>8149</v>
      </c>
    </row>
    <row r="143" spans="9:10">
      <c r="I143" t="s">
        <v>8150</v>
      </c>
      <c r="J143" t="s">
        <v>8151</v>
      </c>
    </row>
    <row r="144" spans="9:10">
      <c r="I144" t="s">
        <v>8152</v>
      </c>
      <c r="J144" t="s">
        <v>8153</v>
      </c>
    </row>
    <row r="145" spans="9:10">
      <c r="I145" t="s">
        <v>8154</v>
      </c>
      <c r="J145" t="s">
        <v>8155</v>
      </c>
    </row>
    <row r="146" spans="9:10">
      <c r="I146" t="s">
        <v>8156</v>
      </c>
      <c r="J146" t="s">
        <v>8157</v>
      </c>
    </row>
    <row r="147" spans="9:10">
      <c r="I147" t="s">
        <v>8158</v>
      </c>
      <c r="J147" t="s">
        <v>8159</v>
      </c>
    </row>
    <row r="148" spans="9:10">
      <c r="I148" t="s">
        <v>8160</v>
      </c>
      <c r="J148" t="s">
        <v>8161</v>
      </c>
    </row>
    <row r="149" spans="9:10">
      <c r="I149" t="s">
        <v>8162</v>
      </c>
      <c r="J149" t="s">
        <v>8163</v>
      </c>
    </row>
    <row r="150" spans="9:10">
      <c r="I150" t="s">
        <v>8164</v>
      </c>
      <c r="J150" t="s">
        <v>8165</v>
      </c>
    </row>
    <row r="151" spans="9:10">
      <c r="I151" t="s">
        <v>8166</v>
      </c>
      <c r="J151" t="s">
        <v>8167</v>
      </c>
    </row>
    <row r="152" spans="9:10">
      <c r="I152" t="s">
        <v>8168</v>
      </c>
      <c r="J152" t="s">
        <v>8169</v>
      </c>
    </row>
    <row r="153" spans="9:10">
      <c r="I153" t="s">
        <v>8170</v>
      </c>
      <c r="J153" t="s">
        <v>8171</v>
      </c>
    </row>
    <row r="154" spans="9:10">
      <c r="I154" t="s">
        <v>8172</v>
      </c>
      <c r="J154" t="s">
        <v>8173</v>
      </c>
    </row>
    <row r="155" spans="9:10">
      <c r="I155" t="s">
        <v>8174</v>
      </c>
      <c r="J155" t="s">
        <v>8175</v>
      </c>
    </row>
    <row r="156" spans="9:10">
      <c r="I156" t="s">
        <v>8176</v>
      </c>
      <c r="J156" t="s">
        <v>8177</v>
      </c>
    </row>
    <row r="157" spans="9:10">
      <c r="I157" t="s">
        <v>8178</v>
      </c>
      <c r="J157" t="s">
        <v>8179</v>
      </c>
    </row>
    <row r="158" spans="9:10">
      <c r="I158" t="s">
        <v>8180</v>
      </c>
      <c r="J158" t="s">
        <v>8181</v>
      </c>
    </row>
    <row r="159" spans="9:10">
      <c r="I159" t="s">
        <v>8182</v>
      </c>
      <c r="J159" t="s">
        <v>8183</v>
      </c>
    </row>
    <row r="160" spans="9:10">
      <c r="I160" t="s">
        <v>8184</v>
      </c>
      <c r="J160" t="s">
        <v>8185</v>
      </c>
    </row>
    <row r="161" spans="9:10">
      <c r="I161" t="s">
        <v>8186</v>
      </c>
      <c r="J161" t="s">
        <v>8187</v>
      </c>
    </row>
    <row r="162" spans="9:10">
      <c r="I162" t="s">
        <v>8188</v>
      </c>
      <c r="J162" t="s">
        <v>8189</v>
      </c>
    </row>
    <row r="163" spans="9:10">
      <c r="I163" t="s">
        <v>8190</v>
      </c>
      <c r="J163" t="s">
        <v>8191</v>
      </c>
    </row>
    <row r="164" spans="9:10">
      <c r="I164" t="s">
        <v>8192</v>
      </c>
      <c r="J164" t="s">
        <v>8193</v>
      </c>
    </row>
    <row r="165" spans="9:10">
      <c r="I165" t="s">
        <v>8194</v>
      </c>
      <c r="J165" t="s">
        <v>8195</v>
      </c>
    </row>
    <row r="166" spans="9:10">
      <c r="I166" t="s">
        <v>8196</v>
      </c>
      <c r="J166" t="s">
        <v>8197</v>
      </c>
    </row>
    <row r="167" spans="9:10">
      <c r="I167" t="s">
        <v>8198</v>
      </c>
      <c r="J167" t="s">
        <v>8199</v>
      </c>
    </row>
    <row r="168" spans="9:10">
      <c r="I168" t="s">
        <v>8200</v>
      </c>
      <c r="J168" t="s">
        <v>8201</v>
      </c>
    </row>
    <row r="169" spans="9:10">
      <c r="I169" t="s">
        <v>8202</v>
      </c>
      <c r="J169" t="s">
        <v>8203</v>
      </c>
    </row>
    <row r="170" spans="9:10">
      <c r="I170" t="s">
        <v>8204</v>
      </c>
      <c r="J170" t="s">
        <v>8205</v>
      </c>
    </row>
    <row r="171" spans="9:10">
      <c r="I171" t="s">
        <v>8206</v>
      </c>
      <c r="J171" t="s">
        <v>8207</v>
      </c>
    </row>
    <row r="172" spans="9:10">
      <c r="I172" t="s">
        <v>8208</v>
      </c>
      <c r="J172" t="s">
        <v>8209</v>
      </c>
    </row>
    <row r="173" spans="9:10">
      <c r="I173" t="s">
        <v>8210</v>
      </c>
      <c r="J173" t="s">
        <v>8211</v>
      </c>
    </row>
    <row r="174" spans="9:10">
      <c r="I174" t="s">
        <v>8212</v>
      </c>
      <c r="J174" t="s">
        <v>8213</v>
      </c>
    </row>
    <row r="175" spans="9:10">
      <c r="I175" t="s">
        <v>8214</v>
      </c>
      <c r="J175" t="s">
        <v>8215</v>
      </c>
    </row>
    <row r="176" spans="9:10">
      <c r="I176" t="s">
        <v>8216</v>
      </c>
      <c r="J176" t="s">
        <v>8217</v>
      </c>
    </row>
    <row r="177" spans="9:10">
      <c r="I177" t="s">
        <v>8218</v>
      </c>
      <c r="J177" t="s">
        <v>8219</v>
      </c>
    </row>
    <row r="178" spans="9:10">
      <c r="I178" t="s">
        <v>8220</v>
      </c>
      <c r="J178" t="s">
        <v>8221</v>
      </c>
    </row>
    <row r="179" spans="9:10">
      <c r="I179" t="s">
        <v>8222</v>
      </c>
      <c r="J179" t="s">
        <v>8223</v>
      </c>
    </row>
    <row r="180" spans="9:10">
      <c r="I180" t="s">
        <v>8224</v>
      </c>
      <c r="J180" t="s">
        <v>8225</v>
      </c>
    </row>
    <row r="181" spans="9:10">
      <c r="I181" t="s">
        <v>8226</v>
      </c>
      <c r="J181" t="s">
        <v>8227</v>
      </c>
    </row>
    <row r="182" spans="9:10">
      <c r="I182" t="s">
        <v>8228</v>
      </c>
      <c r="J182" t="s">
        <v>8229</v>
      </c>
    </row>
    <row r="183" spans="9:10">
      <c r="I183" t="s">
        <v>8230</v>
      </c>
      <c r="J183" t="s">
        <v>8231</v>
      </c>
    </row>
    <row r="184" spans="9:10">
      <c r="I184" t="s">
        <v>8232</v>
      </c>
      <c r="J184" t="s">
        <v>8233</v>
      </c>
    </row>
    <row r="185" spans="9:10">
      <c r="I185" t="s">
        <v>8234</v>
      </c>
      <c r="J185" t="s">
        <v>8235</v>
      </c>
    </row>
    <row r="186" spans="9:10">
      <c r="I186" t="s">
        <v>8236</v>
      </c>
      <c r="J186" t="s">
        <v>8237</v>
      </c>
    </row>
    <row r="187" spans="9:10">
      <c r="I187" t="s">
        <v>8238</v>
      </c>
      <c r="J187" t="s">
        <v>8239</v>
      </c>
    </row>
    <row r="188" spans="9:10">
      <c r="I188" t="s">
        <v>8240</v>
      </c>
      <c r="J188" t="s">
        <v>8241</v>
      </c>
    </row>
    <row r="189" spans="9:10">
      <c r="I189" t="s">
        <v>8242</v>
      </c>
      <c r="J189" t="s">
        <v>8243</v>
      </c>
    </row>
    <row r="190" spans="9:10">
      <c r="I190" t="s">
        <v>8244</v>
      </c>
      <c r="J190" t="s">
        <v>8245</v>
      </c>
    </row>
    <row r="191" spans="9:10">
      <c r="I191" t="s">
        <v>8246</v>
      </c>
      <c r="J191" t="s">
        <v>8247</v>
      </c>
    </row>
    <row r="192" spans="9:10">
      <c r="I192" t="s">
        <v>8248</v>
      </c>
      <c r="J192" t="s">
        <v>8249</v>
      </c>
    </row>
    <row r="193" spans="9:10">
      <c r="I193" t="s">
        <v>8250</v>
      </c>
      <c r="J193" t="s">
        <v>8251</v>
      </c>
    </row>
    <row r="194" spans="9:10">
      <c r="I194" t="s">
        <v>8252</v>
      </c>
      <c r="J194" t="s">
        <v>8253</v>
      </c>
    </row>
    <row r="195" spans="9:10">
      <c r="I195" t="s">
        <v>8254</v>
      </c>
      <c r="J195" t="s">
        <v>8255</v>
      </c>
    </row>
    <row r="196" spans="9:10">
      <c r="I196" t="s">
        <v>8256</v>
      </c>
      <c r="J196" t="s">
        <v>8257</v>
      </c>
    </row>
    <row r="197" spans="9:10">
      <c r="I197" t="s">
        <v>8258</v>
      </c>
      <c r="J197" t="s">
        <v>7873</v>
      </c>
    </row>
    <row r="198" spans="9:10">
      <c r="I198" t="s">
        <v>8259</v>
      </c>
      <c r="J198" t="s">
        <v>7875</v>
      </c>
    </row>
    <row r="199" spans="9:10">
      <c r="I199" t="s">
        <v>8260</v>
      </c>
      <c r="J199" t="s">
        <v>8261</v>
      </c>
    </row>
    <row r="200" spans="9:10">
      <c r="I200" t="s">
        <v>8262</v>
      </c>
      <c r="J200" t="s">
        <v>8263</v>
      </c>
    </row>
    <row r="201" spans="9:10">
      <c r="I201" t="s">
        <v>8264</v>
      </c>
      <c r="J201" t="s">
        <v>8265</v>
      </c>
    </row>
    <row r="202" spans="9:10">
      <c r="I202" t="s">
        <v>8266</v>
      </c>
      <c r="J202" t="s">
        <v>8267</v>
      </c>
    </row>
    <row r="203" spans="9:10">
      <c r="I203" t="s">
        <v>8268</v>
      </c>
      <c r="J203" t="s">
        <v>8269</v>
      </c>
    </row>
    <row r="204" spans="9:10">
      <c r="I204" t="s">
        <v>8270</v>
      </c>
      <c r="J204" t="s">
        <v>7883</v>
      </c>
    </row>
    <row r="205" spans="9:10">
      <c r="I205" t="s">
        <v>8271</v>
      </c>
      <c r="J205" t="s">
        <v>8272</v>
      </c>
    </row>
    <row r="206" spans="9:10">
      <c r="I206" t="s">
        <v>8273</v>
      </c>
      <c r="J206" t="s">
        <v>8274</v>
      </c>
    </row>
    <row r="207" spans="9:10">
      <c r="I207" t="s">
        <v>8275</v>
      </c>
      <c r="J207" t="s">
        <v>7887</v>
      </c>
    </row>
    <row r="208" spans="9:10">
      <c r="I208" t="s">
        <v>8276</v>
      </c>
      <c r="J208" t="s">
        <v>7941</v>
      </c>
    </row>
    <row r="209" spans="9:10">
      <c r="I209" t="s">
        <v>8277</v>
      </c>
      <c r="J209" t="s">
        <v>8278</v>
      </c>
    </row>
    <row r="210" spans="9:10">
      <c r="I210" t="s">
        <v>8279</v>
      </c>
      <c r="J210" t="s">
        <v>8280</v>
      </c>
    </row>
    <row r="211" spans="9:10">
      <c r="I211" t="s">
        <v>8281</v>
      </c>
      <c r="J211" t="s">
        <v>8282</v>
      </c>
    </row>
    <row r="212" spans="9:10">
      <c r="I212" t="s">
        <v>8283</v>
      </c>
      <c r="J212" t="s">
        <v>8284</v>
      </c>
    </row>
    <row r="213" spans="9:10">
      <c r="I213" t="s">
        <v>8285</v>
      </c>
      <c r="J213" t="s">
        <v>8286</v>
      </c>
    </row>
    <row r="214" spans="9:10">
      <c r="I214" t="s">
        <v>8287</v>
      </c>
      <c r="J214" t="s">
        <v>8288</v>
      </c>
    </row>
    <row r="215" spans="9:10">
      <c r="I215" t="s">
        <v>8289</v>
      </c>
      <c r="J215" t="s">
        <v>8290</v>
      </c>
    </row>
    <row r="216" spans="9:10">
      <c r="I216" t="s">
        <v>8291</v>
      </c>
      <c r="J216" t="s">
        <v>8292</v>
      </c>
    </row>
    <row r="217" spans="9:10">
      <c r="I217" t="s">
        <v>8293</v>
      </c>
      <c r="J217" t="s">
        <v>8294</v>
      </c>
    </row>
    <row r="218" spans="9:10">
      <c r="I218" t="s">
        <v>8295</v>
      </c>
      <c r="J218" t="s">
        <v>8296</v>
      </c>
    </row>
    <row r="219" spans="9:10">
      <c r="I219" t="s">
        <v>8297</v>
      </c>
      <c r="J219" t="s">
        <v>8298</v>
      </c>
    </row>
    <row r="220" spans="9:10">
      <c r="I220" t="s">
        <v>8299</v>
      </c>
      <c r="J220" t="s">
        <v>8300</v>
      </c>
    </row>
    <row r="221" spans="9:10">
      <c r="I221" t="s">
        <v>8301</v>
      </c>
      <c r="J221" t="s">
        <v>8302</v>
      </c>
    </row>
    <row r="222" spans="9:10">
      <c r="I222" t="s">
        <v>8303</v>
      </c>
      <c r="J222" t="s">
        <v>8304</v>
      </c>
    </row>
    <row r="223" spans="9:10">
      <c r="I223" t="s">
        <v>8305</v>
      </c>
      <c r="J223" t="s">
        <v>8306</v>
      </c>
    </row>
    <row r="224" spans="9:10">
      <c r="I224" t="s">
        <v>8307</v>
      </c>
      <c r="J224" t="s">
        <v>8308</v>
      </c>
    </row>
    <row r="225" spans="9:10">
      <c r="I225" t="s">
        <v>8309</v>
      </c>
      <c r="J225" t="s">
        <v>8310</v>
      </c>
    </row>
    <row r="226" spans="9:10">
      <c r="I226" t="s">
        <v>8311</v>
      </c>
      <c r="J226" t="s">
        <v>8312</v>
      </c>
    </row>
    <row r="227" spans="9:10">
      <c r="I227" t="s">
        <v>8313</v>
      </c>
      <c r="J227" t="s">
        <v>8314</v>
      </c>
    </row>
    <row r="228" spans="9:10">
      <c r="I228" t="s">
        <v>8315</v>
      </c>
      <c r="J228" t="s">
        <v>8316</v>
      </c>
    </row>
    <row r="229" spans="9:10">
      <c r="I229" t="s">
        <v>8317</v>
      </c>
      <c r="J229" t="s">
        <v>8318</v>
      </c>
    </row>
    <row r="230" spans="9:10">
      <c r="I230" t="s">
        <v>8319</v>
      </c>
      <c r="J230" t="s">
        <v>8320</v>
      </c>
    </row>
    <row r="231" spans="9:10">
      <c r="I231" t="s">
        <v>8321</v>
      </c>
      <c r="J231" t="s">
        <v>8322</v>
      </c>
    </row>
    <row r="232" spans="9:10">
      <c r="I232" t="s">
        <v>8323</v>
      </c>
      <c r="J232" t="s">
        <v>8324</v>
      </c>
    </row>
    <row r="233" spans="9:10">
      <c r="I233" t="s">
        <v>8325</v>
      </c>
      <c r="J233" t="s">
        <v>8326</v>
      </c>
    </row>
    <row r="234" spans="9:10">
      <c r="I234" t="s">
        <v>8327</v>
      </c>
      <c r="J234" t="s">
        <v>8328</v>
      </c>
    </row>
    <row r="235" spans="9:10">
      <c r="I235" t="s">
        <v>8329</v>
      </c>
      <c r="J235" t="s">
        <v>8330</v>
      </c>
    </row>
    <row r="236" spans="9:10">
      <c r="I236" t="s">
        <v>8331</v>
      </c>
      <c r="J236" t="s">
        <v>8332</v>
      </c>
    </row>
    <row r="237" spans="9:10">
      <c r="I237" t="s">
        <v>8333</v>
      </c>
      <c r="J237" t="s">
        <v>8334</v>
      </c>
    </row>
    <row r="238" spans="9:10">
      <c r="I238" t="s">
        <v>8335</v>
      </c>
      <c r="J238" t="s">
        <v>8336</v>
      </c>
    </row>
    <row r="239" spans="9:10">
      <c r="I239" t="s">
        <v>8337</v>
      </c>
      <c r="J239" t="s">
        <v>8338</v>
      </c>
    </row>
    <row r="240" spans="9:10">
      <c r="I240" t="s">
        <v>8339</v>
      </c>
      <c r="J240" t="s">
        <v>8245</v>
      </c>
    </row>
    <row r="241" spans="9:10">
      <c r="I241" t="s">
        <v>8340</v>
      </c>
      <c r="J241" t="s">
        <v>8247</v>
      </c>
    </row>
    <row r="242" spans="9:10">
      <c r="I242" t="s">
        <v>8341</v>
      </c>
      <c r="J242" t="s">
        <v>8342</v>
      </c>
    </row>
    <row r="243" spans="9:10">
      <c r="I243" t="s">
        <v>8343</v>
      </c>
      <c r="J243" t="s">
        <v>8344</v>
      </c>
    </row>
    <row r="244" spans="9:10">
      <c r="I244" t="s">
        <v>8345</v>
      </c>
      <c r="J244" t="s">
        <v>8346</v>
      </c>
    </row>
    <row r="245" spans="9:10">
      <c r="I245" t="s">
        <v>8347</v>
      </c>
      <c r="J245" t="s">
        <v>8348</v>
      </c>
    </row>
    <row r="246" spans="9:10">
      <c r="I246" t="s">
        <v>8349</v>
      </c>
      <c r="J246" t="s">
        <v>4230</v>
      </c>
    </row>
    <row r="247" spans="9:10">
      <c r="I247" t="s">
        <v>8350</v>
      </c>
      <c r="J247" t="s">
        <v>8351</v>
      </c>
    </row>
    <row r="248" spans="9:10">
      <c r="I248" t="s">
        <v>8352</v>
      </c>
      <c r="J248" t="s">
        <v>8353</v>
      </c>
    </row>
    <row r="249" spans="9:10">
      <c r="I249" t="s">
        <v>8354</v>
      </c>
      <c r="J249" t="s">
        <v>8355</v>
      </c>
    </row>
    <row r="250" spans="9:10">
      <c r="I250" t="s">
        <v>8356</v>
      </c>
      <c r="J250" t="s">
        <v>8357</v>
      </c>
    </row>
    <row r="251" spans="9:10">
      <c r="I251" t="s">
        <v>8358</v>
      </c>
      <c r="J251" t="s">
        <v>8359</v>
      </c>
    </row>
    <row r="252" spans="9:10">
      <c r="I252" t="s">
        <v>8360</v>
      </c>
      <c r="J252" t="s">
        <v>8361</v>
      </c>
    </row>
    <row r="253" spans="9:10">
      <c r="I253" t="s">
        <v>8362</v>
      </c>
      <c r="J253" t="s">
        <v>8363</v>
      </c>
    </row>
    <row r="254" spans="9:10">
      <c r="I254" t="s">
        <v>8364</v>
      </c>
      <c r="J254" t="s">
        <v>8365</v>
      </c>
    </row>
    <row r="255" spans="9:10">
      <c r="I255" t="s">
        <v>8366</v>
      </c>
      <c r="J255" t="s">
        <v>8367</v>
      </c>
    </row>
    <row r="256" spans="9:10">
      <c r="I256" t="s">
        <v>8368</v>
      </c>
      <c r="J256" t="s">
        <v>8369</v>
      </c>
    </row>
    <row r="257" spans="9:10">
      <c r="I257" t="s">
        <v>8370</v>
      </c>
      <c r="J257" t="s">
        <v>8371</v>
      </c>
    </row>
    <row r="258" spans="9:10">
      <c r="I258" t="s">
        <v>8372</v>
      </c>
      <c r="J258" t="s">
        <v>8373</v>
      </c>
    </row>
    <row r="259" spans="9:10">
      <c r="I259" t="s">
        <v>8374</v>
      </c>
      <c r="J259" t="s">
        <v>8375</v>
      </c>
    </row>
    <row r="260" spans="9:10">
      <c r="I260" t="s">
        <v>8376</v>
      </c>
      <c r="J260" t="s">
        <v>8377</v>
      </c>
    </row>
    <row r="261" spans="9:10">
      <c r="I261" t="s">
        <v>8378</v>
      </c>
      <c r="J261" t="s">
        <v>8379</v>
      </c>
    </row>
    <row r="262" spans="9:10">
      <c r="I262" t="s">
        <v>8380</v>
      </c>
      <c r="J262" t="s">
        <v>8381</v>
      </c>
    </row>
    <row r="263" spans="9:10">
      <c r="I263" t="s">
        <v>8382</v>
      </c>
      <c r="J263" t="s">
        <v>8383</v>
      </c>
    </row>
    <row r="264" spans="9:10">
      <c r="I264" t="s">
        <v>8384</v>
      </c>
      <c r="J264" t="s">
        <v>8385</v>
      </c>
    </row>
    <row r="265" spans="9:10">
      <c r="I265" t="s">
        <v>8386</v>
      </c>
      <c r="J265" t="s">
        <v>8387</v>
      </c>
    </row>
    <row r="266" spans="9:10">
      <c r="I266" t="s">
        <v>8388</v>
      </c>
      <c r="J266" t="s">
        <v>8389</v>
      </c>
    </row>
    <row r="267" spans="9:10">
      <c r="I267" t="s">
        <v>8390</v>
      </c>
      <c r="J267" t="s">
        <v>8391</v>
      </c>
    </row>
    <row r="268" spans="9:10">
      <c r="I268" t="s">
        <v>8392</v>
      </c>
      <c r="J268" t="s">
        <v>4754</v>
      </c>
    </row>
    <row r="269" spans="9:10">
      <c r="I269" t="s">
        <v>8393</v>
      </c>
      <c r="J269" t="s">
        <v>8394</v>
      </c>
    </row>
    <row r="270" spans="9:10">
      <c r="I270" t="s">
        <v>8395</v>
      </c>
      <c r="J270" t="s">
        <v>8396</v>
      </c>
    </row>
    <row r="271" spans="9:10">
      <c r="I271" t="s">
        <v>8397</v>
      </c>
      <c r="J271" t="s">
        <v>8398</v>
      </c>
    </row>
    <row r="272" spans="9:10">
      <c r="I272" t="s">
        <v>8399</v>
      </c>
      <c r="J272" t="s">
        <v>8400</v>
      </c>
    </row>
    <row r="273" spans="9:10">
      <c r="I273" t="s">
        <v>8401</v>
      </c>
      <c r="J273" t="s">
        <v>8402</v>
      </c>
    </row>
    <row r="274" spans="9:10">
      <c r="I274" t="s">
        <v>8403</v>
      </c>
      <c r="J274" t="s">
        <v>8404</v>
      </c>
    </row>
    <row r="275" spans="9:10">
      <c r="I275" t="s">
        <v>8405</v>
      </c>
      <c r="J275" t="s">
        <v>8406</v>
      </c>
    </row>
    <row r="276" spans="9:10">
      <c r="I276" t="s">
        <v>8407</v>
      </c>
      <c r="J276" t="s">
        <v>4416</v>
      </c>
    </row>
    <row r="277" spans="9:10">
      <c r="I277" t="s">
        <v>8408</v>
      </c>
      <c r="J277" t="s">
        <v>8409</v>
      </c>
    </row>
    <row r="278" spans="9:10">
      <c r="I278" t="s">
        <v>8410</v>
      </c>
      <c r="J278" t="s">
        <v>8411</v>
      </c>
    </row>
    <row r="279" spans="9:10">
      <c r="I279" t="s">
        <v>8412</v>
      </c>
      <c r="J279" t="s">
        <v>8413</v>
      </c>
    </row>
    <row r="280" spans="9:10">
      <c r="I280" t="s">
        <v>8414</v>
      </c>
      <c r="J280" t="s">
        <v>8415</v>
      </c>
    </row>
    <row r="281" spans="9:10">
      <c r="I281" t="s">
        <v>8416</v>
      </c>
      <c r="J281" t="s">
        <v>8417</v>
      </c>
    </row>
    <row r="282" spans="9:10">
      <c r="I282" t="s">
        <v>8418</v>
      </c>
      <c r="J282" t="s">
        <v>8419</v>
      </c>
    </row>
    <row r="283" spans="9:10">
      <c r="I283" t="s">
        <v>8420</v>
      </c>
      <c r="J283" t="s">
        <v>8421</v>
      </c>
    </row>
    <row r="284" spans="9:10">
      <c r="I284" t="s">
        <v>8422</v>
      </c>
      <c r="J284" t="s">
        <v>8423</v>
      </c>
    </row>
    <row r="285" spans="9:10">
      <c r="I285" t="s">
        <v>8424</v>
      </c>
      <c r="J285" t="s">
        <v>8425</v>
      </c>
    </row>
    <row r="286" spans="9:10">
      <c r="I286" t="s">
        <v>8426</v>
      </c>
      <c r="J286" t="s">
        <v>8427</v>
      </c>
    </row>
    <row r="287" spans="9:10">
      <c r="I287" t="s">
        <v>8428</v>
      </c>
      <c r="J287" t="s">
        <v>8429</v>
      </c>
    </row>
    <row r="288" spans="9:10">
      <c r="I288" t="s">
        <v>8430</v>
      </c>
      <c r="J288" t="s">
        <v>8431</v>
      </c>
    </row>
    <row r="289" spans="9:10">
      <c r="I289" t="s">
        <v>8432</v>
      </c>
      <c r="J289" t="s">
        <v>8433</v>
      </c>
    </row>
    <row r="290" spans="9:10">
      <c r="I290" t="s">
        <v>8434</v>
      </c>
      <c r="J290" t="s">
        <v>8245</v>
      </c>
    </row>
    <row r="291" spans="9:10">
      <c r="I291" t="s">
        <v>8435</v>
      </c>
      <c r="J291" t="s">
        <v>8247</v>
      </c>
    </row>
    <row r="292" spans="9:10">
      <c r="I292" t="s">
        <v>8436</v>
      </c>
      <c r="J292" t="s">
        <v>8437</v>
      </c>
    </row>
    <row r="293" spans="9:10">
      <c r="I293" t="s">
        <v>8438</v>
      </c>
      <c r="J293" t="s">
        <v>8245</v>
      </c>
    </row>
    <row r="294" spans="9:10">
      <c r="I294" t="s">
        <v>8439</v>
      </c>
      <c r="J294" t="s">
        <v>8247</v>
      </c>
    </row>
    <row r="295" spans="9:10">
      <c r="I295" t="s">
        <v>8440</v>
      </c>
      <c r="J295" t="s">
        <v>7865</v>
      </c>
    </row>
    <row r="296" spans="9:10">
      <c r="I296" t="s">
        <v>8441</v>
      </c>
      <c r="J296" t="s">
        <v>7786</v>
      </c>
    </row>
    <row r="297" spans="9:10">
      <c r="I297" t="s">
        <v>7778</v>
      </c>
      <c r="J297" t="s">
        <v>8442</v>
      </c>
    </row>
    <row r="298" spans="9:10">
      <c r="I298" t="s">
        <v>8443</v>
      </c>
      <c r="J298" t="s">
        <v>8444</v>
      </c>
    </row>
    <row r="299" spans="9:10">
      <c r="I299" t="s">
        <v>8445</v>
      </c>
      <c r="J299" t="s">
        <v>8446</v>
      </c>
    </row>
    <row r="300" spans="9:10">
      <c r="I300" t="s">
        <v>8447</v>
      </c>
      <c r="J300" t="s">
        <v>8448</v>
      </c>
    </row>
    <row r="301" spans="9:10">
      <c r="I301" t="s">
        <v>8449</v>
      </c>
      <c r="J301" t="s">
        <v>8450</v>
      </c>
    </row>
    <row r="302" spans="9:10">
      <c r="I302" t="s">
        <v>8451</v>
      </c>
      <c r="J302" t="s">
        <v>5826</v>
      </c>
    </row>
    <row r="303" spans="9:10">
      <c r="I303" t="s">
        <v>8452</v>
      </c>
      <c r="J303" t="s">
        <v>8453</v>
      </c>
    </row>
    <row r="304" spans="9:10">
      <c r="I304" t="s">
        <v>8454</v>
      </c>
      <c r="J304" t="s">
        <v>8455</v>
      </c>
    </row>
    <row r="305" spans="9:10">
      <c r="I305" t="s">
        <v>8456</v>
      </c>
      <c r="J305" t="s">
        <v>8457</v>
      </c>
    </row>
    <row r="306" spans="9:10">
      <c r="I306" t="s">
        <v>8458</v>
      </c>
      <c r="J306" t="s">
        <v>8459</v>
      </c>
    </row>
    <row r="307" spans="9:10">
      <c r="I307" t="s">
        <v>8460</v>
      </c>
      <c r="J307" t="s">
        <v>8461</v>
      </c>
    </row>
    <row r="308" spans="9:10">
      <c r="I308" t="s">
        <v>8462</v>
      </c>
      <c r="J308" t="s">
        <v>8463</v>
      </c>
    </row>
    <row r="309" spans="9:10">
      <c r="I309" t="s">
        <v>8464</v>
      </c>
      <c r="J309" t="s">
        <v>8465</v>
      </c>
    </row>
    <row r="310" spans="9:10">
      <c r="I310" t="s">
        <v>8466</v>
      </c>
      <c r="J310" t="s">
        <v>8467</v>
      </c>
    </row>
    <row r="311" spans="9:10">
      <c r="I311" t="s">
        <v>8468</v>
      </c>
      <c r="J311" t="s">
        <v>8469</v>
      </c>
    </row>
    <row r="312" spans="9:10">
      <c r="I312" t="s">
        <v>8470</v>
      </c>
      <c r="J312" t="s">
        <v>5828</v>
      </c>
    </row>
    <row r="313" spans="9:10">
      <c r="I313" t="s">
        <v>8471</v>
      </c>
      <c r="J313" t="s">
        <v>8245</v>
      </c>
    </row>
    <row r="314" spans="9:10">
      <c r="I314" t="s">
        <v>8472</v>
      </c>
      <c r="J314" t="s">
        <v>8247</v>
      </c>
    </row>
    <row r="315" spans="9:10">
      <c r="I315" t="s">
        <v>8473</v>
      </c>
      <c r="J315" t="s">
        <v>8031</v>
      </c>
    </row>
    <row r="316" spans="9:10">
      <c r="I316" t="s">
        <v>8474</v>
      </c>
      <c r="J316" t="s">
        <v>8033</v>
      </c>
    </row>
    <row r="317" spans="9:10">
      <c r="I317" t="s">
        <v>8475</v>
      </c>
      <c r="J317" t="s">
        <v>8023</v>
      </c>
    </row>
    <row r="318" spans="9:10">
      <c r="I318" t="s">
        <v>8476</v>
      </c>
      <c r="J318" t="s">
        <v>8477</v>
      </c>
    </row>
    <row r="319" spans="9:10">
      <c r="I319" t="s">
        <v>8478</v>
      </c>
      <c r="J319" t="s">
        <v>8479</v>
      </c>
    </row>
    <row r="320" spans="9:10">
      <c r="I320" t="s">
        <v>8480</v>
      </c>
      <c r="J320" t="s">
        <v>8481</v>
      </c>
    </row>
    <row r="321" spans="9:10">
      <c r="I321" t="s">
        <v>8482</v>
      </c>
      <c r="J321" t="s">
        <v>8483</v>
      </c>
    </row>
    <row r="322" spans="9:10">
      <c r="I322" t="s">
        <v>8484</v>
      </c>
      <c r="J322" t="s">
        <v>8485</v>
      </c>
    </row>
    <row r="323" spans="9:10">
      <c r="I323" t="s">
        <v>8486</v>
      </c>
      <c r="J323" t="s">
        <v>8487</v>
      </c>
    </row>
    <row r="324" spans="9:10">
      <c r="I324" t="s">
        <v>8488</v>
      </c>
      <c r="J324" t="s">
        <v>8489</v>
      </c>
    </row>
    <row r="325" spans="9:10">
      <c r="I325" t="s">
        <v>8490</v>
      </c>
      <c r="J325" t="s">
        <v>8491</v>
      </c>
    </row>
    <row r="326" spans="9:10">
      <c r="I326" t="s">
        <v>8492</v>
      </c>
      <c r="J326" t="s">
        <v>8493</v>
      </c>
    </row>
    <row r="327" spans="9:10">
      <c r="I327" t="s">
        <v>8494</v>
      </c>
      <c r="J327" t="s">
        <v>8495</v>
      </c>
    </row>
    <row r="328" spans="9:10">
      <c r="I328" t="s">
        <v>8496</v>
      </c>
      <c r="J328" t="s">
        <v>8497</v>
      </c>
    </row>
    <row r="329" spans="9:10">
      <c r="I329" t="s">
        <v>8498</v>
      </c>
      <c r="J329" t="s">
        <v>8499</v>
      </c>
    </row>
    <row r="330" spans="9:10">
      <c r="I330" t="s">
        <v>8500</v>
      </c>
      <c r="J330" t="s">
        <v>8501</v>
      </c>
    </row>
    <row r="331" spans="9:10">
      <c r="I331" t="s">
        <v>8502</v>
      </c>
      <c r="J331" t="s">
        <v>8503</v>
      </c>
    </row>
    <row r="332" spans="9:10">
      <c r="I332" t="s">
        <v>8504</v>
      </c>
      <c r="J332" t="s">
        <v>8505</v>
      </c>
    </row>
    <row r="333" spans="9:10">
      <c r="I333" t="s">
        <v>8506</v>
      </c>
      <c r="J333" t="s">
        <v>8507</v>
      </c>
    </row>
    <row r="334" spans="9:10">
      <c r="I334" t="s">
        <v>8508</v>
      </c>
      <c r="J334" t="s">
        <v>8509</v>
      </c>
    </row>
    <row r="335" spans="9:10">
      <c r="I335" t="s">
        <v>8510</v>
      </c>
      <c r="J335" t="s">
        <v>8511</v>
      </c>
    </row>
    <row r="336" spans="9:10">
      <c r="I336" t="s">
        <v>8512</v>
      </c>
      <c r="J336" t="s">
        <v>8513</v>
      </c>
    </row>
    <row r="337" spans="9:10">
      <c r="I337" t="s">
        <v>8514</v>
      </c>
      <c r="J337" t="s">
        <v>8515</v>
      </c>
    </row>
    <row r="338" spans="9:10">
      <c r="I338" t="s">
        <v>8516</v>
      </c>
      <c r="J338" t="s">
        <v>8517</v>
      </c>
    </row>
    <row r="339" spans="9:10">
      <c r="I339" t="s">
        <v>8518</v>
      </c>
      <c r="J339" t="s">
        <v>8519</v>
      </c>
    </row>
    <row r="340" spans="9:10">
      <c r="I340" t="s">
        <v>8520</v>
      </c>
      <c r="J340" t="s">
        <v>8521</v>
      </c>
    </row>
    <row r="341" spans="9:10">
      <c r="I341" t="s">
        <v>8522</v>
      </c>
      <c r="J341" t="s">
        <v>8523</v>
      </c>
    </row>
    <row r="342" spans="9:10">
      <c r="I342" t="s">
        <v>8524</v>
      </c>
      <c r="J342" t="s">
        <v>8525</v>
      </c>
    </row>
    <row r="343" spans="9:10">
      <c r="I343" t="s">
        <v>8526</v>
      </c>
      <c r="J343" t="s">
        <v>8527</v>
      </c>
    </row>
    <row r="344" spans="9:10">
      <c r="I344" t="s">
        <v>8528</v>
      </c>
      <c r="J344" t="s">
        <v>8529</v>
      </c>
    </row>
    <row r="345" spans="9:10">
      <c r="I345" t="s">
        <v>8530</v>
      </c>
      <c r="J345" t="s">
        <v>8531</v>
      </c>
    </row>
    <row r="346" spans="9:10">
      <c r="I346" t="s">
        <v>8532</v>
      </c>
      <c r="J346" t="s">
        <v>8533</v>
      </c>
    </row>
    <row r="347" spans="9:10">
      <c r="I347" t="s">
        <v>8534</v>
      </c>
      <c r="J347" t="s">
        <v>8535</v>
      </c>
    </row>
    <row r="348" spans="9:10">
      <c r="I348" t="s">
        <v>8536</v>
      </c>
      <c r="J348" t="s">
        <v>8537</v>
      </c>
    </row>
    <row r="349" spans="9:10">
      <c r="I349" t="s">
        <v>8538</v>
      </c>
      <c r="J349" t="s">
        <v>8539</v>
      </c>
    </row>
    <row r="350" spans="9:10">
      <c r="I350" t="s">
        <v>8540</v>
      </c>
      <c r="J350" t="s">
        <v>8541</v>
      </c>
    </row>
    <row r="351" spans="9:10">
      <c r="I351" t="s">
        <v>8542</v>
      </c>
      <c r="J351" t="s">
        <v>8543</v>
      </c>
    </row>
    <row r="352" spans="9:10">
      <c r="I352" t="s">
        <v>8544</v>
      </c>
      <c r="J352" t="s">
        <v>8545</v>
      </c>
    </row>
    <row r="353" spans="9:10">
      <c r="I353" t="s">
        <v>8546</v>
      </c>
      <c r="J353" t="s">
        <v>8547</v>
      </c>
    </row>
    <row r="354" spans="9:10">
      <c r="I354" t="s">
        <v>8548</v>
      </c>
      <c r="J354" t="s">
        <v>8549</v>
      </c>
    </row>
    <row r="355" spans="9:10">
      <c r="I355" t="s">
        <v>8550</v>
      </c>
      <c r="J355" t="s">
        <v>8551</v>
      </c>
    </row>
    <row r="356" spans="9:10">
      <c r="I356" t="s">
        <v>8552</v>
      </c>
      <c r="J356" t="s">
        <v>8553</v>
      </c>
    </row>
    <row r="357" spans="9:10">
      <c r="I357" t="s">
        <v>8554</v>
      </c>
      <c r="J357" t="s">
        <v>8555</v>
      </c>
    </row>
    <row r="358" spans="9:10">
      <c r="I358" t="s">
        <v>8556</v>
      </c>
      <c r="J358" t="s">
        <v>8557</v>
      </c>
    </row>
    <row r="359" spans="9:10">
      <c r="I359" t="s">
        <v>8558</v>
      </c>
      <c r="J359" t="s">
        <v>8559</v>
      </c>
    </row>
    <row r="360" spans="9:10">
      <c r="I360" t="s">
        <v>8560</v>
      </c>
      <c r="J360" t="s">
        <v>8561</v>
      </c>
    </row>
    <row r="361" spans="9:10">
      <c r="I361" t="s">
        <v>8562</v>
      </c>
      <c r="J361" t="s">
        <v>8563</v>
      </c>
    </row>
    <row r="362" spans="9:10">
      <c r="I362" t="s">
        <v>8564</v>
      </c>
      <c r="J362" t="s">
        <v>8565</v>
      </c>
    </row>
    <row r="363" spans="9:10">
      <c r="I363" t="s">
        <v>8566</v>
      </c>
      <c r="J363" t="s">
        <v>8567</v>
      </c>
    </row>
    <row r="364" spans="9:10">
      <c r="I364" t="s">
        <v>8568</v>
      </c>
      <c r="J364" t="s">
        <v>8569</v>
      </c>
    </row>
    <row r="365" spans="9:10">
      <c r="I365" t="s">
        <v>8570</v>
      </c>
      <c r="J365" t="s">
        <v>8571</v>
      </c>
    </row>
    <row r="366" spans="9:10">
      <c r="I366" t="s">
        <v>8572</v>
      </c>
      <c r="J366" t="s">
        <v>8573</v>
      </c>
    </row>
    <row r="367" spans="9:10">
      <c r="I367" t="s">
        <v>8574</v>
      </c>
      <c r="J367" t="s">
        <v>8575</v>
      </c>
    </row>
    <row r="368" spans="9:10">
      <c r="I368" t="s">
        <v>8576</v>
      </c>
      <c r="J368" t="s">
        <v>8577</v>
      </c>
    </row>
    <row r="369" spans="9:10">
      <c r="I369" t="s">
        <v>8578</v>
      </c>
      <c r="J369" t="s">
        <v>8579</v>
      </c>
    </row>
    <row r="370" spans="9:10">
      <c r="I370" t="s">
        <v>8580</v>
      </c>
      <c r="J370" t="s">
        <v>8581</v>
      </c>
    </row>
    <row r="371" spans="9:10">
      <c r="I371" t="s">
        <v>8582</v>
      </c>
      <c r="J371" t="s">
        <v>8583</v>
      </c>
    </row>
    <row r="372" spans="9:10">
      <c r="I372" t="s">
        <v>8584</v>
      </c>
      <c r="J372" t="s">
        <v>8585</v>
      </c>
    </row>
    <row r="373" spans="9:10">
      <c r="I373" t="s">
        <v>8586</v>
      </c>
      <c r="J373" t="s">
        <v>8587</v>
      </c>
    </row>
    <row r="374" spans="9:10">
      <c r="I374" t="s">
        <v>8588</v>
      </c>
      <c r="J374" t="s">
        <v>8589</v>
      </c>
    </row>
    <row r="375" spans="9:10">
      <c r="I375" t="s">
        <v>8590</v>
      </c>
      <c r="J375" t="s">
        <v>8591</v>
      </c>
    </row>
    <row r="376" spans="9:10">
      <c r="I376" t="s">
        <v>8592</v>
      </c>
      <c r="J376" t="s">
        <v>8593</v>
      </c>
    </row>
    <row r="377" spans="9:10">
      <c r="I377" t="s">
        <v>8594</v>
      </c>
      <c r="J377" t="s">
        <v>8595</v>
      </c>
    </row>
    <row r="378" spans="9:10">
      <c r="I378" t="s">
        <v>8596</v>
      </c>
      <c r="J378" t="s">
        <v>8597</v>
      </c>
    </row>
    <row r="379" spans="9:10">
      <c r="I379" t="s">
        <v>8598</v>
      </c>
      <c r="J379" t="s">
        <v>8599</v>
      </c>
    </row>
    <row r="380" spans="9:10">
      <c r="I380" t="s">
        <v>8600</v>
      </c>
      <c r="J380" t="s">
        <v>8601</v>
      </c>
    </row>
    <row r="381" spans="9:10">
      <c r="I381" t="s">
        <v>8602</v>
      </c>
      <c r="J381" t="s">
        <v>8603</v>
      </c>
    </row>
    <row r="382" spans="9:10">
      <c r="I382" t="s">
        <v>8604</v>
      </c>
      <c r="J382" t="s">
        <v>8605</v>
      </c>
    </row>
    <row r="383" spans="9:10">
      <c r="I383" t="s">
        <v>8606</v>
      </c>
      <c r="J383" t="s">
        <v>8607</v>
      </c>
    </row>
    <row r="384" spans="9:10">
      <c r="I384" t="s">
        <v>8608</v>
      </c>
      <c r="J384" t="s">
        <v>8609</v>
      </c>
    </row>
    <row r="385" spans="9:10">
      <c r="I385" t="s">
        <v>8610</v>
      </c>
      <c r="J385" t="s">
        <v>8611</v>
      </c>
    </row>
    <row r="386" spans="9:10">
      <c r="I386" t="s">
        <v>8612</v>
      </c>
      <c r="J386" t="s">
        <v>8613</v>
      </c>
    </row>
    <row r="387" spans="9:10">
      <c r="I387" t="s">
        <v>8614</v>
      </c>
      <c r="J387" t="s">
        <v>8615</v>
      </c>
    </row>
    <row r="388" spans="9:10">
      <c r="I388" t="s">
        <v>8616</v>
      </c>
      <c r="J388" t="s">
        <v>8617</v>
      </c>
    </row>
    <row r="389" spans="9:10">
      <c r="I389" t="s">
        <v>8618</v>
      </c>
      <c r="J389" t="s">
        <v>8619</v>
      </c>
    </row>
    <row r="390" spans="9:10">
      <c r="I390" t="s">
        <v>8620</v>
      </c>
      <c r="J390" t="s">
        <v>8621</v>
      </c>
    </row>
    <row r="391" spans="9:10">
      <c r="I391" t="s">
        <v>8622</v>
      </c>
      <c r="J391" t="s">
        <v>8623</v>
      </c>
    </row>
    <row r="392" spans="9:10">
      <c r="I392" t="s">
        <v>8624</v>
      </c>
      <c r="J392" t="s">
        <v>8625</v>
      </c>
    </row>
    <row r="393" spans="9:10">
      <c r="I393" t="s">
        <v>8626</v>
      </c>
      <c r="J393" t="s">
        <v>8627</v>
      </c>
    </row>
    <row r="394" spans="9:10">
      <c r="I394" t="s">
        <v>8628</v>
      </c>
      <c r="J394" t="s">
        <v>8629</v>
      </c>
    </row>
    <row r="395" spans="9:10">
      <c r="I395" t="s">
        <v>8630</v>
      </c>
      <c r="J395" t="s">
        <v>8631</v>
      </c>
    </row>
    <row r="396" spans="9:10">
      <c r="I396" t="s">
        <v>8632</v>
      </c>
      <c r="J396" t="s">
        <v>8633</v>
      </c>
    </row>
    <row r="397" spans="9:10">
      <c r="I397" t="s">
        <v>8634</v>
      </c>
      <c r="J397" t="s">
        <v>8635</v>
      </c>
    </row>
    <row r="398" spans="9:10">
      <c r="I398" t="s">
        <v>8636</v>
      </c>
      <c r="J398" t="s">
        <v>8637</v>
      </c>
    </row>
    <row r="399" spans="9:10">
      <c r="I399" t="s">
        <v>8638</v>
      </c>
      <c r="J399" t="s">
        <v>8639</v>
      </c>
    </row>
    <row r="400" spans="9:10">
      <c r="I400" t="s">
        <v>8640</v>
      </c>
      <c r="J400" t="s">
        <v>8641</v>
      </c>
    </row>
    <row r="401" spans="9:10">
      <c r="I401" t="s">
        <v>8642</v>
      </c>
      <c r="J401" t="s">
        <v>8643</v>
      </c>
    </row>
    <row r="402" spans="9:10">
      <c r="I402" t="s">
        <v>8644</v>
      </c>
      <c r="J402" t="s">
        <v>8645</v>
      </c>
    </row>
    <row r="403" spans="9:10">
      <c r="I403" t="s">
        <v>8646</v>
      </c>
      <c r="J403" t="s">
        <v>8647</v>
      </c>
    </row>
    <row r="404" spans="9:10">
      <c r="I404" t="s">
        <v>8648</v>
      </c>
      <c r="J404" t="s">
        <v>8649</v>
      </c>
    </row>
    <row r="405" spans="9:10">
      <c r="I405" t="s">
        <v>8650</v>
      </c>
      <c r="J405" t="s">
        <v>8651</v>
      </c>
    </row>
    <row r="406" spans="9:10">
      <c r="I406" t="s">
        <v>8652</v>
      </c>
      <c r="J406" t="s">
        <v>8653</v>
      </c>
    </row>
    <row r="407" spans="9:10">
      <c r="I407" t="s">
        <v>8654</v>
      </c>
      <c r="J407" t="s">
        <v>8655</v>
      </c>
    </row>
    <row r="408" spans="9:10">
      <c r="I408" t="s">
        <v>8656</v>
      </c>
      <c r="J408" t="s">
        <v>8657</v>
      </c>
    </row>
    <row r="409" spans="9:10">
      <c r="I409" t="s">
        <v>8658</v>
      </c>
      <c r="J409" t="s">
        <v>8659</v>
      </c>
    </row>
    <row r="410" spans="9:10">
      <c r="I410" t="s">
        <v>8660</v>
      </c>
      <c r="J410" t="s">
        <v>8661</v>
      </c>
    </row>
    <row r="411" spans="9:10">
      <c r="I411" t="s">
        <v>8662</v>
      </c>
      <c r="J411" t="s">
        <v>8663</v>
      </c>
    </row>
    <row r="412" spans="9:10">
      <c r="I412" t="s">
        <v>8664</v>
      </c>
      <c r="J412" t="s">
        <v>8665</v>
      </c>
    </row>
    <row r="413" spans="9:10">
      <c r="I413" t="s">
        <v>8666</v>
      </c>
      <c r="J413" t="s">
        <v>8667</v>
      </c>
    </row>
    <row r="414" spans="9:10">
      <c r="I414" t="s">
        <v>8668</v>
      </c>
      <c r="J414" t="s">
        <v>8669</v>
      </c>
    </row>
    <row r="415" spans="9:10">
      <c r="I415" t="s">
        <v>8670</v>
      </c>
      <c r="J415" t="s">
        <v>8671</v>
      </c>
    </row>
    <row r="416" spans="9:10">
      <c r="I416" t="s">
        <v>8672</v>
      </c>
      <c r="J416" t="s">
        <v>8673</v>
      </c>
    </row>
    <row r="417" spans="9:10">
      <c r="I417" t="s">
        <v>8674</v>
      </c>
      <c r="J417" t="s">
        <v>8675</v>
      </c>
    </row>
    <row r="418" spans="9:10">
      <c r="I418" t="s">
        <v>8676</v>
      </c>
      <c r="J418" t="s">
        <v>8677</v>
      </c>
    </row>
    <row r="419" spans="9:10">
      <c r="I419" t="s">
        <v>8678</v>
      </c>
      <c r="J419" t="s">
        <v>8679</v>
      </c>
    </row>
    <row r="420" spans="9:10">
      <c r="I420" t="s">
        <v>8680</v>
      </c>
      <c r="J420" t="s">
        <v>8681</v>
      </c>
    </row>
    <row r="421" spans="9:10">
      <c r="I421" t="s">
        <v>8682</v>
      </c>
      <c r="J421" t="s">
        <v>8683</v>
      </c>
    </row>
    <row r="422" spans="9:10">
      <c r="I422" t="s">
        <v>8684</v>
      </c>
      <c r="J422" t="s">
        <v>8685</v>
      </c>
    </row>
    <row r="423" spans="9:10">
      <c r="I423" t="s">
        <v>8686</v>
      </c>
      <c r="J423" t="s">
        <v>8687</v>
      </c>
    </row>
    <row r="424" spans="9:10">
      <c r="I424" t="s">
        <v>8688</v>
      </c>
      <c r="J424" t="s">
        <v>8689</v>
      </c>
    </row>
    <row r="425" spans="9:10">
      <c r="I425" t="s">
        <v>8690</v>
      </c>
      <c r="J425" t="s">
        <v>8691</v>
      </c>
    </row>
    <row r="426" spans="9:10">
      <c r="I426" t="s">
        <v>8692</v>
      </c>
      <c r="J426" t="s">
        <v>8693</v>
      </c>
    </row>
    <row r="427" spans="9:10">
      <c r="I427" t="s">
        <v>8694</v>
      </c>
      <c r="J427" t="s">
        <v>8695</v>
      </c>
    </row>
    <row r="428" spans="9:10">
      <c r="I428" t="s">
        <v>8696</v>
      </c>
      <c r="J428" t="s">
        <v>8697</v>
      </c>
    </row>
    <row r="429" spans="9:10">
      <c r="I429" t="s">
        <v>8698</v>
      </c>
      <c r="J429" t="s">
        <v>8699</v>
      </c>
    </row>
    <row r="430" spans="9:10">
      <c r="I430" t="s">
        <v>8700</v>
      </c>
      <c r="J430" t="s">
        <v>8701</v>
      </c>
    </row>
    <row r="431" spans="9:10">
      <c r="I431" t="s">
        <v>8702</v>
      </c>
      <c r="J431" t="s">
        <v>8703</v>
      </c>
    </row>
    <row r="432" spans="9:10">
      <c r="I432" t="s">
        <v>8704</v>
      </c>
      <c r="J432" t="s">
        <v>8705</v>
      </c>
    </row>
    <row r="433" spans="9:10">
      <c r="I433" t="s">
        <v>8706</v>
      </c>
      <c r="J433" t="s">
        <v>8707</v>
      </c>
    </row>
    <row r="434" spans="9:10">
      <c r="I434" t="s">
        <v>8708</v>
      </c>
      <c r="J434" t="s">
        <v>8709</v>
      </c>
    </row>
    <row r="435" spans="9:10">
      <c r="I435" t="s">
        <v>8710</v>
      </c>
      <c r="J435" t="s">
        <v>8711</v>
      </c>
    </row>
    <row r="436" spans="9:10">
      <c r="I436" t="s">
        <v>8712</v>
      </c>
      <c r="J436" t="s">
        <v>8713</v>
      </c>
    </row>
    <row r="437" spans="9:10">
      <c r="I437" t="s">
        <v>8714</v>
      </c>
      <c r="J437" t="s">
        <v>8715</v>
      </c>
    </row>
    <row r="438" spans="9:10">
      <c r="I438" t="s">
        <v>8716</v>
      </c>
      <c r="J438" t="s">
        <v>8717</v>
      </c>
    </row>
    <row r="439" spans="9:10">
      <c r="I439" t="s">
        <v>8718</v>
      </c>
      <c r="J439" t="s">
        <v>8719</v>
      </c>
    </row>
    <row r="440" spans="9:10">
      <c r="I440" t="s">
        <v>8720</v>
      </c>
      <c r="J440" t="s">
        <v>8721</v>
      </c>
    </row>
    <row r="441" spans="9:10">
      <c r="I441" t="s">
        <v>8722</v>
      </c>
      <c r="J441" t="s">
        <v>8723</v>
      </c>
    </row>
    <row r="442" spans="9:10">
      <c r="I442" t="s">
        <v>8724</v>
      </c>
      <c r="J442" t="s">
        <v>8725</v>
      </c>
    </row>
    <row r="443" spans="9:10">
      <c r="I443" t="s">
        <v>8726</v>
      </c>
      <c r="J443" t="s">
        <v>8727</v>
      </c>
    </row>
    <row r="444" spans="9:10">
      <c r="I444" t="s">
        <v>8728</v>
      </c>
      <c r="J444" t="s">
        <v>8729</v>
      </c>
    </row>
    <row r="445" spans="9:10">
      <c r="I445" t="s">
        <v>8730</v>
      </c>
      <c r="J445" t="s">
        <v>8731</v>
      </c>
    </row>
    <row r="446" spans="9:10">
      <c r="I446" t="s">
        <v>8732</v>
      </c>
      <c r="J446" t="s">
        <v>8733</v>
      </c>
    </row>
    <row r="447" spans="9:10">
      <c r="I447" t="s">
        <v>8734</v>
      </c>
      <c r="J447" t="s">
        <v>8735</v>
      </c>
    </row>
    <row r="448" spans="9:10">
      <c r="I448" t="s">
        <v>8736</v>
      </c>
      <c r="J448" t="s">
        <v>8737</v>
      </c>
    </row>
    <row r="449" spans="9:10">
      <c r="I449" t="s">
        <v>8738</v>
      </c>
      <c r="J449" t="s">
        <v>8739</v>
      </c>
    </row>
    <row r="450" spans="9:10">
      <c r="I450" t="s">
        <v>8740</v>
      </c>
      <c r="J450" t="s">
        <v>8031</v>
      </c>
    </row>
    <row r="451" spans="9:10">
      <c r="I451" t="s">
        <v>8741</v>
      </c>
      <c r="J451" t="s">
        <v>8033</v>
      </c>
    </row>
    <row r="452" spans="9:10">
      <c r="I452" t="s">
        <v>8742</v>
      </c>
      <c r="J452" t="s">
        <v>8743</v>
      </c>
    </row>
    <row r="453" spans="9:10">
      <c r="I453" t="s">
        <v>8744</v>
      </c>
      <c r="J453" t="s">
        <v>8745</v>
      </c>
    </row>
    <row r="454" spans="9:10">
      <c r="I454" t="s">
        <v>8746</v>
      </c>
      <c r="J454" t="s">
        <v>8747</v>
      </c>
    </row>
    <row r="455" spans="9:10">
      <c r="I455" t="s">
        <v>8748</v>
      </c>
      <c r="J455" t="s">
        <v>8749</v>
      </c>
    </row>
    <row r="456" spans="9:10">
      <c r="I456" t="s">
        <v>8750</v>
      </c>
      <c r="J456" t="s">
        <v>8751</v>
      </c>
    </row>
    <row r="457" spans="9:10">
      <c r="I457" t="s">
        <v>8752</v>
      </c>
      <c r="J457" t="s">
        <v>8753</v>
      </c>
    </row>
    <row r="458" spans="9:10">
      <c r="I458" t="s">
        <v>8754</v>
      </c>
      <c r="J458" t="s">
        <v>8755</v>
      </c>
    </row>
    <row r="459" spans="9:10">
      <c r="I459" t="s">
        <v>8756</v>
      </c>
      <c r="J459" t="s">
        <v>8757</v>
      </c>
    </row>
    <row r="460" spans="9:10">
      <c r="I460" t="s">
        <v>8758</v>
      </c>
      <c r="J460" t="s">
        <v>8759</v>
      </c>
    </row>
    <row r="461" spans="9:10">
      <c r="I461" t="s">
        <v>8760</v>
      </c>
      <c r="J461" t="s">
        <v>8761</v>
      </c>
    </row>
    <row r="462" spans="9:10">
      <c r="I462" t="s">
        <v>8762</v>
      </c>
      <c r="J462" t="s">
        <v>8763</v>
      </c>
    </row>
    <row r="463" spans="9:10">
      <c r="I463" t="s">
        <v>8764</v>
      </c>
      <c r="J463" t="s">
        <v>8765</v>
      </c>
    </row>
    <row r="464" spans="9:10">
      <c r="I464" t="s">
        <v>8766</v>
      </c>
      <c r="J464" t="s">
        <v>8767</v>
      </c>
    </row>
    <row r="465" spans="9:10">
      <c r="I465" t="s">
        <v>8768</v>
      </c>
      <c r="J465" t="s">
        <v>8629</v>
      </c>
    </row>
    <row r="466" spans="9:10">
      <c r="I466" t="s">
        <v>8769</v>
      </c>
      <c r="J466" t="s">
        <v>8627</v>
      </c>
    </row>
    <row r="467" spans="9:10">
      <c r="I467" t="s">
        <v>8770</v>
      </c>
      <c r="J467" t="s">
        <v>8723</v>
      </c>
    </row>
    <row r="468" spans="9:10">
      <c r="I468" t="s">
        <v>8771</v>
      </c>
      <c r="J468" t="s">
        <v>8725</v>
      </c>
    </row>
    <row r="469" spans="9:10">
      <c r="I469" t="s">
        <v>8772</v>
      </c>
      <c r="J469" t="s">
        <v>8773</v>
      </c>
    </row>
    <row r="470" spans="9:10">
      <c r="I470" t="s">
        <v>8774</v>
      </c>
      <c r="J470" t="s">
        <v>8775</v>
      </c>
    </row>
    <row r="471" spans="9:10">
      <c r="I471" t="s">
        <v>8776</v>
      </c>
      <c r="J471" t="s">
        <v>8777</v>
      </c>
    </row>
    <row r="472" spans="9:10">
      <c r="I472" t="s">
        <v>8778</v>
      </c>
      <c r="J472" t="s">
        <v>8779</v>
      </c>
    </row>
    <row r="473" spans="9:10">
      <c r="I473" t="s">
        <v>8780</v>
      </c>
      <c r="J473" t="s">
        <v>8781</v>
      </c>
    </row>
    <row r="474" spans="9:10">
      <c r="I474" t="s">
        <v>8782</v>
      </c>
      <c r="J474" t="s">
        <v>8783</v>
      </c>
    </row>
    <row r="475" spans="9:10">
      <c r="I475" t="s">
        <v>8784</v>
      </c>
      <c r="J475" t="s">
        <v>8785</v>
      </c>
    </row>
    <row r="476" spans="9:10">
      <c r="I476" t="s">
        <v>8786</v>
      </c>
      <c r="J476" t="s">
        <v>8787</v>
      </c>
    </row>
    <row r="477" spans="9:10">
      <c r="I477" t="s">
        <v>8788</v>
      </c>
      <c r="J477" t="s">
        <v>8789</v>
      </c>
    </row>
    <row r="478" spans="9:10">
      <c r="I478" t="s">
        <v>8790</v>
      </c>
      <c r="J478" t="s">
        <v>8791</v>
      </c>
    </row>
    <row r="479" spans="9:10">
      <c r="I479" t="s">
        <v>8792</v>
      </c>
      <c r="J479" t="s">
        <v>8793</v>
      </c>
    </row>
    <row r="480" spans="9:10">
      <c r="I480" t="s">
        <v>8794</v>
      </c>
      <c r="J480" t="s">
        <v>8795</v>
      </c>
    </row>
    <row r="481" spans="9:10">
      <c r="I481" t="s">
        <v>8796</v>
      </c>
      <c r="J481" t="s">
        <v>8797</v>
      </c>
    </row>
    <row r="482" spans="9:10">
      <c r="I482" t="s">
        <v>8798</v>
      </c>
      <c r="J482" t="s">
        <v>8799</v>
      </c>
    </row>
    <row r="483" spans="9:10">
      <c r="I483" t="s">
        <v>8800</v>
      </c>
      <c r="J483" t="s">
        <v>8801</v>
      </c>
    </row>
    <row r="484" spans="9:10">
      <c r="I484" t="s">
        <v>8802</v>
      </c>
      <c r="J484" t="s">
        <v>8803</v>
      </c>
    </row>
    <row r="485" spans="9:10">
      <c r="I485" t="s">
        <v>8804</v>
      </c>
      <c r="J485" t="s">
        <v>8503</v>
      </c>
    </row>
    <row r="486" spans="9:10">
      <c r="I486" t="s">
        <v>8805</v>
      </c>
      <c r="J486" t="s">
        <v>8481</v>
      </c>
    </row>
    <row r="487" spans="9:10">
      <c r="I487" t="s">
        <v>8806</v>
      </c>
      <c r="J487" t="s">
        <v>8807</v>
      </c>
    </row>
    <row r="488" spans="9:10">
      <c r="I488" t="s">
        <v>8808</v>
      </c>
      <c r="J488" t="s">
        <v>8487</v>
      </c>
    </row>
    <row r="489" spans="9:10">
      <c r="I489" t="s">
        <v>8809</v>
      </c>
      <c r="J489" t="s">
        <v>8555</v>
      </c>
    </row>
    <row r="490" spans="9:10">
      <c r="I490" t="s">
        <v>8810</v>
      </c>
      <c r="J490" t="s">
        <v>8549</v>
      </c>
    </row>
    <row r="491" spans="9:10">
      <c r="I491" t="s">
        <v>8811</v>
      </c>
      <c r="J491" t="s">
        <v>8812</v>
      </c>
    </row>
    <row r="492" spans="9:10">
      <c r="I492" t="s">
        <v>8813</v>
      </c>
      <c r="J492" t="s">
        <v>8814</v>
      </c>
    </row>
    <row r="493" spans="9:10">
      <c r="I493" t="s">
        <v>8815</v>
      </c>
      <c r="J493" t="s">
        <v>8816</v>
      </c>
    </row>
    <row r="494" spans="9:10">
      <c r="I494" t="s">
        <v>8817</v>
      </c>
      <c r="J494" t="s">
        <v>8818</v>
      </c>
    </row>
    <row r="495" spans="9:10">
      <c r="I495" t="s">
        <v>8819</v>
      </c>
      <c r="J495" t="s">
        <v>8820</v>
      </c>
    </row>
    <row r="496" spans="9:10">
      <c r="I496" t="s">
        <v>8821</v>
      </c>
      <c r="J496" t="s">
        <v>8733</v>
      </c>
    </row>
    <row r="497" spans="9:10">
      <c r="I497" t="s">
        <v>8822</v>
      </c>
      <c r="J497" t="s">
        <v>8735</v>
      </c>
    </row>
    <row r="498" spans="9:10">
      <c r="I498" t="s">
        <v>8823</v>
      </c>
      <c r="J498" t="s">
        <v>8824</v>
      </c>
    </row>
    <row r="499" spans="9:10">
      <c r="I499" t="s">
        <v>8825</v>
      </c>
      <c r="J499" t="s">
        <v>8826</v>
      </c>
    </row>
    <row r="500" spans="9:10">
      <c r="I500" t="s">
        <v>8827</v>
      </c>
      <c r="J500" t="s">
        <v>8828</v>
      </c>
    </row>
    <row r="501" spans="9:10">
      <c r="I501" t="s">
        <v>8829</v>
      </c>
      <c r="J501" t="s">
        <v>8830</v>
      </c>
    </row>
    <row r="502" spans="9:10">
      <c r="I502" t="s">
        <v>8831</v>
      </c>
      <c r="J502" t="s">
        <v>8832</v>
      </c>
    </row>
    <row r="503" spans="9:10">
      <c r="I503" t="s">
        <v>8833</v>
      </c>
      <c r="J503" t="s">
        <v>8505</v>
      </c>
    </row>
    <row r="504" spans="9:10">
      <c r="I504" t="s">
        <v>8834</v>
      </c>
      <c r="J504" t="s">
        <v>8835</v>
      </c>
    </row>
    <row r="505" spans="9:10">
      <c r="I505" t="s">
        <v>8836</v>
      </c>
      <c r="J505" t="s">
        <v>8837</v>
      </c>
    </row>
    <row r="506" spans="9:10">
      <c r="I506" t="s">
        <v>8838</v>
      </c>
      <c r="J506" t="s">
        <v>8531</v>
      </c>
    </row>
    <row r="507" spans="9:10">
      <c r="I507" t="s">
        <v>8839</v>
      </c>
      <c r="J507" t="s">
        <v>8491</v>
      </c>
    </row>
    <row r="508" spans="9:10">
      <c r="I508" t="s">
        <v>8840</v>
      </c>
      <c r="J508" t="s">
        <v>8513</v>
      </c>
    </row>
    <row r="509" spans="9:10">
      <c r="I509" t="s">
        <v>8841</v>
      </c>
      <c r="J509" t="s">
        <v>8519</v>
      </c>
    </row>
    <row r="510" spans="9:10">
      <c r="I510" t="s">
        <v>8842</v>
      </c>
      <c r="J510" t="s">
        <v>8843</v>
      </c>
    </row>
    <row r="511" spans="9:10">
      <c r="I511" t="s">
        <v>8844</v>
      </c>
      <c r="J511" t="s">
        <v>8515</v>
      </c>
    </row>
    <row r="512" spans="9:10">
      <c r="I512" t="s">
        <v>8845</v>
      </c>
      <c r="J512" t="s">
        <v>8507</v>
      </c>
    </row>
    <row r="513" spans="9:10">
      <c r="I513" t="s">
        <v>8846</v>
      </c>
      <c r="J513" t="s">
        <v>8495</v>
      </c>
    </row>
    <row r="514" spans="9:10">
      <c r="I514" t="s">
        <v>8847</v>
      </c>
      <c r="J514" t="s">
        <v>8479</v>
      </c>
    </row>
    <row r="515" spans="9:10">
      <c r="I515" t="s">
        <v>8848</v>
      </c>
      <c r="J515" t="s">
        <v>8849</v>
      </c>
    </row>
    <row r="516" spans="9:10">
      <c r="I516" t="s">
        <v>8850</v>
      </c>
      <c r="J516" t="s">
        <v>8851</v>
      </c>
    </row>
    <row r="517" spans="9:10">
      <c r="I517" t="s">
        <v>8852</v>
      </c>
      <c r="J517" t="s">
        <v>8501</v>
      </c>
    </row>
    <row r="518" spans="9:10">
      <c r="I518" t="s">
        <v>8853</v>
      </c>
      <c r="J518" t="s">
        <v>8854</v>
      </c>
    </row>
    <row r="519" spans="9:10">
      <c r="I519" t="s">
        <v>8855</v>
      </c>
      <c r="J519" t="s">
        <v>8493</v>
      </c>
    </row>
    <row r="520" spans="9:10">
      <c r="I520" t="s">
        <v>8856</v>
      </c>
      <c r="J520" t="s">
        <v>8857</v>
      </c>
    </row>
    <row r="521" spans="9:10">
      <c r="I521" t="s">
        <v>8858</v>
      </c>
      <c r="J521" t="s">
        <v>8859</v>
      </c>
    </row>
    <row r="522" spans="9:10">
      <c r="I522" t="s">
        <v>8860</v>
      </c>
      <c r="J522" t="s">
        <v>8527</v>
      </c>
    </row>
    <row r="523" spans="9:10">
      <c r="I523" t="s">
        <v>8861</v>
      </c>
      <c r="J523" t="s">
        <v>8525</v>
      </c>
    </row>
    <row r="524" spans="9:10">
      <c r="I524" t="s">
        <v>8862</v>
      </c>
      <c r="J524" t="s">
        <v>8863</v>
      </c>
    </row>
    <row r="525" spans="9:10">
      <c r="I525" t="s">
        <v>8864</v>
      </c>
      <c r="J525" t="s">
        <v>8865</v>
      </c>
    </row>
    <row r="526" spans="9:10">
      <c r="I526" t="s">
        <v>8866</v>
      </c>
      <c r="J526" t="s">
        <v>8867</v>
      </c>
    </row>
    <row r="527" spans="9:10">
      <c r="I527" t="s">
        <v>8868</v>
      </c>
      <c r="J527" t="s">
        <v>8521</v>
      </c>
    </row>
    <row r="528" spans="9:10">
      <c r="I528" t="s">
        <v>8869</v>
      </c>
      <c r="J528" t="s">
        <v>8870</v>
      </c>
    </row>
    <row r="529" spans="9:10">
      <c r="I529" t="s">
        <v>8871</v>
      </c>
      <c r="J529" t="s">
        <v>8872</v>
      </c>
    </row>
    <row r="530" spans="9:10">
      <c r="I530" t="s">
        <v>8873</v>
      </c>
      <c r="J530" t="s">
        <v>8874</v>
      </c>
    </row>
    <row r="531" spans="9:10">
      <c r="I531" t="s">
        <v>8875</v>
      </c>
      <c r="J531" t="s">
        <v>8876</v>
      </c>
    </row>
    <row r="532" spans="9:10">
      <c r="I532" t="s">
        <v>8877</v>
      </c>
      <c r="J532" t="s">
        <v>8878</v>
      </c>
    </row>
    <row r="533" spans="9:10">
      <c r="I533" t="s">
        <v>8879</v>
      </c>
      <c r="J533" t="s">
        <v>8509</v>
      </c>
    </row>
    <row r="534" spans="9:10">
      <c r="I534" t="s">
        <v>8880</v>
      </c>
      <c r="J534" t="s">
        <v>8511</v>
      </c>
    </row>
    <row r="535" spans="9:10">
      <c r="I535" t="s">
        <v>8881</v>
      </c>
      <c r="J535" t="s">
        <v>8882</v>
      </c>
    </row>
    <row r="536" spans="9:10">
      <c r="I536" t="s">
        <v>8883</v>
      </c>
      <c r="J536" t="s">
        <v>8884</v>
      </c>
    </row>
    <row r="537" spans="9:10">
      <c r="I537" t="s">
        <v>8885</v>
      </c>
      <c r="J537" t="s">
        <v>8886</v>
      </c>
    </row>
    <row r="538" spans="9:10">
      <c r="I538" t="s">
        <v>8887</v>
      </c>
      <c r="J538" t="s">
        <v>8529</v>
      </c>
    </row>
    <row r="539" spans="9:10">
      <c r="I539" t="s">
        <v>8888</v>
      </c>
      <c r="J539" t="s">
        <v>8889</v>
      </c>
    </row>
    <row r="540" spans="9:10">
      <c r="I540" t="s">
        <v>8890</v>
      </c>
      <c r="J540" t="s">
        <v>8551</v>
      </c>
    </row>
    <row r="541" spans="9:10">
      <c r="I541" t="s">
        <v>8891</v>
      </c>
      <c r="J541" t="s">
        <v>8892</v>
      </c>
    </row>
    <row r="542" spans="9:10">
      <c r="I542" t="s">
        <v>8893</v>
      </c>
      <c r="J542" t="s">
        <v>8497</v>
      </c>
    </row>
    <row r="543" spans="9:10">
      <c r="I543" t="s">
        <v>8894</v>
      </c>
      <c r="J543" t="s">
        <v>8895</v>
      </c>
    </row>
    <row r="544" spans="9:10">
      <c r="I544" t="s">
        <v>8896</v>
      </c>
      <c r="J544" t="s">
        <v>8897</v>
      </c>
    </row>
    <row r="545" spans="9:10">
      <c r="I545" t="s">
        <v>8898</v>
      </c>
      <c r="J545" t="s">
        <v>8553</v>
      </c>
    </row>
    <row r="546" spans="9:10">
      <c r="I546" t="s">
        <v>8899</v>
      </c>
      <c r="J546" t="s">
        <v>8900</v>
      </c>
    </row>
    <row r="547" spans="9:10">
      <c r="I547" t="s">
        <v>8901</v>
      </c>
      <c r="J547" t="s">
        <v>8902</v>
      </c>
    </row>
    <row r="548" spans="9:10">
      <c r="I548" t="s">
        <v>8903</v>
      </c>
      <c r="J548" t="s">
        <v>8904</v>
      </c>
    </row>
    <row r="549" spans="9:10">
      <c r="I549" t="s">
        <v>8905</v>
      </c>
      <c r="J549" t="s">
        <v>8906</v>
      </c>
    </row>
    <row r="550" spans="9:10">
      <c r="I550" t="s">
        <v>8907</v>
      </c>
      <c r="J550" t="s">
        <v>8908</v>
      </c>
    </row>
    <row r="551" spans="9:10">
      <c r="I551" t="s">
        <v>8909</v>
      </c>
      <c r="J551" t="s">
        <v>8910</v>
      </c>
    </row>
    <row r="552" spans="9:10">
      <c r="I552" t="s">
        <v>8911</v>
      </c>
      <c r="J552" t="s">
        <v>8912</v>
      </c>
    </row>
    <row r="553" spans="9:10">
      <c r="I553" t="s">
        <v>8913</v>
      </c>
      <c r="J553" t="s">
        <v>8914</v>
      </c>
    </row>
    <row r="554" spans="9:10">
      <c r="I554" t="s">
        <v>8915</v>
      </c>
      <c r="J554" t="s">
        <v>8916</v>
      </c>
    </row>
    <row r="555" spans="9:10">
      <c r="I555" t="s">
        <v>8917</v>
      </c>
      <c r="J555" t="s">
        <v>8918</v>
      </c>
    </row>
    <row r="556" spans="9:10">
      <c r="I556" t="s">
        <v>8919</v>
      </c>
      <c r="J556" t="s">
        <v>8920</v>
      </c>
    </row>
    <row r="557" spans="9:10">
      <c r="I557" t="s">
        <v>8921</v>
      </c>
      <c r="J557" t="s">
        <v>8922</v>
      </c>
    </row>
    <row r="558" spans="9:10">
      <c r="I558" t="s">
        <v>8923</v>
      </c>
      <c r="J558" t="s">
        <v>8924</v>
      </c>
    </row>
    <row r="559" spans="9:10">
      <c r="I559" t="s">
        <v>8925</v>
      </c>
      <c r="J559" t="s">
        <v>8926</v>
      </c>
    </row>
    <row r="560" spans="9:10">
      <c r="I560" t="s">
        <v>8927</v>
      </c>
      <c r="J560" t="s">
        <v>8928</v>
      </c>
    </row>
    <row r="561" spans="9:10">
      <c r="I561" t="s">
        <v>8929</v>
      </c>
      <c r="J561" t="s">
        <v>8930</v>
      </c>
    </row>
    <row r="562" spans="9:10">
      <c r="I562" t="s">
        <v>8931</v>
      </c>
      <c r="J562" t="s">
        <v>8932</v>
      </c>
    </row>
    <row r="563" spans="9:10">
      <c r="I563" t="s">
        <v>8933</v>
      </c>
      <c r="J563" t="s">
        <v>8934</v>
      </c>
    </row>
    <row r="564" spans="9:10">
      <c r="I564" t="s">
        <v>8935</v>
      </c>
      <c r="J564" t="s">
        <v>8936</v>
      </c>
    </row>
    <row r="565" spans="9:10">
      <c r="I565" t="s">
        <v>8937</v>
      </c>
      <c r="J565" t="s">
        <v>8938</v>
      </c>
    </row>
    <row r="566" spans="9:10">
      <c r="I566" t="s">
        <v>8939</v>
      </c>
      <c r="J566" t="s">
        <v>8940</v>
      </c>
    </row>
    <row r="567" spans="9:10">
      <c r="I567" t="s">
        <v>8941</v>
      </c>
      <c r="J567" t="s">
        <v>8942</v>
      </c>
    </row>
    <row r="568" spans="9:10">
      <c r="I568" t="s">
        <v>8943</v>
      </c>
      <c r="J568" t="s">
        <v>8944</v>
      </c>
    </row>
    <row r="569" spans="9:10">
      <c r="I569" t="s">
        <v>8945</v>
      </c>
      <c r="J569" t="s">
        <v>8946</v>
      </c>
    </row>
    <row r="570" spans="9:10">
      <c r="I570" t="s">
        <v>8947</v>
      </c>
      <c r="J570" t="s">
        <v>8948</v>
      </c>
    </row>
    <row r="571" spans="9:10">
      <c r="I571" t="s">
        <v>8949</v>
      </c>
      <c r="J571" t="s">
        <v>8950</v>
      </c>
    </row>
    <row r="572" spans="9:10">
      <c r="I572" t="s">
        <v>8951</v>
      </c>
      <c r="J572" t="s">
        <v>8952</v>
      </c>
    </row>
    <row r="573" spans="9:10">
      <c r="I573" t="s">
        <v>8953</v>
      </c>
      <c r="J573" t="s">
        <v>8954</v>
      </c>
    </row>
    <row r="574" spans="9:10">
      <c r="I574" t="s">
        <v>8955</v>
      </c>
      <c r="J574" t="s">
        <v>8956</v>
      </c>
    </row>
    <row r="575" spans="9:10">
      <c r="I575" t="s">
        <v>8957</v>
      </c>
      <c r="J575" t="s">
        <v>8958</v>
      </c>
    </row>
    <row r="576" spans="9:10">
      <c r="I576" t="s">
        <v>8959</v>
      </c>
      <c r="J576" t="s">
        <v>8960</v>
      </c>
    </row>
    <row r="577" spans="9:10">
      <c r="I577" t="s">
        <v>8961</v>
      </c>
      <c r="J577" t="s">
        <v>8962</v>
      </c>
    </row>
    <row r="578" spans="9:10">
      <c r="I578" t="s">
        <v>8963</v>
      </c>
      <c r="J578" t="s">
        <v>8964</v>
      </c>
    </row>
    <row r="579" spans="9:10">
      <c r="I579" t="s">
        <v>8965</v>
      </c>
      <c r="J579" t="s">
        <v>8966</v>
      </c>
    </row>
    <row r="580" spans="9:10">
      <c r="I580" t="s">
        <v>8967</v>
      </c>
      <c r="J580" t="s">
        <v>8968</v>
      </c>
    </row>
    <row r="581" spans="9:10">
      <c r="I581" t="s">
        <v>8969</v>
      </c>
      <c r="J581" t="s">
        <v>8970</v>
      </c>
    </row>
    <row r="582" spans="9:10">
      <c r="I582" t="s">
        <v>8971</v>
      </c>
      <c r="J582" t="s">
        <v>8972</v>
      </c>
    </row>
    <row r="583" spans="9:10">
      <c r="I583" t="s">
        <v>8973</v>
      </c>
      <c r="J583" t="s">
        <v>8974</v>
      </c>
    </row>
    <row r="584" spans="9:10">
      <c r="I584" t="s">
        <v>8975</v>
      </c>
      <c r="J584" t="s">
        <v>8976</v>
      </c>
    </row>
    <row r="585" spans="9:10">
      <c r="I585" t="s">
        <v>8977</v>
      </c>
      <c r="J585" t="s">
        <v>8978</v>
      </c>
    </row>
    <row r="586" spans="9:10">
      <c r="I586" t="s">
        <v>8979</v>
      </c>
      <c r="J586" t="s">
        <v>8980</v>
      </c>
    </row>
    <row r="587" spans="9:10">
      <c r="I587" t="s">
        <v>8981</v>
      </c>
      <c r="J587" t="s">
        <v>8982</v>
      </c>
    </row>
    <row r="588" spans="9:10">
      <c r="I588" t="s">
        <v>8983</v>
      </c>
      <c r="J588" t="s">
        <v>8984</v>
      </c>
    </row>
    <row r="589" spans="9:10">
      <c r="I589" t="s">
        <v>8985</v>
      </c>
      <c r="J589" t="s">
        <v>1295</v>
      </c>
    </row>
    <row r="590" spans="9:10">
      <c r="I590" t="s">
        <v>8986</v>
      </c>
      <c r="J590" t="s">
        <v>8245</v>
      </c>
    </row>
    <row r="591" spans="9:10">
      <c r="I591" t="s">
        <v>8987</v>
      </c>
      <c r="J591" t="s">
        <v>8247</v>
      </c>
    </row>
    <row r="592" spans="9:10">
      <c r="I592" t="s">
        <v>8988</v>
      </c>
      <c r="J592" t="s">
        <v>8245</v>
      </c>
    </row>
    <row r="593" spans="9:10">
      <c r="I593" t="s">
        <v>8989</v>
      </c>
      <c r="J593" t="s">
        <v>8247</v>
      </c>
    </row>
    <row r="594" spans="9:10">
      <c r="I594" t="s">
        <v>8990</v>
      </c>
      <c r="J594" t="s">
        <v>8991</v>
      </c>
    </row>
    <row r="595" spans="9:10">
      <c r="I595" t="s">
        <v>7766</v>
      </c>
      <c r="J595" t="s">
        <v>8992</v>
      </c>
    </row>
    <row r="596" spans="9:10">
      <c r="I596" t="s">
        <v>8993</v>
      </c>
      <c r="J596" t="s">
        <v>8994</v>
      </c>
    </row>
    <row r="597" spans="9:10">
      <c r="I597" t="s">
        <v>8995</v>
      </c>
      <c r="J597" t="s">
        <v>8996</v>
      </c>
    </row>
    <row r="598" spans="9:10">
      <c r="I598" t="s">
        <v>8997</v>
      </c>
      <c r="J598" t="s">
        <v>8998</v>
      </c>
    </row>
    <row r="599" spans="9:10">
      <c r="I599" t="s">
        <v>8999</v>
      </c>
      <c r="J599" t="s">
        <v>9000</v>
      </c>
    </row>
    <row r="600" spans="9:10">
      <c r="I600" t="s">
        <v>9001</v>
      </c>
      <c r="J600" t="s">
        <v>9002</v>
      </c>
    </row>
    <row r="601" spans="9:10">
      <c r="I601" t="s">
        <v>9003</v>
      </c>
      <c r="J601" t="s">
        <v>9004</v>
      </c>
    </row>
    <row r="602" spans="9:10">
      <c r="I602" t="s">
        <v>9005</v>
      </c>
      <c r="J602" t="s">
        <v>9006</v>
      </c>
    </row>
    <row r="603" spans="9:10">
      <c r="I603" t="s">
        <v>9007</v>
      </c>
      <c r="J603" t="s">
        <v>9008</v>
      </c>
    </row>
    <row r="604" spans="9:10">
      <c r="I604" t="s">
        <v>9009</v>
      </c>
      <c r="J604" t="s">
        <v>8245</v>
      </c>
    </row>
    <row r="605" spans="9:10">
      <c r="I605" t="s">
        <v>9010</v>
      </c>
      <c r="J605" t="s">
        <v>8247</v>
      </c>
    </row>
    <row r="606" spans="9:10">
      <c r="I606" t="s">
        <v>9011</v>
      </c>
      <c r="J606" t="s">
        <v>9012</v>
      </c>
    </row>
    <row r="607" spans="9:10">
      <c r="I607" t="s">
        <v>9013</v>
      </c>
      <c r="J607" t="s">
        <v>9014</v>
      </c>
    </row>
    <row r="608" spans="9:10">
      <c r="I608" t="s">
        <v>9015</v>
      </c>
      <c r="J608" t="s">
        <v>9016</v>
      </c>
    </row>
    <row r="609" spans="9:10">
      <c r="I609" t="s">
        <v>9017</v>
      </c>
      <c r="J609" t="s">
        <v>8245</v>
      </c>
    </row>
    <row r="610" spans="9:10">
      <c r="I610" t="s">
        <v>9018</v>
      </c>
      <c r="J610" t="s">
        <v>8247</v>
      </c>
    </row>
    <row r="611" spans="9:10">
      <c r="I611" t="s">
        <v>7772</v>
      </c>
      <c r="J611" t="s">
        <v>9019</v>
      </c>
    </row>
    <row r="612" spans="9:10">
      <c r="I612" t="s">
        <v>9020</v>
      </c>
      <c r="J612" t="s">
        <v>9021</v>
      </c>
    </row>
    <row r="613" spans="9:10">
      <c r="I613" t="s">
        <v>9022</v>
      </c>
      <c r="J613" t="s">
        <v>9023</v>
      </c>
    </row>
    <row r="614" spans="9:10">
      <c r="I614" t="s">
        <v>9024</v>
      </c>
      <c r="J614" t="s">
        <v>9025</v>
      </c>
    </row>
    <row r="615" spans="9:10">
      <c r="I615" t="s">
        <v>9026</v>
      </c>
      <c r="J615" t="s">
        <v>9027</v>
      </c>
    </row>
    <row r="616" spans="9:10">
      <c r="I616" t="s">
        <v>9028</v>
      </c>
      <c r="J616" t="s">
        <v>9029</v>
      </c>
    </row>
    <row r="617" spans="9:10">
      <c r="I617" t="s">
        <v>9030</v>
      </c>
      <c r="J617" t="s">
        <v>9031</v>
      </c>
    </row>
    <row r="618" spans="9:10">
      <c r="I618" t="s">
        <v>9032</v>
      </c>
      <c r="J618" t="s">
        <v>9033</v>
      </c>
    </row>
    <row r="619" spans="9:10">
      <c r="I619" t="s">
        <v>9034</v>
      </c>
      <c r="J619" t="s">
        <v>9035</v>
      </c>
    </row>
    <row r="620" spans="9:10">
      <c r="I620" t="s">
        <v>9036</v>
      </c>
      <c r="J620" t="s">
        <v>9037</v>
      </c>
    </row>
    <row r="621" spans="9:10">
      <c r="I621" t="s">
        <v>9038</v>
      </c>
      <c r="J621" t="s">
        <v>9039</v>
      </c>
    </row>
    <row r="622" spans="9:10">
      <c r="I622" t="s">
        <v>9040</v>
      </c>
      <c r="J622" t="s">
        <v>9041</v>
      </c>
    </row>
    <row r="623" spans="9:10">
      <c r="I623" t="s">
        <v>9042</v>
      </c>
      <c r="J623" t="s">
        <v>9043</v>
      </c>
    </row>
    <row r="624" spans="9:10">
      <c r="I624" t="s">
        <v>9044</v>
      </c>
      <c r="J624" t="s">
        <v>9045</v>
      </c>
    </row>
    <row r="625" spans="9:10">
      <c r="I625" t="s">
        <v>9046</v>
      </c>
      <c r="J625" t="s">
        <v>9047</v>
      </c>
    </row>
    <row r="626" spans="9:10">
      <c r="I626" t="s">
        <v>9048</v>
      </c>
      <c r="J626" t="s">
        <v>9049</v>
      </c>
    </row>
    <row r="627" spans="9:10">
      <c r="I627" t="s">
        <v>9050</v>
      </c>
      <c r="J627" t="s">
        <v>9051</v>
      </c>
    </row>
    <row r="628" spans="9:10">
      <c r="I628" t="s">
        <v>9052</v>
      </c>
      <c r="J628" t="s">
        <v>9053</v>
      </c>
    </row>
    <row r="629" spans="9:10">
      <c r="I629" t="s">
        <v>9054</v>
      </c>
      <c r="J629" t="s">
        <v>9055</v>
      </c>
    </row>
    <row r="630" spans="9:10">
      <c r="I630" t="s">
        <v>9056</v>
      </c>
      <c r="J630" t="s">
        <v>9057</v>
      </c>
    </row>
    <row r="631" spans="9:10">
      <c r="I631" t="s">
        <v>9058</v>
      </c>
      <c r="J631" t="s">
        <v>9059</v>
      </c>
    </row>
    <row r="632" spans="9:10">
      <c r="I632" t="s">
        <v>9060</v>
      </c>
      <c r="J632" t="s">
        <v>9061</v>
      </c>
    </row>
    <row r="633" spans="9:10">
      <c r="I633" t="s">
        <v>9062</v>
      </c>
      <c r="J633" t="s">
        <v>8245</v>
      </c>
    </row>
    <row r="634" spans="9:10">
      <c r="I634" t="s">
        <v>9063</v>
      </c>
      <c r="J634" t="s">
        <v>8247</v>
      </c>
    </row>
    <row r="635" spans="9:10">
      <c r="I635" t="s">
        <v>9064</v>
      </c>
      <c r="J635" t="s">
        <v>7865</v>
      </c>
    </row>
    <row r="636" spans="9:10">
      <c r="I636" t="s">
        <v>9065</v>
      </c>
      <c r="J636" t="s">
        <v>9066</v>
      </c>
    </row>
    <row r="637" spans="9:10">
      <c r="I637" t="s">
        <v>9067</v>
      </c>
      <c r="J637" t="s">
        <v>9068</v>
      </c>
    </row>
    <row r="638" spans="9:10">
      <c r="I638" t="s">
        <v>9069</v>
      </c>
      <c r="J638" t="s">
        <v>9070</v>
      </c>
    </row>
    <row r="639" spans="9:10">
      <c r="I639" t="s">
        <v>9071</v>
      </c>
      <c r="J639" t="s">
        <v>9072</v>
      </c>
    </row>
    <row r="640" spans="9:10">
      <c r="I640" t="s">
        <v>9073</v>
      </c>
      <c r="J640" t="s">
        <v>9074</v>
      </c>
    </row>
    <row r="641" spans="9:10">
      <c r="I641" t="s">
        <v>9075</v>
      </c>
      <c r="J641" t="s">
        <v>9076</v>
      </c>
    </row>
    <row r="642" spans="9:10">
      <c r="I642" t="s">
        <v>9077</v>
      </c>
      <c r="J642" t="s">
        <v>9078</v>
      </c>
    </row>
    <row r="643" spans="9:10">
      <c r="I643" t="s">
        <v>9079</v>
      </c>
      <c r="J643" t="s">
        <v>9080</v>
      </c>
    </row>
    <row r="644" spans="9:10">
      <c r="I644" t="s">
        <v>9081</v>
      </c>
      <c r="J644" t="s">
        <v>9082</v>
      </c>
    </row>
    <row r="645" spans="9:10">
      <c r="I645" t="s">
        <v>9083</v>
      </c>
      <c r="J645" t="s">
        <v>9084</v>
      </c>
    </row>
    <row r="646" spans="9:10">
      <c r="I646" t="s">
        <v>9085</v>
      </c>
      <c r="J646" t="s">
        <v>9086</v>
      </c>
    </row>
    <row r="647" spans="9:10">
      <c r="I647" t="s">
        <v>9087</v>
      </c>
      <c r="J647" t="s">
        <v>9088</v>
      </c>
    </row>
    <row r="648" spans="9:10">
      <c r="I648" t="s">
        <v>9089</v>
      </c>
      <c r="J648" t="s">
        <v>9090</v>
      </c>
    </row>
    <row r="649" spans="9:10">
      <c r="I649" t="s">
        <v>9091</v>
      </c>
      <c r="J649" t="s">
        <v>9092</v>
      </c>
    </row>
    <row r="650" spans="9:10">
      <c r="I650" t="s">
        <v>9093</v>
      </c>
      <c r="J650" t="s">
        <v>9094</v>
      </c>
    </row>
    <row r="651" spans="9:10">
      <c r="I651" t="s">
        <v>9095</v>
      </c>
      <c r="J651" t="s">
        <v>9096</v>
      </c>
    </row>
    <row r="652" spans="9:10">
      <c r="I652" t="s">
        <v>9097</v>
      </c>
      <c r="J652" t="s">
        <v>9098</v>
      </c>
    </row>
    <row r="653" spans="9:10">
      <c r="I653" t="s">
        <v>9099</v>
      </c>
      <c r="J653" t="s">
        <v>9100</v>
      </c>
    </row>
    <row r="654" spans="9:10">
      <c r="I654" t="s">
        <v>9101</v>
      </c>
      <c r="J654" t="s">
        <v>9102</v>
      </c>
    </row>
    <row r="655" spans="9:10">
      <c r="I655" t="s">
        <v>9103</v>
      </c>
      <c r="J655" t="s">
        <v>9104</v>
      </c>
    </row>
    <row r="656" spans="9:10">
      <c r="I656" t="s">
        <v>9105</v>
      </c>
      <c r="J656" t="s">
        <v>9106</v>
      </c>
    </row>
    <row r="657" spans="9:10">
      <c r="I657" t="s">
        <v>9107</v>
      </c>
      <c r="J657" t="s">
        <v>9108</v>
      </c>
    </row>
    <row r="658" spans="9:10">
      <c r="I658" t="s">
        <v>9109</v>
      </c>
      <c r="J658" t="s">
        <v>9110</v>
      </c>
    </row>
    <row r="659" spans="9:10">
      <c r="I659" t="s">
        <v>9111</v>
      </c>
      <c r="J659" t="s">
        <v>9112</v>
      </c>
    </row>
    <row r="660" spans="9:10">
      <c r="I660" t="s">
        <v>9113</v>
      </c>
      <c r="J660" t="s">
        <v>9114</v>
      </c>
    </row>
    <row r="661" spans="9:10">
      <c r="I661" t="s">
        <v>9115</v>
      </c>
      <c r="J661" t="s">
        <v>9116</v>
      </c>
    </row>
    <row r="662" spans="9:10">
      <c r="I662" t="s">
        <v>9117</v>
      </c>
      <c r="J662" t="s">
        <v>9118</v>
      </c>
    </row>
    <row r="663" spans="9:10">
      <c r="I663" t="s">
        <v>9119</v>
      </c>
      <c r="J663" t="s">
        <v>9120</v>
      </c>
    </row>
    <row r="664" spans="9:10">
      <c r="I664" t="s">
        <v>9121</v>
      </c>
      <c r="J664" t="s">
        <v>9122</v>
      </c>
    </row>
    <row r="665" spans="9:10">
      <c r="I665" t="s">
        <v>9123</v>
      </c>
      <c r="J665" t="s">
        <v>9124</v>
      </c>
    </row>
    <row r="666" spans="9:10">
      <c r="I666" t="s">
        <v>9125</v>
      </c>
      <c r="J666" t="s">
        <v>9126</v>
      </c>
    </row>
    <row r="667" spans="9:10">
      <c r="I667" t="s">
        <v>9127</v>
      </c>
      <c r="J667" t="s">
        <v>9128</v>
      </c>
    </row>
    <row r="668" spans="9:10">
      <c r="I668" t="s">
        <v>9129</v>
      </c>
      <c r="J668" t="s">
        <v>9130</v>
      </c>
    </row>
    <row r="669" spans="9:10">
      <c r="I669" t="s">
        <v>9131</v>
      </c>
      <c r="J669" t="s">
        <v>9132</v>
      </c>
    </row>
    <row r="670" spans="9:10">
      <c r="I670" t="s">
        <v>9133</v>
      </c>
      <c r="J670" t="s">
        <v>9134</v>
      </c>
    </row>
    <row r="671" spans="9:10">
      <c r="I671" t="s">
        <v>9135</v>
      </c>
      <c r="J671" t="s">
        <v>9136</v>
      </c>
    </row>
    <row r="672" spans="9:10">
      <c r="I672" t="s">
        <v>9137</v>
      </c>
      <c r="J672" t="s">
        <v>9138</v>
      </c>
    </row>
    <row r="673" spans="9:10">
      <c r="I673" t="s">
        <v>9139</v>
      </c>
      <c r="J673" t="s">
        <v>9140</v>
      </c>
    </row>
    <row r="674" spans="9:10">
      <c r="I674" t="s">
        <v>9141</v>
      </c>
      <c r="J674" t="s">
        <v>9142</v>
      </c>
    </row>
    <row r="675" spans="9:10">
      <c r="I675" t="s">
        <v>9143</v>
      </c>
      <c r="J675" t="s">
        <v>9144</v>
      </c>
    </row>
    <row r="676" spans="9:10">
      <c r="I676" t="s">
        <v>9145</v>
      </c>
      <c r="J676" t="s">
        <v>9146</v>
      </c>
    </row>
    <row r="677" spans="9:10">
      <c r="I677" t="s">
        <v>9147</v>
      </c>
      <c r="J677" t="s">
        <v>9148</v>
      </c>
    </row>
    <row r="678" spans="9:10">
      <c r="I678" t="s">
        <v>9149</v>
      </c>
      <c r="J678" t="s">
        <v>9150</v>
      </c>
    </row>
    <row r="679" spans="9:10">
      <c r="I679" t="s">
        <v>9151</v>
      </c>
      <c r="J679" t="s">
        <v>9152</v>
      </c>
    </row>
    <row r="680" spans="9:10">
      <c r="I680" t="s">
        <v>9153</v>
      </c>
      <c r="J680" t="s">
        <v>9154</v>
      </c>
    </row>
    <row r="681" spans="9:10">
      <c r="I681" t="s">
        <v>9155</v>
      </c>
      <c r="J681" t="s">
        <v>9156</v>
      </c>
    </row>
    <row r="682" spans="9:10">
      <c r="I682" t="s">
        <v>9157</v>
      </c>
      <c r="J682" t="s">
        <v>9158</v>
      </c>
    </row>
    <row r="683" spans="9:10">
      <c r="I683" t="s">
        <v>9159</v>
      </c>
      <c r="J683" t="s">
        <v>9160</v>
      </c>
    </row>
    <row r="684" spans="9:10">
      <c r="I684" t="s">
        <v>9161</v>
      </c>
      <c r="J684" t="s">
        <v>9162</v>
      </c>
    </row>
    <row r="685" spans="9:10">
      <c r="I685" t="s">
        <v>9163</v>
      </c>
      <c r="J685" t="s">
        <v>9164</v>
      </c>
    </row>
    <row r="686" spans="9:10">
      <c r="I686" t="s">
        <v>9165</v>
      </c>
      <c r="J686" t="s">
        <v>9166</v>
      </c>
    </row>
    <row r="687" spans="9:10">
      <c r="I687" t="s">
        <v>9167</v>
      </c>
      <c r="J687" t="s">
        <v>9168</v>
      </c>
    </row>
    <row r="688" spans="9:10">
      <c r="I688" t="s">
        <v>9169</v>
      </c>
      <c r="J688" t="s">
        <v>9170</v>
      </c>
    </row>
    <row r="689" spans="9:10">
      <c r="I689" t="s">
        <v>9171</v>
      </c>
      <c r="J689" t="s">
        <v>9172</v>
      </c>
    </row>
    <row r="690" spans="9:10">
      <c r="I690" t="s">
        <v>9173</v>
      </c>
      <c r="J690" t="s">
        <v>9174</v>
      </c>
    </row>
    <row r="691" spans="9:10">
      <c r="I691" t="s">
        <v>9175</v>
      </c>
      <c r="J691" t="s">
        <v>9176</v>
      </c>
    </row>
    <row r="692" spans="9:10">
      <c r="I692" t="s">
        <v>9177</v>
      </c>
      <c r="J692" t="s">
        <v>9178</v>
      </c>
    </row>
    <row r="693" spans="9:10">
      <c r="I693" t="s">
        <v>9179</v>
      </c>
      <c r="J693" t="s">
        <v>9180</v>
      </c>
    </row>
    <row r="694" spans="9:10">
      <c r="I694" t="s">
        <v>9181</v>
      </c>
      <c r="J694" t="s">
        <v>9182</v>
      </c>
    </row>
    <row r="695" spans="9:10">
      <c r="I695" t="s">
        <v>9183</v>
      </c>
      <c r="J695" t="s">
        <v>9184</v>
      </c>
    </row>
    <row r="696" spans="9:10">
      <c r="I696" t="s">
        <v>9185</v>
      </c>
      <c r="J696" t="s">
        <v>9186</v>
      </c>
    </row>
    <row r="697" spans="9:10">
      <c r="I697" t="s">
        <v>9187</v>
      </c>
      <c r="J697" t="s">
        <v>9188</v>
      </c>
    </row>
    <row r="698" spans="9:10">
      <c r="I698" t="s">
        <v>9189</v>
      </c>
      <c r="J698" t="s">
        <v>9190</v>
      </c>
    </row>
    <row r="699" spans="9:10">
      <c r="I699" t="s">
        <v>9191</v>
      </c>
      <c r="J699" t="s">
        <v>9192</v>
      </c>
    </row>
    <row r="700" spans="9:10">
      <c r="I700" t="s">
        <v>9193</v>
      </c>
      <c r="J700" t="s">
        <v>8245</v>
      </c>
    </row>
    <row r="701" spans="9:10">
      <c r="I701" t="s">
        <v>9194</v>
      </c>
      <c r="J701" t="s">
        <v>8247</v>
      </c>
    </row>
    <row r="702" spans="9:10">
      <c r="I702" t="s">
        <v>9195</v>
      </c>
      <c r="J702" t="s">
        <v>9196</v>
      </c>
    </row>
    <row r="703" spans="9:10">
      <c r="I703" t="s">
        <v>9197</v>
      </c>
      <c r="J703" t="s">
        <v>9198</v>
      </c>
    </row>
    <row r="704" spans="9:10">
      <c r="I704" t="s">
        <v>9199</v>
      </c>
      <c r="J704" t="s">
        <v>9200</v>
      </c>
    </row>
    <row r="705" spans="9:10">
      <c r="I705" t="s">
        <v>9201</v>
      </c>
      <c r="J705" t="s">
        <v>9202</v>
      </c>
    </row>
    <row r="706" spans="9:10">
      <c r="I706" t="s">
        <v>9203</v>
      </c>
      <c r="J706" t="s">
        <v>9204</v>
      </c>
    </row>
    <row r="707" spans="9:10">
      <c r="I707" t="s">
        <v>9205</v>
      </c>
      <c r="J707" t="s">
        <v>9206</v>
      </c>
    </row>
    <row r="708" spans="9:10">
      <c r="I708" t="s">
        <v>9207</v>
      </c>
      <c r="J708" t="s">
        <v>9208</v>
      </c>
    </row>
    <row r="709" spans="9:10">
      <c r="I709" t="s">
        <v>9209</v>
      </c>
      <c r="J709" t="s">
        <v>9210</v>
      </c>
    </row>
    <row r="710" spans="9:10">
      <c r="I710" t="s">
        <v>9211</v>
      </c>
      <c r="J710" t="s">
        <v>9212</v>
      </c>
    </row>
    <row r="711" spans="9:10">
      <c r="I711" t="s">
        <v>9213</v>
      </c>
      <c r="J711" t="s">
        <v>9214</v>
      </c>
    </row>
    <row r="712" spans="9:10">
      <c r="I712" t="s">
        <v>9215</v>
      </c>
      <c r="J712" t="s">
        <v>9216</v>
      </c>
    </row>
    <row r="713" spans="9:10">
      <c r="I713" t="s">
        <v>9217</v>
      </c>
      <c r="J713" t="s">
        <v>9218</v>
      </c>
    </row>
    <row r="714" spans="9:10">
      <c r="I714" t="s">
        <v>9219</v>
      </c>
      <c r="J714" t="s">
        <v>9220</v>
      </c>
    </row>
    <row r="715" spans="9:10">
      <c r="I715" t="s">
        <v>9221</v>
      </c>
      <c r="J715" t="s">
        <v>9222</v>
      </c>
    </row>
    <row r="716" spans="9:10">
      <c r="I716" t="s">
        <v>9223</v>
      </c>
      <c r="J716" t="s">
        <v>9224</v>
      </c>
    </row>
    <row r="717" spans="9:10">
      <c r="I717" t="s">
        <v>9225</v>
      </c>
      <c r="J717" t="s">
        <v>9226</v>
      </c>
    </row>
    <row r="718" spans="9:10">
      <c r="I718" t="s">
        <v>9227</v>
      </c>
      <c r="J718" t="s">
        <v>9228</v>
      </c>
    </row>
    <row r="719" spans="9:10">
      <c r="I719" t="s">
        <v>9229</v>
      </c>
      <c r="J719" t="s">
        <v>8245</v>
      </c>
    </row>
    <row r="720" spans="9:10">
      <c r="I720" t="s">
        <v>9230</v>
      </c>
      <c r="J720" t="s">
        <v>8247</v>
      </c>
    </row>
    <row r="721" spans="9:10">
      <c r="I721" t="s">
        <v>9231</v>
      </c>
      <c r="J721" t="s">
        <v>8302</v>
      </c>
    </row>
    <row r="722" spans="9:10">
      <c r="I722" t="s">
        <v>9232</v>
      </c>
      <c r="J722" t="s">
        <v>9233</v>
      </c>
    </row>
    <row r="723" spans="9:10">
      <c r="I723" t="s">
        <v>9234</v>
      </c>
      <c r="J723" t="s">
        <v>9235</v>
      </c>
    </row>
    <row r="724" spans="9:10">
      <c r="I724" t="s">
        <v>9236</v>
      </c>
      <c r="J724" t="s">
        <v>8308</v>
      </c>
    </row>
    <row r="725" spans="9:10">
      <c r="I725" t="s">
        <v>9237</v>
      </c>
      <c r="J725" t="s">
        <v>8310</v>
      </c>
    </row>
    <row r="726" spans="9:10">
      <c r="I726" t="s">
        <v>9238</v>
      </c>
      <c r="J726" t="s">
        <v>8312</v>
      </c>
    </row>
    <row r="727" spans="9:10">
      <c r="I727" t="s">
        <v>9239</v>
      </c>
      <c r="J727" t="s">
        <v>8314</v>
      </c>
    </row>
    <row r="728" spans="9:10">
      <c r="I728" t="s">
        <v>9240</v>
      </c>
      <c r="J728" t="s">
        <v>9241</v>
      </c>
    </row>
    <row r="729" spans="9:10">
      <c r="I729" t="s">
        <v>9242</v>
      </c>
      <c r="J729" t="s">
        <v>9243</v>
      </c>
    </row>
    <row r="730" spans="9:10">
      <c r="I730" t="s">
        <v>9244</v>
      </c>
      <c r="J730" t="s">
        <v>9245</v>
      </c>
    </row>
    <row r="731" spans="9:10">
      <c r="I731" t="s">
        <v>9246</v>
      </c>
      <c r="J731" t="s">
        <v>9247</v>
      </c>
    </row>
    <row r="732" spans="9:10">
      <c r="I732" t="s">
        <v>9248</v>
      </c>
      <c r="J732" t="s">
        <v>7977</v>
      </c>
    </row>
    <row r="733" spans="9:10">
      <c r="I733" t="s">
        <v>9249</v>
      </c>
      <c r="J733" t="s">
        <v>9250</v>
      </c>
    </row>
    <row r="734" spans="9:10">
      <c r="I734" t="s">
        <v>9251</v>
      </c>
      <c r="J734" t="s">
        <v>9252</v>
      </c>
    </row>
    <row r="735" spans="9:10">
      <c r="I735" t="s">
        <v>9253</v>
      </c>
      <c r="J735" t="s">
        <v>7981</v>
      </c>
    </row>
    <row r="736" spans="9:10">
      <c r="I736" t="s">
        <v>9254</v>
      </c>
      <c r="J736" t="s">
        <v>9255</v>
      </c>
    </row>
    <row r="737" spans="9:10">
      <c r="I737" t="s">
        <v>9256</v>
      </c>
      <c r="J737" t="s">
        <v>9257</v>
      </c>
    </row>
    <row r="738" spans="9:10">
      <c r="I738" t="s">
        <v>9258</v>
      </c>
      <c r="J738" t="s">
        <v>9259</v>
      </c>
    </row>
    <row r="739" spans="9:10">
      <c r="I739" t="s">
        <v>9260</v>
      </c>
      <c r="J739" t="s">
        <v>9261</v>
      </c>
    </row>
    <row r="740" spans="9:10">
      <c r="I740" t="s">
        <v>9262</v>
      </c>
      <c r="J740" t="s">
        <v>9263</v>
      </c>
    </row>
    <row r="741" spans="9:10">
      <c r="I741" t="s">
        <v>9264</v>
      </c>
      <c r="J741" t="s">
        <v>9265</v>
      </c>
    </row>
    <row r="742" spans="9:10">
      <c r="I742" t="s">
        <v>9266</v>
      </c>
      <c r="J742" t="s">
        <v>9267</v>
      </c>
    </row>
    <row r="743" spans="9:10">
      <c r="I743" t="s">
        <v>9268</v>
      </c>
      <c r="J743" t="s">
        <v>9269</v>
      </c>
    </row>
    <row r="744" spans="9:10">
      <c r="I744" t="s">
        <v>9270</v>
      </c>
      <c r="J744" t="s">
        <v>9271</v>
      </c>
    </row>
    <row r="745" spans="9:10">
      <c r="I745" t="s">
        <v>9272</v>
      </c>
      <c r="J745" t="s">
        <v>8322</v>
      </c>
    </row>
    <row r="746" spans="9:10">
      <c r="I746" t="s">
        <v>9273</v>
      </c>
      <c r="J746" t="s">
        <v>9274</v>
      </c>
    </row>
    <row r="747" spans="9:10">
      <c r="I747" t="s">
        <v>9275</v>
      </c>
      <c r="J747" t="s">
        <v>9276</v>
      </c>
    </row>
    <row r="748" spans="9:10">
      <c r="I748" t="s">
        <v>9277</v>
      </c>
      <c r="J748" t="s">
        <v>9278</v>
      </c>
    </row>
    <row r="749" spans="9:10">
      <c r="I749" t="s">
        <v>9279</v>
      </c>
      <c r="J749" t="s">
        <v>9280</v>
      </c>
    </row>
    <row r="750" spans="9:10">
      <c r="I750" t="s">
        <v>9281</v>
      </c>
      <c r="J750" t="s">
        <v>9282</v>
      </c>
    </row>
    <row r="751" spans="9:10">
      <c r="I751" t="s">
        <v>9283</v>
      </c>
      <c r="J751" t="s">
        <v>8980</v>
      </c>
    </row>
    <row r="752" spans="9:10">
      <c r="I752" t="s">
        <v>9284</v>
      </c>
      <c r="J752" t="s">
        <v>8245</v>
      </c>
    </row>
    <row r="753" spans="9:10">
      <c r="I753" t="s">
        <v>9285</v>
      </c>
      <c r="J753" t="s">
        <v>8247</v>
      </c>
    </row>
    <row r="754" spans="9:10">
      <c r="I754" t="s">
        <v>9286</v>
      </c>
      <c r="J754" t="s">
        <v>8245</v>
      </c>
    </row>
    <row r="755" spans="9:10">
      <c r="I755" t="s">
        <v>9287</v>
      </c>
      <c r="J755" t="s">
        <v>8247</v>
      </c>
    </row>
    <row r="756" spans="9:10">
      <c r="I756" t="s">
        <v>9288</v>
      </c>
      <c r="J756" t="s">
        <v>7795</v>
      </c>
    </row>
    <row r="757" spans="9:10">
      <c r="I757" t="s">
        <v>9289</v>
      </c>
      <c r="J757" t="s">
        <v>8245</v>
      </c>
    </row>
    <row r="758" spans="9:10">
      <c r="I758" t="s">
        <v>9290</v>
      </c>
      <c r="J758" t="s">
        <v>8247</v>
      </c>
    </row>
    <row r="759" spans="9:10">
      <c r="I759" t="s">
        <v>9291</v>
      </c>
      <c r="J759" t="s">
        <v>9292</v>
      </c>
    </row>
    <row r="760" spans="9:10">
      <c r="I760" t="s">
        <v>9293</v>
      </c>
      <c r="J760" t="s">
        <v>9294</v>
      </c>
    </row>
    <row r="761" spans="9:10">
      <c r="I761" t="s">
        <v>9295</v>
      </c>
      <c r="J761" t="s">
        <v>9296</v>
      </c>
    </row>
    <row r="762" spans="9:10">
      <c r="I762" t="s">
        <v>9297</v>
      </c>
      <c r="J762" t="s">
        <v>9298</v>
      </c>
    </row>
    <row r="763" spans="9:10">
      <c r="I763" t="s">
        <v>9299</v>
      </c>
      <c r="J763" t="s">
        <v>9300</v>
      </c>
    </row>
    <row r="764" spans="9:10">
      <c r="I764" t="s">
        <v>9301</v>
      </c>
      <c r="J764" t="s">
        <v>9302</v>
      </c>
    </row>
    <row r="765" spans="9:10">
      <c r="I765" t="s">
        <v>9303</v>
      </c>
      <c r="J765" t="s">
        <v>9304</v>
      </c>
    </row>
    <row r="766" spans="9:10">
      <c r="I766" t="s">
        <v>9305</v>
      </c>
      <c r="J766" t="s">
        <v>9306</v>
      </c>
    </row>
    <row r="767" spans="9:10">
      <c r="I767" t="s">
        <v>9307</v>
      </c>
      <c r="J767" t="s">
        <v>9308</v>
      </c>
    </row>
    <row r="768" spans="9:10">
      <c r="I768" t="s">
        <v>9309</v>
      </c>
      <c r="J768" t="s">
        <v>9310</v>
      </c>
    </row>
    <row r="769" spans="9:10">
      <c r="I769" t="s">
        <v>9311</v>
      </c>
      <c r="J769" t="s">
        <v>9312</v>
      </c>
    </row>
    <row r="770" spans="9:10">
      <c r="I770" t="s">
        <v>9313</v>
      </c>
      <c r="J770" t="s">
        <v>8245</v>
      </c>
    </row>
    <row r="771" spans="9:10">
      <c r="I771" t="s">
        <v>9314</v>
      </c>
      <c r="J771" t="s">
        <v>8247</v>
      </c>
    </row>
    <row r="772" spans="9:10">
      <c r="I772" t="s">
        <v>9315</v>
      </c>
      <c r="J772" t="s">
        <v>9316</v>
      </c>
    </row>
    <row r="773" spans="9:10">
      <c r="I773" t="s">
        <v>9317</v>
      </c>
      <c r="J773" t="s">
        <v>9318</v>
      </c>
    </row>
    <row r="774" spans="9:10">
      <c r="I774" t="s">
        <v>9319</v>
      </c>
      <c r="J774" t="s">
        <v>9320</v>
      </c>
    </row>
    <row r="775" spans="9:10">
      <c r="I775" t="s">
        <v>9321</v>
      </c>
      <c r="J775" t="s">
        <v>9322</v>
      </c>
    </row>
    <row r="776" spans="9:10">
      <c r="I776" t="s">
        <v>9323</v>
      </c>
      <c r="J776" t="s">
        <v>9324</v>
      </c>
    </row>
    <row r="777" spans="9:10">
      <c r="I777" t="s">
        <v>9325</v>
      </c>
      <c r="J777" t="s">
        <v>9326</v>
      </c>
    </row>
    <row r="778" spans="9:10">
      <c r="I778" t="s">
        <v>9327</v>
      </c>
      <c r="J778" t="s">
        <v>9328</v>
      </c>
    </row>
    <row r="779" spans="9:10">
      <c r="I779" t="s">
        <v>9329</v>
      </c>
      <c r="J779" t="s">
        <v>9330</v>
      </c>
    </row>
    <row r="780" spans="9:10">
      <c r="I780" t="s">
        <v>9331</v>
      </c>
      <c r="J780" t="s">
        <v>9332</v>
      </c>
    </row>
    <row r="781" spans="9:10">
      <c r="I781" t="s">
        <v>9333</v>
      </c>
      <c r="J781" t="s">
        <v>9334</v>
      </c>
    </row>
    <row r="782" spans="9:10">
      <c r="I782" t="s">
        <v>9335</v>
      </c>
      <c r="J782" t="s">
        <v>9336</v>
      </c>
    </row>
    <row r="783" spans="9:10">
      <c r="I783" t="s">
        <v>9337</v>
      </c>
      <c r="J783" t="s">
        <v>9338</v>
      </c>
    </row>
    <row r="784" spans="9:10">
      <c r="I784" t="s">
        <v>9339</v>
      </c>
      <c r="J784" t="s">
        <v>9340</v>
      </c>
    </row>
    <row r="785" spans="9:10">
      <c r="I785" t="s">
        <v>9341</v>
      </c>
      <c r="J785" t="s">
        <v>9342</v>
      </c>
    </row>
    <row r="786" spans="9:10">
      <c r="I786" t="s">
        <v>9343</v>
      </c>
      <c r="J786" t="s">
        <v>9344</v>
      </c>
    </row>
    <row r="787" spans="9:10">
      <c r="I787" t="s">
        <v>9345</v>
      </c>
      <c r="J787" t="s">
        <v>9346</v>
      </c>
    </row>
    <row r="788" spans="9:10">
      <c r="I788" t="s">
        <v>9347</v>
      </c>
      <c r="J788" t="s">
        <v>9348</v>
      </c>
    </row>
    <row r="789" spans="9:10">
      <c r="I789" t="s">
        <v>9349</v>
      </c>
      <c r="J789" t="s">
        <v>9350</v>
      </c>
    </row>
    <row r="790" spans="9:10">
      <c r="I790" t="s">
        <v>9351</v>
      </c>
      <c r="J790" t="s">
        <v>9352</v>
      </c>
    </row>
    <row r="791" spans="9:10">
      <c r="I791" t="s">
        <v>9353</v>
      </c>
      <c r="J791" t="s">
        <v>9354</v>
      </c>
    </row>
    <row r="792" spans="9:10">
      <c r="I792" t="s">
        <v>9355</v>
      </c>
      <c r="J792" t="s">
        <v>9356</v>
      </c>
    </row>
    <row r="793" spans="9:10">
      <c r="I793" t="s">
        <v>9357</v>
      </c>
      <c r="J793" t="s">
        <v>9358</v>
      </c>
    </row>
    <row r="794" spans="9:10">
      <c r="I794" t="s">
        <v>9359</v>
      </c>
      <c r="J794" t="s">
        <v>9360</v>
      </c>
    </row>
    <row r="795" spans="9:10">
      <c r="I795" t="s">
        <v>9361</v>
      </c>
      <c r="J795" t="s">
        <v>9362</v>
      </c>
    </row>
    <row r="796" spans="9:10">
      <c r="I796" t="s">
        <v>9363</v>
      </c>
      <c r="J796" t="s">
        <v>9364</v>
      </c>
    </row>
    <row r="797" spans="9:10">
      <c r="I797" t="s">
        <v>9365</v>
      </c>
      <c r="J797" t="s">
        <v>9366</v>
      </c>
    </row>
    <row r="798" spans="9:10">
      <c r="I798" t="s">
        <v>9367</v>
      </c>
      <c r="J798" t="s">
        <v>9368</v>
      </c>
    </row>
    <row r="799" spans="9:10">
      <c r="I799" t="s">
        <v>9369</v>
      </c>
      <c r="J799" t="s">
        <v>9370</v>
      </c>
    </row>
    <row r="800" spans="9:10">
      <c r="I800" t="s">
        <v>9371</v>
      </c>
      <c r="J800" t="s">
        <v>9372</v>
      </c>
    </row>
    <row r="801" spans="9:10">
      <c r="I801" t="s">
        <v>9373</v>
      </c>
      <c r="J801" t="s">
        <v>9374</v>
      </c>
    </row>
    <row r="802" spans="9:10">
      <c r="I802" t="s">
        <v>9375</v>
      </c>
      <c r="J802" t="s">
        <v>9376</v>
      </c>
    </row>
    <row r="803" spans="9:10">
      <c r="I803" t="s">
        <v>9377</v>
      </c>
      <c r="J803" t="s">
        <v>9378</v>
      </c>
    </row>
    <row r="804" spans="9:10">
      <c r="I804" t="s">
        <v>9379</v>
      </c>
      <c r="J804" t="s">
        <v>9380</v>
      </c>
    </row>
    <row r="805" spans="9:10">
      <c r="I805" t="s">
        <v>9381</v>
      </c>
      <c r="J805" t="s">
        <v>9382</v>
      </c>
    </row>
    <row r="806" spans="9:10">
      <c r="I806" t="s">
        <v>9383</v>
      </c>
      <c r="J806" t="s">
        <v>9384</v>
      </c>
    </row>
    <row r="807" spans="9:10">
      <c r="I807" t="s">
        <v>9385</v>
      </c>
      <c r="J807" t="s">
        <v>9386</v>
      </c>
    </row>
    <row r="808" spans="9:10">
      <c r="I808" t="s">
        <v>9387</v>
      </c>
      <c r="J808" t="s">
        <v>9388</v>
      </c>
    </row>
    <row r="809" spans="9:10">
      <c r="I809" t="s">
        <v>9389</v>
      </c>
      <c r="J809" t="s">
        <v>9390</v>
      </c>
    </row>
    <row r="810" spans="9:10">
      <c r="I810" t="s">
        <v>9391</v>
      </c>
      <c r="J810" t="s">
        <v>9392</v>
      </c>
    </row>
    <row r="811" spans="9:10">
      <c r="I811" t="s">
        <v>9393</v>
      </c>
      <c r="J811" t="s">
        <v>9394</v>
      </c>
    </row>
    <row r="812" spans="9:10">
      <c r="I812" t="s">
        <v>9395</v>
      </c>
      <c r="J812" t="s">
        <v>9396</v>
      </c>
    </row>
    <row r="813" spans="9:10">
      <c r="I813" t="s">
        <v>9397</v>
      </c>
      <c r="J813" t="s">
        <v>9398</v>
      </c>
    </row>
    <row r="814" spans="9:10">
      <c r="I814" t="s">
        <v>9399</v>
      </c>
      <c r="J814" t="s">
        <v>9400</v>
      </c>
    </row>
    <row r="815" spans="9:10">
      <c r="I815" t="s">
        <v>9401</v>
      </c>
      <c r="J815" t="s">
        <v>9402</v>
      </c>
    </row>
    <row r="816" spans="9:10">
      <c r="I816" t="s">
        <v>9403</v>
      </c>
      <c r="J816" t="s">
        <v>9404</v>
      </c>
    </row>
    <row r="817" spans="9:10">
      <c r="I817" t="s">
        <v>9405</v>
      </c>
      <c r="J817" t="s">
        <v>9406</v>
      </c>
    </row>
    <row r="818" spans="9:10">
      <c r="I818" t="s">
        <v>9407</v>
      </c>
      <c r="J818" t="s">
        <v>9408</v>
      </c>
    </row>
    <row r="819" spans="9:10">
      <c r="I819" t="s">
        <v>9409</v>
      </c>
      <c r="J819" t="s">
        <v>9410</v>
      </c>
    </row>
    <row r="820" spans="9:10">
      <c r="I820" t="s">
        <v>9411</v>
      </c>
      <c r="J820" t="s">
        <v>9412</v>
      </c>
    </row>
    <row r="821" spans="9:10">
      <c r="I821" t="s">
        <v>9413</v>
      </c>
      <c r="J821" t="s">
        <v>9414</v>
      </c>
    </row>
    <row r="822" spans="9:10">
      <c r="I822" t="s">
        <v>9415</v>
      </c>
      <c r="J822" t="s">
        <v>9416</v>
      </c>
    </row>
    <row r="823" spans="9:10">
      <c r="I823" t="s">
        <v>9417</v>
      </c>
      <c r="J823" t="s">
        <v>9418</v>
      </c>
    </row>
    <row r="824" spans="9:10">
      <c r="I824" t="s">
        <v>9419</v>
      </c>
      <c r="J824" t="s">
        <v>9420</v>
      </c>
    </row>
    <row r="825" spans="9:10">
      <c r="I825" t="s">
        <v>9421</v>
      </c>
      <c r="J825" t="s">
        <v>9422</v>
      </c>
    </row>
    <row r="826" spans="9:10">
      <c r="I826" t="s">
        <v>9423</v>
      </c>
      <c r="J826" t="s">
        <v>9424</v>
      </c>
    </row>
    <row r="827" spans="9:10">
      <c r="I827" t="s">
        <v>9425</v>
      </c>
      <c r="J827" t="s">
        <v>9426</v>
      </c>
    </row>
    <row r="828" spans="9:10">
      <c r="I828" t="s">
        <v>9427</v>
      </c>
      <c r="J828" t="s">
        <v>9428</v>
      </c>
    </row>
    <row r="829" spans="9:10">
      <c r="I829" t="s">
        <v>9429</v>
      </c>
      <c r="J829" t="s">
        <v>9430</v>
      </c>
    </row>
    <row r="830" spans="9:10">
      <c r="I830" t="s">
        <v>9431</v>
      </c>
      <c r="J830" t="s">
        <v>9432</v>
      </c>
    </row>
    <row r="831" spans="9:10">
      <c r="I831" t="s">
        <v>9433</v>
      </c>
      <c r="J831" t="s">
        <v>9434</v>
      </c>
    </row>
    <row r="832" spans="9:10">
      <c r="I832" t="s">
        <v>9435</v>
      </c>
      <c r="J832" t="s">
        <v>9436</v>
      </c>
    </row>
    <row r="833" spans="9:10">
      <c r="I833" t="s">
        <v>9437</v>
      </c>
      <c r="J833" t="s">
        <v>9438</v>
      </c>
    </row>
    <row r="834" spans="9:10">
      <c r="I834" t="s">
        <v>9439</v>
      </c>
      <c r="J834" t="s">
        <v>9440</v>
      </c>
    </row>
    <row r="835" spans="9:10">
      <c r="I835" t="s">
        <v>9441</v>
      </c>
      <c r="J835" t="s">
        <v>9442</v>
      </c>
    </row>
    <row r="836" spans="9:10">
      <c r="I836" t="s">
        <v>9443</v>
      </c>
      <c r="J836" t="s">
        <v>9444</v>
      </c>
    </row>
    <row r="837" spans="9:10">
      <c r="I837" t="s">
        <v>9445</v>
      </c>
      <c r="J837" t="s">
        <v>9446</v>
      </c>
    </row>
    <row r="838" spans="9:10">
      <c r="I838" t="s">
        <v>9447</v>
      </c>
      <c r="J838" t="s">
        <v>9448</v>
      </c>
    </row>
    <row r="839" spans="9:10">
      <c r="I839" t="s">
        <v>9449</v>
      </c>
      <c r="J839" t="s">
        <v>9450</v>
      </c>
    </row>
    <row r="840" spans="9:10">
      <c r="I840" t="s">
        <v>9451</v>
      </c>
      <c r="J840" t="s">
        <v>9452</v>
      </c>
    </row>
    <row r="841" spans="9:10">
      <c r="I841" t="s">
        <v>9453</v>
      </c>
      <c r="J841" t="s">
        <v>9454</v>
      </c>
    </row>
    <row r="842" spans="9:10">
      <c r="I842" t="s">
        <v>9455</v>
      </c>
      <c r="J842" t="s">
        <v>9456</v>
      </c>
    </row>
    <row r="843" spans="9:10">
      <c r="I843" t="s">
        <v>9457</v>
      </c>
      <c r="J843" t="s">
        <v>9458</v>
      </c>
    </row>
    <row r="844" spans="9:10">
      <c r="I844" t="s">
        <v>9459</v>
      </c>
      <c r="J844" t="s">
        <v>9460</v>
      </c>
    </row>
    <row r="845" spans="9:10">
      <c r="I845" t="s">
        <v>9461</v>
      </c>
      <c r="J845" t="s">
        <v>9462</v>
      </c>
    </row>
    <row r="846" spans="9:10">
      <c r="I846" t="s">
        <v>9463</v>
      </c>
      <c r="J846" t="s">
        <v>9464</v>
      </c>
    </row>
    <row r="847" spans="9:10">
      <c r="I847" t="s">
        <v>9465</v>
      </c>
      <c r="J847" t="s">
        <v>9466</v>
      </c>
    </row>
    <row r="848" spans="9:10">
      <c r="I848" t="s">
        <v>9467</v>
      </c>
      <c r="J848" t="s">
        <v>9468</v>
      </c>
    </row>
    <row r="849" spans="9:10">
      <c r="I849" t="s">
        <v>9469</v>
      </c>
      <c r="J849" t="s">
        <v>9470</v>
      </c>
    </row>
    <row r="850" spans="9:10">
      <c r="I850" t="s">
        <v>9471</v>
      </c>
      <c r="J850" t="s">
        <v>9472</v>
      </c>
    </row>
    <row r="851" spans="9:10">
      <c r="I851" t="s">
        <v>9473</v>
      </c>
      <c r="J851" t="s">
        <v>9474</v>
      </c>
    </row>
    <row r="852" spans="9:10">
      <c r="I852" t="s">
        <v>9475</v>
      </c>
      <c r="J852" t="s">
        <v>9476</v>
      </c>
    </row>
    <row r="853" spans="9:10">
      <c r="I853" t="s">
        <v>9477</v>
      </c>
      <c r="J853" t="s">
        <v>8245</v>
      </c>
    </row>
    <row r="854" spans="9:10">
      <c r="I854" t="s">
        <v>9478</v>
      </c>
      <c r="J854" t="s">
        <v>8247</v>
      </c>
    </row>
    <row r="855" spans="9:10">
      <c r="I855" t="s">
        <v>9479</v>
      </c>
      <c r="J855" t="s">
        <v>9480</v>
      </c>
    </row>
    <row r="856" spans="9:10">
      <c r="I856" t="s">
        <v>9481</v>
      </c>
      <c r="J856" t="s">
        <v>9482</v>
      </c>
    </row>
    <row r="857" spans="9:10">
      <c r="I857" t="s">
        <v>9483</v>
      </c>
      <c r="J857" t="s">
        <v>8245</v>
      </c>
    </row>
    <row r="858" spans="9:10">
      <c r="I858" t="s">
        <v>9484</v>
      </c>
      <c r="J858" t="s">
        <v>8247</v>
      </c>
    </row>
    <row r="859" spans="9:10">
      <c r="I859" t="s">
        <v>9485</v>
      </c>
      <c r="J859" t="s">
        <v>9486</v>
      </c>
    </row>
    <row r="860" spans="9:10">
      <c r="I860" t="s">
        <v>9487</v>
      </c>
      <c r="J860" t="s">
        <v>8245</v>
      </c>
    </row>
    <row r="861" spans="9:10">
      <c r="I861" t="s">
        <v>9488</v>
      </c>
      <c r="J861" t="s">
        <v>8247</v>
      </c>
    </row>
    <row r="862" spans="9:10">
      <c r="I862" t="s">
        <v>9489</v>
      </c>
      <c r="J862" t="s">
        <v>9490</v>
      </c>
    </row>
    <row r="863" spans="9:10">
      <c r="I863" t="s">
        <v>9491</v>
      </c>
      <c r="J863" t="s">
        <v>9492</v>
      </c>
    </row>
    <row r="864" spans="9:10">
      <c r="I864" t="s">
        <v>9493</v>
      </c>
      <c r="J864" t="s">
        <v>9494</v>
      </c>
    </row>
    <row r="865" spans="9:10">
      <c r="I865" t="s">
        <v>9495</v>
      </c>
      <c r="J865" t="s">
        <v>9496</v>
      </c>
    </row>
    <row r="866" spans="9:10">
      <c r="I866" t="s">
        <v>9497</v>
      </c>
      <c r="J866" t="s">
        <v>9498</v>
      </c>
    </row>
    <row r="867" spans="9:10">
      <c r="I867" t="s">
        <v>9499</v>
      </c>
      <c r="J867" t="s">
        <v>9500</v>
      </c>
    </row>
    <row r="868" spans="9:10">
      <c r="I868" t="s">
        <v>9501</v>
      </c>
      <c r="J868" t="s">
        <v>9502</v>
      </c>
    </row>
    <row r="869" spans="9:10">
      <c r="I869" t="s">
        <v>9503</v>
      </c>
      <c r="J869" t="s">
        <v>9504</v>
      </c>
    </row>
    <row r="870" spans="9:10">
      <c r="I870" t="s">
        <v>9505</v>
      </c>
      <c r="J870" t="s">
        <v>9506</v>
      </c>
    </row>
    <row r="871" spans="9:10">
      <c r="I871" t="s">
        <v>9507</v>
      </c>
      <c r="J871" t="s">
        <v>9508</v>
      </c>
    </row>
    <row r="872" spans="9:10">
      <c r="I872" t="s">
        <v>9509</v>
      </c>
      <c r="J872" t="s">
        <v>9510</v>
      </c>
    </row>
    <row r="873" spans="9:10">
      <c r="I873" t="s">
        <v>9511</v>
      </c>
      <c r="J873" t="s">
        <v>9512</v>
      </c>
    </row>
    <row r="874" spans="9:10">
      <c r="I874" t="s">
        <v>9513</v>
      </c>
      <c r="J874" t="s">
        <v>9514</v>
      </c>
    </row>
    <row r="875" spans="9:10">
      <c r="I875" t="s">
        <v>9515</v>
      </c>
      <c r="J875" t="s">
        <v>9516</v>
      </c>
    </row>
    <row r="876" spans="9:10">
      <c r="I876" t="s">
        <v>9517</v>
      </c>
      <c r="J876" t="s">
        <v>9518</v>
      </c>
    </row>
    <row r="877" spans="9:10">
      <c r="I877" t="s">
        <v>9519</v>
      </c>
      <c r="J877" t="s">
        <v>9520</v>
      </c>
    </row>
    <row r="878" spans="9:10">
      <c r="I878" t="s">
        <v>9521</v>
      </c>
      <c r="J878" t="s">
        <v>9522</v>
      </c>
    </row>
    <row r="879" spans="9:10">
      <c r="I879" t="s">
        <v>9523</v>
      </c>
      <c r="J879" t="s">
        <v>9524</v>
      </c>
    </row>
    <row r="880" spans="9:10">
      <c r="I880" t="s">
        <v>9525</v>
      </c>
      <c r="J880" t="s">
        <v>9526</v>
      </c>
    </row>
    <row r="881" spans="9:10">
      <c r="I881" t="s">
        <v>9527</v>
      </c>
      <c r="J881" t="s">
        <v>9528</v>
      </c>
    </row>
    <row r="882" spans="9:10">
      <c r="I882" t="s">
        <v>9529</v>
      </c>
      <c r="J882" t="s">
        <v>9530</v>
      </c>
    </row>
    <row r="883" spans="9:10">
      <c r="I883" t="s">
        <v>9531</v>
      </c>
      <c r="J883" t="s">
        <v>9532</v>
      </c>
    </row>
    <row r="884" spans="9:10">
      <c r="I884" t="s">
        <v>9533</v>
      </c>
      <c r="J884" t="s">
        <v>9534</v>
      </c>
    </row>
    <row r="885" spans="9:10">
      <c r="I885" t="s">
        <v>9535</v>
      </c>
      <c r="J885" t="s">
        <v>9536</v>
      </c>
    </row>
    <row r="886" spans="9:10">
      <c r="I886" t="s">
        <v>9537</v>
      </c>
      <c r="J886" t="s">
        <v>9538</v>
      </c>
    </row>
    <row r="887" spans="9:10">
      <c r="I887" t="s">
        <v>9539</v>
      </c>
      <c r="J887" t="s">
        <v>9540</v>
      </c>
    </row>
    <row r="888" spans="9:10">
      <c r="I888" t="s">
        <v>9541</v>
      </c>
      <c r="J888" t="s">
        <v>9542</v>
      </c>
    </row>
    <row r="889" spans="9:10">
      <c r="I889" t="s">
        <v>9543</v>
      </c>
      <c r="J889" t="s">
        <v>9544</v>
      </c>
    </row>
    <row r="890" spans="9:10">
      <c r="I890" t="s">
        <v>9545</v>
      </c>
      <c r="J890" t="s">
        <v>9546</v>
      </c>
    </row>
    <row r="891" spans="9:10">
      <c r="I891" t="s">
        <v>9547</v>
      </c>
      <c r="J891" t="s">
        <v>9548</v>
      </c>
    </row>
    <row r="892" spans="9:10">
      <c r="I892" t="s">
        <v>9549</v>
      </c>
      <c r="J892" t="s">
        <v>9550</v>
      </c>
    </row>
    <row r="893" spans="9:10">
      <c r="I893" t="s">
        <v>9551</v>
      </c>
      <c r="J893" t="s">
        <v>9552</v>
      </c>
    </row>
    <row r="894" spans="9:10">
      <c r="I894" t="s">
        <v>9553</v>
      </c>
      <c r="J894" t="s">
        <v>9554</v>
      </c>
    </row>
    <row r="895" spans="9:10">
      <c r="I895" t="s">
        <v>9555</v>
      </c>
      <c r="J895" t="s">
        <v>9556</v>
      </c>
    </row>
    <row r="896" spans="9:10">
      <c r="I896" t="s">
        <v>9557</v>
      </c>
      <c r="J896" t="s">
        <v>9558</v>
      </c>
    </row>
    <row r="897" spans="9:10">
      <c r="I897" t="s">
        <v>9559</v>
      </c>
      <c r="J897" t="s">
        <v>9560</v>
      </c>
    </row>
    <row r="898" spans="9:10">
      <c r="I898" t="s">
        <v>9561</v>
      </c>
      <c r="J898" t="s">
        <v>9562</v>
      </c>
    </row>
    <row r="899" spans="9:10">
      <c r="I899" t="s">
        <v>9563</v>
      </c>
      <c r="J899" t="s">
        <v>9564</v>
      </c>
    </row>
    <row r="900" spans="9:10">
      <c r="I900" t="s">
        <v>9565</v>
      </c>
      <c r="J900" t="s">
        <v>9566</v>
      </c>
    </row>
    <row r="901" spans="9:10">
      <c r="I901" t="s">
        <v>9567</v>
      </c>
      <c r="J901" t="s">
        <v>9568</v>
      </c>
    </row>
    <row r="902" spans="9:10">
      <c r="I902" t="s">
        <v>9569</v>
      </c>
      <c r="J902" t="s">
        <v>9570</v>
      </c>
    </row>
    <row r="903" spans="9:10">
      <c r="I903" t="s">
        <v>9571</v>
      </c>
      <c r="J903" t="s">
        <v>9572</v>
      </c>
    </row>
    <row r="904" spans="9:10">
      <c r="I904" t="s">
        <v>9573</v>
      </c>
      <c r="J904" t="s">
        <v>9574</v>
      </c>
    </row>
    <row r="905" spans="9:10">
      <c r="I905" t="s">
        <v>9575</v>
      </c>
      <c r="J905" t="s">
        <v>9576</v>
      </c>
    </row>
    <row r="906" spans="9:10">
      <c r="I906" t="s">
        <v>9577</v>
      </c>
      <c r="J906" t="s">
        <v>9578</v>
      </c>
    </row>
    <row r="907" spans="9:10">
      <c r="I907" t="s">
        <v>9579</v>
      </c>
      <c r="J907" t="s">
        <v>9580</v>
      </c>
    </row>
    <row r="908" spans="9:10">
      <c r="I908" t="s">
        <v>9581</v>
      </c>
      <c r="J908" t="s">
        <v>9582</v>
      </c>
    </row>
    <row r="909" spans="9:10">
      <c r="I909" t="s">
        <v>7758</v>
      </c>
      <c r="J909" t="s">
        <v>9583</v>
      </c>
    </row>
    <row r="910" spans="9:10">
      <c r="I910" t="s">
        <v>9584</v>
      </c>
      <c r="J910" t="s">
        <v>9585</v>
      </c>
    </row>
    <row r="911" spans="9:10">
      <c r="I911" t="s">
        <v>9586</v>
      </c>
      <c r="J911" t="s">
        <v>9587</v>
      </c>
    </row>
    <row r="912" spans="9:10">
      <c r="I912" t="s">
        <v>9588</v>
      </c>
      <c r="J912" t="s">
        <v>9589</v>
      </c>
    </row>
    <row r="913" spans="9:10">
      <c r="I913" t="s">
        <v>9590</v>
      </c>
      <c r="J913" t="s">
        <v>9591</v>
      </c>
    </row>
    <row r="914" spans="9:10">
      <c r="I914" t="s">
        <v>9592</v>
      </c>
      <c r="J914" t="s">
        <v>9593</v>
      </c>
    </row>
    <row r="915" spans="9:10">
      <c r="I915" t="s">
        <v>9594</v>
      </c>
      <c r="J915" t="s">
        <v>9595</v>
      </c>
    </row>
    <row r="916" spans="9:10">
      <c r="I916" t="s">
        <v>9596</v>
      </c>
      <c r="J916" t="s">
        <v>9597</v>
      </c>
    </row>
    <row r="917" spans="9:10">
      <c r="I917" t="s">
        <v>9598</v>
      </c>
      <c r="J917" t="s">
        <v>9599</v>
      </c>
    </row>
    <row r="918" spans="9:10">
      <c r="I918" t="s">
        <v>9600</v>
      </c>
      <c r="J918" t="s">
        <v>9601</v>
      </c>
    </row>
    <row r="919" spans="9:10">
      <c r="I919" t="s">
        <v>9602</v>
      </c>
      <c r="J919" t="s">
        <v>9603</v>
      </c>
    </row>
    <row r="920" spans="9:10">
      <c r="I920" t="s">
        <v>7762</v>
      </c>
      <c r="J920" t="s">
        <v>9604</v>
      </c>
    </row>
    <row r="921" spans="9:10">
      <c r="I921" t="s">
        <v>9605</v>
      </c>
      <c r="J921" t="s">
        <v>9606</v>
      </c>
    </row>
    <row r="922" spans="9:10">
      <c r="I922" t="s">
        <v>9607</v>
      </c>
      <c r="J922" t="s">
        <v>9608</v>
      </c>
    </row>
    <row r="923" spans="9:10">
      <c r="I923" t="s">
        <v>9609</v>
      </c>
      <c r="J923" t="s">
        <v>9610</v>
      </c>
    </row>
    <row r="924" spans="9:10">
      <c r="I924" t="s">
        <v>9611</v>
      </c>
      <c r="J924" t="s">
        <v>9612</v>
      </c>
    </row>
    <row r="925" spans="9:10">
      <c r="I925" t="s">
        <v>9613</v>
      </c>
      <c r="J925" t="s">
        <v>9614</v>
      </c>
    </row>
    <row r="926" spans="9:10">
      <c r="I926" t="s">
        <v>9615</v>
      </c>
      <c r="J926" t="s">
        <v>9616</v>
      </c>
    </row>
    <row r="927" spans="9:10">
      <c r="I927" t="s">
        <v>9617</v>
      </c>
      <c r="J927" t="s">
        <v>9618</v>
      </c>
    </row>
    <row r="928" spans="9:10">
      <c r="I928" t="s">
        <v>9619</v>
      </c>
      <c r="J928" t="s">
        <v>9620</v>
      </c>
    </row>
    <row r="929" spans="9:10">
      <c r="I929" t="s">
        <v>9621</v>
      </c>
      <c r="J929" t="s">
        <v>9622</v>
      </c>
    </row>
    <row r="930" spans="9:10">
      <c r="I930" t="s">
        <v>9623</v>
      </c>
      <c r="J930" t="s">
        <v>9624</v>
      </c>
    </row>
    <row r="931" spans="9:10">
      <c r="I931" t="s">
        <v>9625</v>
      </c>
      <c r="J931" t="s">
        <v>9626</v>
      </c>
    </row>
    <row r="932" spans="9:10">
      <c r="I932" t="s">
        <v>9627</v>
      </c>
      <c r="J932" t="s">
        <v>9628</v>
      </c>
    </row>
    <row r="933" spans="9:10">
      <c r="I933" t="s">
        <v>9629</v>
      </c>
      <c r="J933" t="s">
        <v>9630</v>
      </c>
    </row>
    <row r="934" spans="9:10">
      <c r="I934" t="s">
        <v>9631</v>
      </c>
      <c r="J934" t="s">
        <v>9632</v>
      </c>
    </row>
    <row r="935" spans="9:10">
      <c r="I935" t="s">
        <v>9633</v>
      </c>
      <c r="J935" t="s">
        <v>9634</v>
      </c>
    </row>
    <row r="936" spans="9:10">
      <c r="I936" t="s">
        <v>9635</v>
      </c>
      <c r="J936" t="s">
        <v>9636</v>
      </c>
    </row>
    <row r="937" spans="9:10">
      <c r="I937" t="s">
        <v>9637</v>
      </c>
      <c r="J937" t="s">
        <v>9638</v>
      </c>
    </row>
    <row r="938" spans="9:10">
      <c r="I938" t="s">
        <v>9639</v>
      </c>
      <c r="J938" t="s">
        <v>9640</v>
      </c>
    </row>
    <row r="939" spans="9:10">
      <c r="I939" t="s">
        <v>9641</v>
      </c>
      <c r="J939" t="s">
        <v>9642</v>
      </c>
    </row>
    <row r="940" spans="9:10">
      <c r="I940" t="s">
        <v>9643</v>
      </c>
      <c r="J940" t="s">
        <v>9644</v>
      </c>
    </row>
    <row r="941" spans="9:10">
      <c r="I941" t="s">
        <v>9645</v>
      </c>
      <c r="J941" t="s">
        <v>9646</v>
      </c>
    </row>
    <row r="942" spans="9:10">
      <c r="I942" t="s">
        <v>9647</v>
      </c>
      <c r="J942" t="s">
        <v>9648</v>
      </c>
    </row>
    <row r="943" spans="9:10">
      <c r="I943" t="s">
        <v>9649</v>
      </c>
      <c r="J943" t="s">
        <v>9650</v>
      </c>
    </row>
    <row r="944" spans="9:10">
      <c r="I944" t="s">
        <v>9651</v>
      </c>
      <c r="J944" t="s">
        <v>9652</v>
      </c>
    </row>
    <row r="945" spans="9:10">
      <c r="I945" t="s">
        <v>9653</v>
      </c>
      <c r="J945" t="s">
        <v>9654</v>
      </c>
    </row>
    <row r="946" spans="9:10">
      <c r="I946" t="s">
        <v>9655</v>
      </c>
      <c r="J946" t="s">
        <v>9656</v>
      </c>
    </row>
    <row r="947" spans="9:10">
      <c r="I947" t="s">
        <v>9657</v>
      </c>
      <c r="J947" t="s">
        <v>9658</v>
      </c>
    </row>
    <row r="948" spans="9:10">
      <c r="I948" t="s">
        <v>9659</v>
      </c>
      <c r="J948" t="s">
        <v>9660</v>
      </c>
    </row>
    <row r="949" spans="9:10">
      <c r="I949" t="s">
        <v>9661</v>
      </c>
      <c r="J949" t="s">
        <v>9662</v>
      </c>
    </row>
    <row r="950" spans="9:10">
      <c r="I950" t="s">
        <v>9663</v>
      </c>
      <c r="J950" t="s">
        <v>9664</v>
      </c>
    </row>
    <row r="951" spans="9:10">
      <c r="I951" t="s">
        <v>9665</v>
      </c>
      <c r="J951" t="s">
        <v>9666</v>
      </c>
    </row>
    <row r="952" spans="9:10">
      <c r="I952" t="s">
        <v>9667</v>
      </c>
      <c r="J952" t="s">
        <v>9668</v>
      </c>
    </row>
    <row r="953" spans="9:10">
      <c r="I953" t="s">
        <v>9669</v>
      </c>
      <c r="J953" t="s">
        <v>9670</v>
      </c>
    </row>
    <row r="954" spans="9:10">
      <c r="I954" t="s">
        <v>7756</v>
      </c>
      <c r="J954" t="s">
        <v>9671</v>
      </c>
    </row>
    <row r="955" spans="9:10">
      <c r="I955" t="s">
        <v>9672</v>
      </c>
      <c r="J955" t="s">
        <v>9673</v>
      </c>
    </row>
    <row r="956" spans="9:10">
      <c r="I956" t="s">
        <v>9674</v>
      </c>
      <c r="J956" t="s">
        <v>9675</v>
      </c>
    </row>
    <row r="957" spans="9:10">
      <c r="I957" t="s">
        <v>7764</v>
      </c>
      <c r="J957" t="s">
        <v>9676</v>
      </c>
    </row>
    <row r="958" spans="9:10">
      <c r="I958" t="s">
        <v>9677</v>
      </c>
      <c r="J958" t="s">
        <v>9678</v>
      </c>
    </row>
    <row r="959" spans="9:10">
      <c r="I959" t="s">
        <v>9679</v>
      </c>
      <c r="J959" t="s">
        <v>9680</v>
      </c>
    </row>
    <row r="960" spans="9:10">
      <c r="I960" t="s">
        <v>9681</v>
      </c>
      <c r="J960" t="s">
        <v>9682</v>
      </c>
    </row>
    <row r="961" spans="9:10">
      <c r="I961" t="s">
        <v>9683</v>
      </c>
      <c r="J961" t="s">
        <v>9684</v>
      </c>
    </row>
    <row r="962" spans="9:10">
      <c r="I962" t="s">
        <v>7760</v>
      </c>
      <c r="J962" t="s">
        <v>9685</v>
      </c>
    </row>
    <row r="963" spans="9:10">
      <c r="I963" t="s">
        <v>9686</v>
      </c>
      <c r="J963" t="s">
        <v>9687</v>
      </c>
    </row>
    <row r="964" spans="9:10">
      <c r="I964" t="s">
        <v>9688</v>
      </c>
      <c r="J964" t="s">
        <v>9689</v>
      </c>
    </row>
    <row r="965" spans="9:10">
      <c r="I965" t="s">
        <v>9690</v>
      </c>
      <c r="J965" t="s">
        <v>9691</v>
      </c>
    </row>
    <row r="966" spans="9:10">
      <c r="I966" t="s">
        <v>9692</v>
      </c>
      <c r="J966" t="s">
        <v>9693</v>
      </c>
    </row>
    <row r="967" spans="9:10">
      <c r="I967" t="s">
        <v>9694</v>
      </c>
      <c r="J967" t="s">
        <v>9695</v>
      </c>
    </row>
    <row r="968" spans="9:10">
      <c r="I968" t="s">
        <v>9696</v>
      </c>
      <c r="J968" t="s">
        <v>9697</v>
      </c>
    </row>
    <row r="969" spans="9:10">
      <c r="I969" t="s">
        <v>9698</v>
      </c>
      <c r="J969" t="s">
        <v>7817</v>
      </c>
    </row>
    <row r="970" spans="9:10">
      <c r="I970" t="s">
        <v>9699</v>
      </c>
      <c r="J970" t="s">
        <v>9700</v>
      </c>
    </row>
    <row r="971" spans="9:10">
      <c r="I971" t="s">
        <v>9701</v>
      </c>
      <c r="J971" t="s">
        <v>9702</v>
      </c>
    </row>
    <row r="972" spans="9:10">
      <c r="I972" t="s">
        <v>9703</v>
      </c>
      <c r="J972" t="s">
        <v>9704</v>
      </c>
    </row>
    <row r="973" spans="9:10">
      <c r="I973" t="s">
        <v>9705</v>
      </c>
      <c r="J973" t="s">
        <v>9706</v>
      </c>
    </row>
    <row r="974" spans="9:10">
      <c r="I974" t="s">
        <v>9707</v>
      </c>
      <c r="J974" t="s">
        <v>9708</v>
      </c>
    </row>
    <row r="975" spans="9:10">
      <c r="I975" t="s">
        <v>9709</v>
      </c>
      <c r="J975" t="s">
        <v>9710</v>
      </c>
    </row>
    <row r="976" spans="9:10">
      <c r="I976" t="s">
        <v>9711</v>
      </c>
      <c r="J976" t="s">
        <v>9712</v>
      </c>
    </row>
    <row r="977" spans="9:10">
      <c r="I977" t="s">
        <v>9713</v>
      </c>
      <c r="J977" t="s">
        <v>9564</v>
      </c>
    </row>
    <row r="978" spans="9:10">
      <c r="I978" t="s">
        <v>9714</v>
      </c>
      <c r="J978" t="s">
        <v>9566</v>
      </c>
    </row>
    <row r="979" spans="9:10">
      <c r="I979" t="s">
        <v>9715</v>
      </c>
      <c r="J979" t="s">
        <v>9568</v>
      </c>
    </row>
    <row r="980" spans="9:10">
      <c r="I980" t="s">
        <v>9716</v>
      </c>
      <c r="J980" t="s">
        <v>9570</v>
      </c>
    </row>
    <row r="981" spans="9:10">
      <c r="I981" t="s">
        <v>9717</v>
      </c>
      <c r="J981" t="s">
        <v>9572</v>
      </c>
    </row>
    <row r="982" spans="9:10">
      <c r="I982" t="s">
        <v>9718</v>
      </c>
      <c r="J982" t="s">
        <v>9574</v>
      </c>
    </row>
    <row r="983" spans="9:10">
      <c r="I983" t="s">
        <v>9719</v>
      </c>
      <c r="J983" t="s">
        <v>9720</v>
      </c>
    </row>
    <row r="984" spans="9:10">
      <c r="I984" t="s">
        <v>9721</v>
      </c>
      <c r="J984" t="s">
        <v>9564</v>
      </c>
    </row>
    <row r="985" spans="9:10">
      <c r="I985" t="s">
        <v>9722</v>
      </c>
      <c r="J985" t="s">
        <v>9566</v>
      </c>
    </row>
    <row r="986" spans="9:10">
      <c r="I986" t="s">
        <v>9723</v>
      </c>
      <c r="J986" t="s">
        <v>9568</v>
      </c>
    </row>
    <row r="987" spans="9:10">
      <c r="I987" t="s">
        <v>9724</v>
      </c>
      <c r="J987" t="s">
        <v>9570</v>
      </c>
    </row>
    <row r="988" spans="9:10">
      <c r="I988" t="s">
        <v>9725</v>
      </c>
      <c r="J988" t="s">
        <v>9572</v>
      </c>
    </row>
    <row r="989" spans="9:10">
      <c r="I989" t="s">
        <v>9726</v>
      </c>
      <c r="J989" t="s">
        <v>9574</v>
      </c>
    </row>
    <row r="990" spans="9:10">
      <c r="I990" t="s">
        <v>9727</v>
      </c>
      <c r="J990" t="s">
        <v>9728</v>
      </c>
    </row>
    <row r="991" spans="9:10">
      <c r="I991" t="s">
        <v>9729</v>
      </c>
      <c r="J991" t="s">
        <v>9730</v>
      </c>
    </row>
    <row r="992" spans="9:10">
      <c r="I992" t="s">
        <v>9731</v>
      </c>
      <c r="J992" t="s">
        <v>9732</v>
      </c>
    </row>
    <row r="993" spans="9:10">
      <c r="I993" t="s">
        <v>9733</v>
      </c>
      <c r="J993" t="s">
        <v>9734</v>
      </c>
    </row>
    <row r="994" spans="9:10">
      <c r="I994" t="s">
        <v>9735</v>
      </c>
      <c r="J994" t="s">
        <v>8245</v>
      </c>
    </row>
    <row r="995" spans="9:10">
      <c r="I995" t="s">
        <v>9736</v>
      </c>
      <c r="J995" t="s">
        <v>8247</v>
      </c>
    </row>
    <row r="996" spans="9:10">
      <c r="I996" t="s">
        <v>9737</v>
      </c>
      <c r="J996" t="s">
        <v>7825</v>
      </c>
    </row>
    <row r="997" spans="9:10">
      <c r="I997" t="s">
        <v>9738</v>
      </c>
      <c r="J997" t="s">
        <v>9739</v>
      </c>
    </row>
    <row r="998" spans="9:10">
      <c r="I998" t="s">
        <v>9740</v>
      </c>
      <c r="J998" t="s">
        <v>9741</v>
      </c>
    </row>
    <row r="999" spans="9:10">
      <c r="I999" t="s">
        <v>9742</v>
      </c>
      <c r="J999" t="s">
        <v>9743</v>
      </c>
    </row>
    <row r="1000" spans="9:10">
      <c r="I1000" t="s">
        <v>9744</v>
      </c>
      <c r="J1000" t="s">
        <v>9745</v>
      </c>
    </row>
    <row r="1001" spans="9:10">
      <c r="I1001" t="s">
        <v>9746</v>
      </c>
      <c r="J1001" t="s">
        <v>9747</v>
      </c>
    </row>
    <row r="1002" spans="9:10">
      <c r="I1002" t="s">
        <v>9748</v>
      </c>
      <c r="J1002" t="s">
        <v>9749</v>
      </c>
    </row>
    <row r="1003" spans="9:10">
      <c r="I1003" t="s">
        <v>9750</v>
      </c>
      <c r="J1003" t="s">
        <v>8245</v>
      </c>
    </row>
    <row r="1004" spans="9:10">
      <c r="I1004" t="s">
        <v>9751</v>
      </c>
      <c r="J1004" t="s">
        <v>8247</v>
      </c>
    </row>
    <row r="1005" spans="9:10">
      <c r="I1005" t="s">
        <v>9752</v>
      </c>
      <c r="J1005" t="s">
        <v>9753</v>
      </c>
    </row>
    <row r="1006" spans="9:10">
      <c r="I1006" t="s">
        <v>9754</v>
      </c>
      <c r="J1006" t="s">
        <v>9755</v>
      </c>
    </row>
    <row r="1007" spans="9:10">
      <c r="I1007" t="s">
        <v>9756</v>
      </c>
      <c r="J1007" t="s">
        <v>9757</v>
      </c>
    </row>
    <row r="1008" spans="9:10">
      <c r="I1008" t="s">
        <v>9758</v>
      </c>
      <c r="J1008" t="s">
        <v>9759</v>
      </c>
    </row>
    <row r="1009" spans="9:10">
      <c r="I1009" t="s">
        <v>9760</v>
      </c>
      <c r="J1009" t="s">
        <v>9761</v>
      </c>
    </row>
    <row r="1010" spans="9:10">
      <c r="I1010" t="s">
        <v>9762</v>
      </c>
      <c r="J1010" t="s">
        <v>9763</v>
      </c>
    </row>
    <row r="1011" spans="9:10">
      <c r="I1011" t="s">
        <v>9764</v>
      </c>
      <c r="J1011" t="s">
        <v>9765</v>
      </c>
    </row>
    <row r="1012" spans="9:10">
      <c r="I1012" t="s">
        <v>9766</v>
      </c>
      <c r="J1012" t="s">
        <v>7833</v>
      </c>
    </row>
    <row r="1013" spans="9:10">
      <c r="I1013" t="s">
        <v>9767</v>
      </c>
      <c r="J1013" t="s">
        <v>8245</v>
      </c>
    </row>
    <row r="1014" spans="9:10">
      <c r="I1014" t="s">
        <v>9768</v>
      </c>
      <c r="J1014" t="s">
        <v>8247</v>
      </c>
    </row>
    <row r="1015" spans="9:10">
      <c r="I1015" t="s">
        <v>9769</v>
      </c>
      <c r="J1015" t="s">
        <v>9770</v>
      </c>
    </row>
    <row r="1016" spans="9:10">
      <c r="I1016" t="s">
        <v>9771</v>
      </c>
      <c r="J1016" t="s">
        <v>9772</v>
      </c>
    </row>
    <row r="1017" spans="9:10">
      <c r="I1017" t="s">
        <v>9773</v>
      </c>
      <c r="J1017" t="s">
        <v>9774</v>
      </c>
    </row>
    <row r="1018" spans="9:10">
      <c r="I1018" t="s">
        <v>9775</v>
      </c>
      <c r="J1018" t="s">
        <v>9776</v>
      </c>
    </row>
    <row r="1019" spans="9:10">
      <c r="I1019" t="s">
        <v>9777</v>
      </c>
      <c r="J1019" t="s">
        <v>9778</v>
      </c>
    </row>
    <row r="1020" spans="9:10">
      <c r="I1020" t="s">
        <v>9779</v>
      </c>
      <c r="J1020" t="s">
        <v>9780</v>
      </c>
    </row>
    <row r="1021" spans="9:10">
      <c r="I1021" t="s">
        <v>9781</v>
      </c>
      <c r="J1021" t="s">
        <v>8245</v>
      </c>
    </row>
    <row r="1022" spans="9:10">
      <c r="I1022" t="s">
        <v>9782</v>
      </c>
      <c r="J1022" t="s">
        <v>9783</v>
      </c>
    </row>
    <row r="1023" spans="9:10">
      <c r="I1023" t="s">
        <v>9784</v>
      </c>
      <c r="J1023" t="s">
        <v>9785</v>
      </c>
    </row>
    <row r="1024" spans="9:10">
      <c r="I1024" t="s">
        <v>9786</v>
      </c>
      <c r="J1024" t="s">
        <v>9787</v>
      </c>
    </row>
    <row r="1025" spans="9:10">
      <c r="I1025" t="s">
        <v>9788</v>
      </c>
      <c r="J1025" t="s">
        <v>9789</v>
      </c>
    </row>
    <row r="1026" spans="9:10">
      <c r="I1026" t="s">
        <v>9790</v>
      </c>
      <c r="J1026" t="s">
        <v>9791</v>
      </c>
    </row>
    <row r="1027" spans="9:10">
      <c r="I1027" t="s">
        <v>9792</v>
      </c>
      <c r="J1027" t="s">
        <v>9793</v>
      </c>
    </row>
    <row r="1028" spans="9:10">
      <c r="I1028" t="s">
        <v>9794</v>
      </c>
      <c r="J1028" t="s">
        <v>8245</v>
      </c>
    </row>
    <row r="1029" spans="9:10">
      <c r="I1029" t="s">
        <v>9795</v>
      </c>
      <c r="J1029" t="s">
        <v>8247</v>
      </c>
    </row>
    <row r="1030" spans="9:10">
      <c r="I1030" t="s">
        <v>9796</v>
      </c>
      <c r="J1030" t="s">
        <v>7839</v>
      </c>
    </row>
    <row r="1031" spans="9:10">
      <c r="I1031" t="s">
        <v>9797</v>
      </c>
      <c r="J1031" t="s">
        <v>8245</v>
      </c>
    </row>
    <row r="1032" spans="9:10">
      <c r="I1032" t="s">
        <v>7768</v>
      </c>
      <c r="J1032" t="s">
        <v>9798</v>
      </c>
    </row>
    <row r="1033" spans="9:10">
      <c r="I1033" t="s">
        <v>9799</v>
      </c>
      <c r="J1033" t="s">
        <v>9800</v>
      </c>
    </row>
    <row r="1034" spans="9:10">
      <c r="I1034" t="s">
        <v>9801</v>
      </c>
      <c r="J1034" t="s">
        <v>9802</v>
      </c>
    </row>
    <row r="1035" spans="9:10">
      <c r="I1035" t="s">
        <v>9803</v>
      </c>
      <c r="J1035" t="s">
        <v>9804</v>
      </c>
    </row>
    <row r="1036" spans="9:10">
      <c r="I1036" t="s">
        <v>9805</v>
      </c>
      <c r="J1036" t="s">
        <v>8245</v>
      </c>
    </row>
    <row r="1037" spans="9:10">
      <c r="I1037" t="s">
        <v>9806</v>
      </c>
      <c r="J1037" t="s">
        <v>8247</v>
      </c>
    </row>
    <row r="1038" spans="9:10">
      <c r="I1038" t="s">
        <v>7770</v>
      </c>
      <c r="J1038" t="s">
        <v>9807</v>
      </c>
    </row>
    <row r="1039" spans="9:10">
      <c r="I1039" t="s">
        <v>9808</v>
      </c>
      <c r="J1039" t="s">
        <v>9809</v>
      </c>
    </row>
    <row r="1040" spans="9:10">
      <c r="I1040" t="s">
        <v>9810</v>
      </c>
      <c r="J1040" t="s">
        <v>9811</v>
      </c>
    </row>
    <row r="1041" spans="9:10">
      <c r="I1041" t="s">
        <v>9812</v>
      </c>
      <c r="J1041" t="s">
        <v>8245</v>
      </c>
    </row>
    <row r="1042" spans="9:10">
      <c r="I1042" t="s">
        <v>9813</v>
      </c>
      <c r="J1042" t="s">
        <v>8247</v>
      </c>
    </row>
    <row r="1043" spans="9:10">
      <c r="I1043" t="s">
        <v>9814</v>
      </c>
      <c r="J1043" t="s">
        <v>9815</v>
      </c>
    </row>
    <row r="1044" spans="9:10">
      <c r="I1044" t="s">
        <v>9816</v>
      </c>
      <c r="J1044" t="s">
        <v>9817</v>
      </c>
    </row>
    <row r="1045" spans="9:10">
      <c r="I1045" t="s">
        <v>9818</v>
      </c>
      <c r="J1045" t="s">
        <v>8245</v>
      </c>
    </row>
    <row r="1046" spans="9:10">
      <c r="I1046" t="s">
        <v>9819</v>
      </c>
      <c r="J1046" t="s">
        <v>8247</v>
      </c>
    </row>
    <row r="1047" spans="9:10">
      <c r="I1047" t="s">
        <v>7776</v>
      </c>
      <c r="J1047" t="s">
        <v>7841</v>
      </c>
    </row>
    <row r="1048" spans="9:10">
      <c r="I1048" t="s">
        <v>9820</v>
      </c>
      <c r="J1048" t="s">
        <v>9821</v>
      </c>
    </row>
    <row r="1049" spans="9:10">
      <c r="I1049" t="s">
        <v>9822</v>
      </c>
      <c r="J1049" t="s">
        <v>9823</v>
      </c>
    </row>
    <row r="1050" spans="9:10">
      <c r="I1050" t="s">
        <v>9824</v>
      </c>
      <c r="J1050" t="s">
        <v>9825</v>
      </c>
    </row>
    <row r="1051" spans="9:10">
      <c r="I1051" t="s">
        <v>9826</v>
      </c>
      <c r="J1051" t="s">
        <v>9827</v>
      </c>
    </row>
    <row r="1052" spans="9:10">
      <c r="I1052" t="s">
        <v>9828</v>
      </c>
      <c r="J1052" t="s">
        <v>9829</v>
      </c>
    </row>
    <row r="1053" spans="9:10">
      <c r="I1053" t="s">
        <v>9830</v>
      </c>
      <c r="J1053" t="s">
        <v>9831</v>
      </c>
    </row>
    <row r="1054" spans="9:10">
      <c r="I1054" t="s">
        <v>9832</v>
      </c>
      <c r="J1054" t="s">
        <v>9833</v>
      </c>
    </row>
    <row r="1055" spans="9:10">
      <c r="I1055" t="s">
        <v>9834</v>
      </c>
      <c r="J1055" t="s">
        <v>9835</v>
      </c>
    </row>
    <row r="1056" spans="9:10">
      <c r="I1056" t="s">
        <v>9836</v>
      </c>
      <c r="J1056" t="s">
        <v>9837</v>
      </c>
    </row>
    <row r="1057" spans="9:10">
      <c r="I1057" t="s">
        <v>9838</v>
      </c>
      <c r="J1057" t="s">
        <v>9839</v>
      </c>
    </row>
    <row r="1058" spans="9:10">
      <c r="I1058" t="s">
        <v>9840</v>
      </c>
      <c r="J1058" t="s">
        <v>9841</v>
      </c>
    </row>
    <row r="1059" spans="9:10">
      <c r="I1059" t="s">
        <v>9842</v>
      </c>
      <c r="J1059" t="s">
        <v>9843</v>
      </c>
    </row>
    <row r="1060" spans="9:10">
      <c r="I1060" t="s">
        <v>9844</v>
      </c>
      <c r="J1060" t="s">
        <v>9845</v>
      </c>
    </row>
    <row r="1061" spans="9:10">
      <c r="I1061" t="s">
        <v>9846</v>
      </c>
      <c r="J1061" t="s">
        <v>9847</v>
      </c>
    </row>
    <row r="1062" spans="9:10">
      <c r="I1062" t="s">
        <v>9848</v>
      </c>
      <c r="J1062" t="s">
        <v>9849</v>
      </c>
    </row>
    <row r="1063" spans="9:10">
      <c r="I1063" t="s">
        <v>9850</v>
      </c>
      <c r="J1063" t="s">
        <v>9851</v>
      </c>
    </row>
    <row r="1064" spans="9:10">
      <c r="I1064" t="s">
        <v>9852</v>
      </c>
      <c r="J1064" t="s">
        <v>9853</v>
      </c>
    </row>
    <row r="1065" spans="9:10">
      <c r="I1065" t="s">
        <v>9854</v>
      </c>
      <c r="J1065" t="s">
        <v>9855</v>
      </c>
    </row>
    <row r="1066" spans="9:10">
      <c r="I1066" t="s">
        <v>9856</v>
      </c>
      <c r="J1066" t="s">
        <v>9857</v>
      </c>
    </row>
    <row r="1067" spans="9:10">
      <c r="I1067" t="s">
        <v>9858</v>
      </c>
      <c r="J1067" t="s">
        <v>9859</v>
      </c>
    </row>
    <row r="1068" spans="9:10">
      <c r="I1068" t="s">
        <v>9860</v>
      </c>
      <c r="J1068" t="s">
        <v>9861</v>
      </c>
    </row>
    <row r="1069" spans="9:10">
      <c r="I1069" t="s">
        <v>9862</v>
      </c>
      <c r="J1069" t="s">
        <v>9863</v>
      </c>
    </row>
    <row r="1070" spans="9:10">
      <c r="I1070" t="s">
        <v>9864</v>
      </c>
      <c r="J1070" t="s">
        <v>9865</v>
      </c>
    </row>
    <row r="1071" spans="9:10">
      <c r="I1071" t="s">
        <v>9866</v>
      </c>
      <c r="J1071" t="s">
        <v>9867</v>
      </c>
    </row>
    <row r="1072" spans="9:10">
      <c r="I1072" t="s">
        <v>9868</v>
      </c>
      <c r="J1072" t="s">
        <v>9869</v>
      </c>
    </row>
    <row r="1073" spans="9:10">
      <c r="I1073" t="s">
        <v>9870</v>
      </c>
      <c r="J1073" t="s">
        <v>8245</v>
      </c>
    </row>
    <row r="1074" spans="9:10">
      <c r="I1074" t="s">
        <v>9871</v>
      </c>
      <c r="J1074" t="s">
        <v>8247</v>
      </c>
    </row>
    <row r="1075" spans="9:10">
      <c r="I1075" t="s">
        <v>9872</v>
      </c>
      <c r="J1075" t="s">
        <v>9873</v>
      </c>
    </row>
    <row r="1076" spans="9:10">
      <c r="I1076" t="s">
        <v>9874</v>
      </c>
      <c r="J1076" t="s">
        <v>9875</v>
      </c>
    </row>
    <row r="1077" spans="9:10">
      <c r="I1077" t="s">
        <v>9876</v>
      </c>
      <c r="J1077" t="s">
        <v>9877</v>
      </c>
    </row>
    <row r="1078" spans="9:10">
      <c r="I1078" t="s">
        <v>9878</v>
      </c>
      <c r="J1078" t="s">
        <v>8247</v>
      </c>
    </row>
    <row r="1079" spans="9:10">
      <c r="I1079" t="s">
        <v>9879</v>
      </c>
      <c r="J1079" t="s">
        <v>9880</v>
      </c>
    </row>
    <row r="1080" spans="9:10">
      <c r="I1080" t="s">
        <v>9881</v>
      </c>
      <c r="J1080" t="s">
        <v>9882</v>
      </c>
    </row>
    <row r="1081" spans="9:10">
      <c r="I1081" t="s">
        <v>9883</v>
      </c>
      <c r="J1081" t="s">
        <v>9884</v>
      </c>
    </row>
    <row r="1082" spans="9:10">
      <c r="I1082" t="s">
        <v>9885</v>
      </c>
      <c r="J1082" t="s">
        <v>9886</v>
      </c>
    </row>
    <row r="1083" spans="9:10">
      <c r="I1083" t="s">
        <v>9887</v>
      </c>
      <c r="J1083" t="s">
        <v>9888</v>
      </c>
    </row>
    <row r="1084" spans="9:10">
      <c r="I1084" t="s">
        <v>9889</v>
      </c>
      <c r="J1084" t="s">
        <v>9890</v>
      </c>
    </row>
    <row r="1085" spans="9:10">
      <c r="I1085" t="s">
        <v>9891</v>
      </c>
      <c r="J1085" t="s">
        <v>9892</v>
      </c>
    </row>
    <row r="1086" spans="9:10">
      <c r="I1086" t="s">
        <v>9893</v>
      </c>
      <c r="J1086" t="s">
        <v>9894</v>
      </c>
    </row>
    <row r="1087" spans="9:10">
      <c r="I1087" t="s">
        <v>9895</v>
      </c>
      <c r="J1087" t="s">
        <v>9896</v>
      </c>
    </row>
    <row r="1088" spans="9:10">
      <c r="I1088" t="s">
        <v>9897</v>
      </c>
      <c r="J1088" t="s">
        <v>9898</v>
      </c>
    </row>
    <row r="1089" spans="9:10">
      <c r="I1089" t="s">
        <v>9899</v>
      </c>
      <c r="J1089" t="s">
        <v>9900</v>
      </c>
    </row>
    <row r="1090" spans="9:10">
      <c r="I1090" t="s">
        <v>9901</v>
      </c>
      <c r="J1090" t="s">
        <v>9902</v>
      </c>
    </row>
    <row r="1091" spans="9:10">
      <c r="I1091" t="s">
        <v>9903</v>
      </c>
      <c r="J1091" t="s">
        <v>9904</v>
      </c>
    </row>
    <row r="1092" spans="9:10">
      <c r="I1092" t="s">
        <v>9905</v>
      </c>
      <c r="J1092" t="s">
        <v>8245</v>
      </c>
    </row>
    <row r="1093" spans="9:10">
      <c r="I1093" t="s">
        <v>9906</v>
      </c>
      <c r="J1093" t="s">
        <v>8247</v>
      </c>
    </row>
    <row r="1094" spans="9:10">
      <c r="I1094" t="s">
        <v>9907</v>
      </c>
      <c r="J1094" t="s">
        <v>9908</v>
      </c>
    </row>
    <row r="1095" spans="9:10">
      <c r="I1095" t="s">
        <v>9909</v>
      </c>
      <c r="J1095" t="s">
        <v>9910</v>
      </c>
    </row>
    <row r="1096" spans="9:10">
      <c r="I1096" t="s">
        <v>9911</v>
      </c>
      <c r="J1096" t="s">
        <v>9912</v>
      </c>
    </row>
    <row r="1097" spans="9:10">
      <c r="I1097" t="s">
        <v>9913</v>
      </c>
      <c r="J1097" t="s">
        <v>9914</v>
      </c>
    </row>
    <row r="1098" spans="9:10">
      <c r="I1098" t="s">
        <v>9915</v>
      </c>
      <c r="J1098" t="s">
        <v>9916</v>
      </c>
    </row>
    <row r="1099" spans="9:10">
      <c r="I1099" t="s">
        <v>9917</v>
      </c>
      <c r="J1099" t="s">
        <v>9918</v>
      </c>
    </row>
    <row r="1100" spans="9:10">
      <c r="I1100" t="s">
        <v>9919</v>
      </c>
      <c r="J1100" t="s">
        <v>9920</v>
      </c>
    </row>
    <row r="1101" spans="9:10">
      <c r="I1101" t="s">
        <v>9921</v>
      </c>
      <c r="J1101" t="s">
        <v>9922</v>
      </c>
    </row>
    <row r="1102" spans="9:10">
      <c r="I1102" t="s">
        <v>9923</v>
      </c>
      <c r="J1102" t="s">
        <v>9924</v>
      </c>
    </row>
    <row r="1103" spans="9:10">
      <c r="I1103" t="s">
        <v>9925</v>
      </c>
      <c r="J1103" t="s">
        <v>9926</v>
      </c>
    </row>
    <row r="1104" spans="9:10">
      <c r="I1104" t="s">
        <v>9927</v>
      </c>
      <c r="J1104" t="s">
        <v>9928</v>
      </c>
    </row>
    <row r="1105" spans="9:10">
      <c r="I1105" t="s">
        <v>9929</v>
      </c>
      <c r="J1105" t="s">
        <v>9930</v>
      </c>
    </row>
    <row r="1106" spans="9:10">
      <c r="I1106" t="s">
        <v>9931</v>
      </c>
      <c r="J1106" t="s">
        <v>9932</v>
      </c>
    </row>
    <row r="1107" spans="9:10">
      <c r="I1107" t="s">
        <v>9933</v>
      </c>
      <c r="J1107" t="s">
        <v>9934</v>
      </c>
    </row>
    <row r="1108" spans="9:10">
      <c r="I1108" t="s">
        <v>9935</v>
      </c>
      <c r="J1108" t="s">
        <v>9936</v>
      </c>
    </row>
    <row r="1109" spans="9:10">
      <c r="I1109" t="s">
        <v>9937</v>
      </c>
      <c r="J1109" t="s">
        <v>9938</v>
      </c>
    </row>
    <row r="1110" spans="9:10">
      <c r="I1110" t="s">
        <v>9939</v>
      </c>
      <c r="J1110" t="s">
        <v>9940</v>
      </c>
    </row>
    <row r="1111" spans="9:10">
      <c r="I1111" t="s">
        <v>9941</v>
      </c>
      <c r="J1111" t="s">
        <v>9942</v>
      </c>
    </row>
    <row r="1112" spans="9:10">
      <c r="I1112" t="s">
        <v>9943</v>
      </c>
      <c r="J1112" t="s">
        <v>8245</v>
      </c>
    </row>
    <row r="1113" spans="9:10">
      <c r="I1113" t="s">
        <v>9944</v>
      </c>
      <c r="J1113" t="s">
        <v>8247</v>
      </c>
    </row>
    <row r="1114" spans="9:10">
      <c r="I1114" t="s">
        <v>9945</v>
      </c>
      <c r="J1114" t="s">
        <v>9946</v>
      </c>
    </row>
    <row r="1115" spans="9:10">
      <c r="I1115" t="s">
        <v>9947</v>
      </c>
      <c r="J1115" t="s">
        <v>9948</v>
      </c>
    </row>
    <row r="1116" spans="9:10">
      <c r="I1116" t="s">
        <v>9949</v>
      </c>
      <c r="J1116" t="s">
        <v>9950</v>
      </c>
    </row>
    <row r="1117" spans="9:10">
      <c r="I1117" t="s">
        <v>9951</v>
      </c>
      <c r="J1117" t="s">
        <v>9952</v>
      </c>
    </row>
    <row r="1118" spans="9:10">
      <c r="I1118" t="s">
        <v>9953</v>
      </c>
      <c r="J1118" t="s">
        <v>8245</v>
      </c>
    </row>
    <row r="1119" spans="9:10">
      <c r="I1119" t="s">
        <v>9954</v>
      </c>
      <c r="J1119" t="s">
        <v>8247</v>
      </c>
    </row>
    <row r="1120" spans="9:10">
      <c r="I1120" t="s">
        <v>9955</v>
      </c>
      <c r="J1120" t="s">
        <v>9956</v>
      </c>
    </row>
    <row r="1121" spans="9:10">
      <c r="I1121" t="s">
        <v>9957</v>
      </c>
      <c r="J1121" t="s">
        <v>9958</v>
      </c>
    </row>
    <row r="1122" spans="9:10">
      <c r="I1122" t="s">
        <v>9959</v>
      </c>
      <c r="J1122" t="s">
        <v>247</v>
      </c>
    </row>
    <row r="1123" spans="9:10">
      <c r="I1123" t="s">
        <v>9960</v>
      </c>
      <c r="J1123" t="s">
        <v>1318</v>
      </c>
    </row>
    <row r="1124" spans="9:10">
      <c r="I1124" t="s">
        <v>7774</v>
      </c>
      <c r="J1124" t="s">
        <v>9961</v>
      </c>
    </row>
    <row r="1125" spans="9:10">
      <c r="I1125" t="s">
        <v>9962</v>
      </c>
      <c r="J1125" t="s">
        <v>8245</v>
      </c>
    </row>
    <row r="1126" spans="9:10">
      <c r="I1126" t="s">
        <v>9963</v>
      </c>
      <c r="J1126" t="s">
        <v>8247</v>
      </c>
    </row>
    <row r="1127" spans="9:10">
      <c r="I1127" t="s">
        <v>9964</v>
      </c>
      <c r="J1127" t="s">
        <v>9965</v>
      </c>
    </row>
    <row r="1128" spans="9:10">
      <c r="I1128" t="s">
        <v>9966</v>
      </c>
      <c r="J1128" t="s">
        <v>247</v>
      </c>
    </row>
  </sheetData>
  <sheetProtection sheet="1" objects="1" scenarios="1"/>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5.6"/>
  <cols>
    <col min="1" max="1" width="9" style="2"/>
    <col min="2" max="8" width="9" style="3"/>
    <col min="9" max="9" width="9.09765625" style="3" customWidth="1"/>
    <col min="10" max="16384" width="9" style="3"/>
  </cols>
  <sheetData>
    <row r="1" spans="1:10" ht="24.9" customHeight="1">
      <c r="A1" s="4"/>
      <c r="B1" s="4"/>
      <c r="C1" s="4"/>
      <c r="D1" s="5"/>
      <c r="E1" s="5" t="s">
        <v>271</v>
      </c>
      <c r="F1" s="2694">
        <f>基本情况!B18</f>
        <v>0</v>
      </c>
      <c r="G1" s="2694"/>
      <c r="H1" s="2694"/>
      <c r="I1" s="2694"/>
    </row>
    <row r="2" spans="1:10" ht="9" customHeight="1">
      <c r="A2" s="6"/>
      <c r="B2" s="6"/>
      <c r="C2" s="6"/>
      <c r="D2" s="6"/>
      <c r="E2" s="6"/>
      <c r="F2" s="6"/>
      <c r="G2" s="6"/>
      <c r="H2" s="6"/>
      <c r="I2" s="6"/>
    </row>
    <row r="3" spans="1:10" ht="18" customHeight="1">
      <c r="A3" s="7"/>
      <c r="B3" s="7"/>
      <c r="C3" s="7"/>
      <c r="D3" s="7"/>
      <c r="E3" s="5" t="s">
        <v>272</v>
      </c>
      <c r="F3" s="2704" t="str">
        <f>基本情况!B3</f>
        <v>企业所得税年度纳税申报审核</v>
      </c>
      <c r="G3" s="2704"/>
      <c r="H3" s="2704"/>
      <c r="I3" s="2704"/>
    </row>
    <row r="4" spans="1:10" ht="24.9" customHeight="1">
      <c r="A4" s="8"/>
      <c r="B4" s="8"/>
      <c r="C4" s="8"/>
      <c r="D4" s="8"/>
      <c r="E4" s="8"/>
      <c r="F4" s="8"/>
      <c r="G4" s="8"/>
      <c r="H4" s="8"/>
      <c r="I4" s="8"/>
    </row>
    <row r="5" spans="1:10" ht="24.9" customHeight="1">
      <c r="A5" s="6"/>
      <c r="B5" s="6"/>
      <c r="C5" s="6"/>
      <c r="D5" s="6"/>
      <c r="E5" s="6"/>
      <c r="F5" s="6"/>
      <c r="G5" s="6"/>
      <c r="H5" s="6"/>
      <c r="I5" s="6"/>
    </row>
    <row r="6" spans="1:10" ht="25.5" customHeight="1">
      <c r="A6" s="2695" t="str">
        <f>基本情况!B8</f>
        <v>中汇百邦（厦门）税务师事务所有限公司</v>
      </c>
      <c r="B6" s="2696"/>
      <c r="C6" s="2696"/>
      <c r="D6" s="2696"/>
      <c r="E6" s="2696"/>
      <c r="F6" s="2696"/>
      <c r="G6" s="2696"/>
      <c r="H6" s="2696"/>
      <c r="I6" s="2696"/>
    </row>
    <row r="7" spans="1:10" ht="39.75" customHeight="1">
      <c r="A7" s="2697" t="s">
        <v>273</v>
      </c>
      <c r="B7" s="2697"/>
      <c r="C7" s="2697"/>
      <c r="D7" s="2697"/>
      <c r="E7" s="2697"/>
      <c r="F7" s="2697"/>
      <c r="G7" s="2697"/>
      <c r="H7" s="2697"/>
      <c r="I7" s="2697"/>
    </row>
    <row r="8" spans="1:10" ht="39.75" customHeight="1">
      <c r="A8" s="9"/>
      <c r="B8" s="9"/>
      <c r="C8" s="9"/>
      <c r="D8" s="9"/>
      <c r="E8" s="9"/>
      <c r="F8" s="9"/>
      <c r="G8" s="9"/>
      <c r="H8" s="9"/>
      <c r="I8" s="9"/>
    </row>
    <row r="9" spans="1:10" ht="39.75" customHeight="1">
      <c r="A9" s="9"/>
      <c r="B9" s="9"/>
      <c r="C9" s="9"/>
      <c r="D9" s="9"/>
      <c r="E9" s="9"/>
      <c r="F9" s="9"/>
      <c r="G9" s="9"/>
      <c r="H9" s="9"/>
      <c r="I9" s="9"/>
    </row>
    <row r="10" spans="1:10" ht="24.9" customHeight="1">
      <c r="A10" s="6"/>
      <c r="B10" s="6"/>
      <c r="C10" s="6"/>
      <c r="D10" s="6"/>
      <c r="E10" s="6"/>
      <c r="F10" s="6"/>
      <c r="G10" s="6"/>
      <c r="H10" s="6"/>
      <c r="I10" s="6"/>
    </row>
    <row r="11" spans="1:10" ht="39.75" customHeight="1">
      <c r="A11" s="7" t="s">
        <v>274</v>
      </c>
      <c r="B11" s="7"/>
      <c r="C11" s="7"/>
      <c r="D11" s="2699">
        <f>基本情况!B18</f>
        <v>0</v>
      </c>
      <c r="E11" s="2699"/>
      <c r="F11" s="2699"/>
      <c r="G11" s="2699"/>
      <c r="H11" s="7"/>
      <c r="I11" s="7"/>
    </row>
    <row r="12" spans="1:10" ht="56.25" customHeight="1">
      <c r="A12" s="7" t="s">
        <v>275</v>
      </c>
      <c r="B12" s="7"/>
      <c r="C12" s="7"/>
      <c r="D12" s="2700">
        <f>基本情况!B2</f>
        <v>0</v>
      </c>
      <c r="E12" s="2700"/>
      <c r="F12" s="2700"/>
      <c r="G12" s="2700"/>
      <c r="H12" s="7"/>
      <c r="I12" s="7"/>
    </row>
    <row r="13" spans="1:10" ht="56.25" customHeight="1">
      <c r="A13" s="7" t="s">
        <v>276</v>
      </c>
      <c r="B13" s="10"/>
      <c r="C13" s="11"/>
      <c r="D13" s="2700" t="str">
        <f>IF(OR(基本情况!B6&lt;&gt;"12月31日",基本情况!F5&lt;&gt;"01",基本情况!G5&lt;&gt;"01"),基本情况!B7,基本情况!B4&amp;"年度")</f>
        <v>2016年度</v>
      </c>
      <c r="E13" s="2700"/>
      <c r="F13" s="2700"/>
      <c r="G13" s="2700"/>
      <c r="H13" s="7"/>
      <c r="I13" s="7"/>
      <c r="J13" s="12"/>
    </row>
    <row r="14" spans="1:10" ht="56.25" customHeight="1">
      <c r="A14" s="7" t="s">
        <v>277</v>
      </c>
      <c r="B14" s="7"/>
      <c r="C14" s="7"/>
      <c r="D14" s="2701">
        <f>基本情况!B11</f>
        <v>0</v>
      </c>
      <c r="E14" s="2701"/>
      <c r="F14" s="2701"/>
      <c r="G14" s="2701"/>
      <c r="H14" s="7"/>
      <c r="I14" s="7"/>
    </row>
    <row r="15" spans="1:10" ht="59.25" customHeight="1">
      <c r="A15" s="7" t="s">
        <v>278</v>
      </c>
      <c r="B15" s="7"/>
      <c r="C15" s="7"/>
      <c r="D15" s="2702" t="str">
        <f>基本情况!B20</f>
        <v>2017年5月4日</v>
      </c>
      <c r="E15" s="2702"/>
      <c r="F15" s="2702"/>
      <c r="G15" s="2702"/>
      <c r="H15" s="7"/>
      <c r="I15" s="7"/>
    </row>
    <row r="16" spans="1:10" ht="56.25" customHeight="1">
      <c r="A16" s="2703" t="s">
        <v>279</v>
      </c>
      <c r="B16" s="2703"/>
      <c r="C16" s="2703"/>
      <c r="D16" s="2703"/>
      <c r="E16" s="2703"/>
      <c r="F16" s="2703"/>
      <c r="G16" s="2703"/>
      <c r="H16" s="2703"/>
      <c r="I16" s="2703"/>
    </row>
    <row r="17" spans="1:9" ht="24.9" customHeight="1">
      <c r="A17" s="6"/>
      <c r="B17" s="6"/>
      <c r="C17" s="6"/>
      <c r="D17" s="6"/>
      <c r="E17" s="6"/>
      <c r="F17" s="6"/>
      <c r="G17" s="6"/>
      <c r="H17" s="6"/>
      <c r="I17" s="6"/>
    </row>
    <row r="18" spans="1:9" ht="24.9" customHeight="1">
      <c r="A18" s="6"/>
      <c r="B18" s="6"/>
      <c r="C18" s="6"/>
      <c r="D18" s="6"/>
      <c r="E18" s="6"/>
      <c r="F18" s="6"/>
      <c r="G18" s="6"/>
      <c r="H18" s="6"/>
      <c r="I18" s="6"/>
    </row>
    <row r="19" spans="1:9" ht="24.9" customHeight="1">
      <c r="A19" s="6"/>
      <c r="B19" s="6"/>
      <c r="C19" s="6"/>
      <c r="D19" s="6"/>
      <c r="E19" s="6"/>
      <c r="F19" s="6"/>
      <c r="G19" s="6" t="s">
        <v>280</v>
      </c>
      <c r="H19" s="2698"/>
      <c r="I19" s="2698"/>
    </row>
    <row r="20" spans="1:9" ht="24.9" customHeight="1">
      <c r="A20" s="12"/>
      <c r="B20" s="12"/>
      <c r="C20" s="12"/>
      <c r="D20" s="12"/>
      <c r="E20" s="12"/>
      <c r="F20" s="12"/>
      <c r="G20" s="12"/>
      <c r="H20" s="12"/>
      <c r="I20" s="12"/>
    </row>
    <row r="21" spans="1:9" ht="24.9" customHeight="1">
      <c r="A21" s="12"/>
      <c r="B21" s="12"/>
      <c r="C21" s="12"/>
      <c r="D21" s="12"/>
      <c r="E21" s="12"/>
      <c r="F21" s="12"/>
      <c r="G21" s="12"/>
      <c r="H21" s="12"/>
      <c r="I21" s="12"/>
    </row>
    <row r="22" spans="1:9" ht="24.9" customHeight="1">
      <c r="A22" s="12"/>
      <c r="B22" s="12"/>
      <c r="C22" s="12"/>
      <c r="D22" s="12"/>
      <c r="E22" s="12"/>
      <c r="F22" s="12"/>
    </row>
    <row r="23" spans="1:9" ht="24.9" customHeight="1">
      <c r="A23" s="12"/>
      <c r="B23" s="12"/>
      <c r="C23" s="12"/>
      <c r="D23" s="12"/>
      <c r="E23" s="12"/>
      <c r="F23" s="12"/>
    </row>
    <row r="24" spans="1:9" ht="24.9" customHeight="1">
      <c r="A24" s="12"/>
      <c r="B24" s="12"/>
      <c r="C24" s="12"/>
      <c r="D24" s="12"/>
      <c r="E24" s="12"/>
      <c r="F24" s="12"/>
    </row>
    <row r="25" spans="1:9" ht="24.9" customHeight="1">
      <c r="A25" s="12"/>
      <c r="B25" s="12"/>
      <c r="C25" s="12"/>
      <c r="D25" s="12"/>
      <c r="E25" s="12"/>
      <c r="F25" s="12"/>
    </row>
    <row r="26" spans="1:9" ht="24.9" customHeight="1">
      <c r="A26" s="12"/>
      <c r="B26" s="12"/>
      <c r="C26" s="12"/>
      <c r="D26" s="12"/>
      <c r="E26" s="12"/>
      <c r="F26" s="12"/>
    </row>
    <row r="27" spans="1:9" ht="24.9" customHeight="1">
      <c r="A27" s="12"/>
      <c r="B27" s="12"/>
      <c r="C27" s="12"/>
      <c r="D27" s="12"/>
      <c r="E27" s="12"/>
      <c r="F27" s="12"/>
    </row>
    <row r="28" spans="1:9" ht="24.9" customHeight="1">
      <c r="A28" s="12"/>
      <c r="B28" s="12"/>
      <c r="C28" s="12"/>
      <c r="D28" s="12"/>
      <c r="E28" s="12"/>
      <c r="F28" s="12"/>
    </row>
    <row r="29" spans="1:9" ht="24.9" customHeight="1">
      <c r="A29" s="12"/>
      <c r="B29" s="12"/>
      <c r="C29" s="12"/>
      <c r="D29" s="12"/>
      <c r="E29" s="12"/>
      <c r="F29" s="12"/>
    </row>
    <row r="30" spans="1:9" ht="24.9" customHeight="1">
      <c r="A30" s="12"/>
      <c r="B30" s="12"/>
      <c r="C30" s="12"/>
      <c r="D30" s="12"/>
      <c r="E30" s="12"/>
      <c r="F30" s="12"/>
    </row>
    <row r="31" spans="1:9" ht="24.9" customHeight="1">
      <c r="A31" s="12"/>
      <c r="B31" s="12"/>
      <c r="C31" s="12"/>
      <c r="D31" s="12"/>
      <c r="E31" s="12"/>
      <c r="F31" s="12"/>
    </row>
    <row r="32" spans="1:9" ht="24.9" customHeight="1">
      <c r="A32" s="12"/>
      <c r="B32" s="12"/>
      <c r="C32" s="12"/>
      <c r="D32" s="12"/>
      <c r="E32" s="12"/>
      <c r="F32" s="12"/>
    </row>
    <row r="33" spans="1:6" ht="24.9" customHeight="1">
      <c r="A33" s="12"/>
      <c r="B33" s="12"/>
      <c r="C33" s="12"/>
      <c r="D33" s="12"/>
      <c r="E33" s="12"/>
      <c r="F33" s="12"/>
    </row>
    <row r="34" spans="1:6" ht="24.9" customHeight="1">
      <c r="A34" s="12"/>
      <c r="B34" s="12"/>
      <c r="C34" s="12"/>
      <c r="D34" s="12"/>
      <c r="E34" s="12"/>
      <c r="F34" s="12"/>
    </row>
    <row r="35" spans="1:6" ht="24.9" customHeight="1">
      <c r="A35" s="12"/>
      <c r="B35" s="12"/>
      <c r="C35" s="12"/>
      <c r="D35" s="12"/>
      <c r="E35" s="12"/>
      <c r="F35" s="12"/>
    </row>
    <row r="36" spans="1:6" ht="24.9" customHeight="1">
      <c r="A36" s="12"/>
      <c r="B36" s="12"/>
      <c r="C36" s="12"/>
      <c r="D36" s="12"/>
      <c r="E36" s="12"/>
      <c r="F36" s="12"/>
    </row>
    <row r="37" spans="1:6" ht="24.9" customHeight="1">
      <c r="A37" s="12"/>
      <c r="B37" s="12"/>
      <c r="C37" s="12"/>
      <c r="D37" s="12"/>
      <c r="E37" s="12"/>
      <c r="F37" s="12"/>
    </row>
    <row r="38" spans="1:6" ht="24.9" customHeight="1">
      <c r="A38" s="12"/>
      <c r="B38" s="12"/>
      <c r="C38" s="12"/>
      <c r="D38" s="12"/>
      <c r="E38" s="12"/>
      <c r="F38" s="12"/>
    </row>
    <row r="39" spans="1:6" ht="24.9" customHeight="1">
      <c r="A39" s="12"/>
      <c r="B39" s="12"/>
      <c r="C39" s="12"/>
      <c r="D39" s="12"/>
      <c r="E39" s="12"/>
      <c r="F39" s="12"/>
    </row>
    <row r="40" spans="1:6" ht="24.9" customHeight="1">
      <c r="A40" s="12"/>
      <c r="B40" s="12"/>
      <c r="C40" s="12"/>
      <c r="D40" s="12"/>
      <c r="E40" s="12"/>
      <c r="F40" s="12"/>
    </row>
    <row r="41" spans="1:6" ht="24.9" customHeight="1">
      <c r="A41" s="12"/>
      <c r="B41" s="12"/>
      <c r="C41" s="12"/>
      <c r="D41" s="12"/>
      <c r="E41" s="12"/>
      <c r="F41" s="12"/>
    </row>
    <row r="42" spans="1:6" ht="24.9" customHeight="1">
      <c r="A42" s="12"/>
      <c r="B42" s="12"/>
      <c r="C42" s="12"/>
      <c r="D42" s="12"/>
      <c r="E42" s="12"/>
      <c r="F42" s="12"/>
    </row>
    <row r="43" spans="1:6" ht="24.9" customHeight="1">
      <c r="A43" s="12"/>
      <c r="B43" s="12"/>
      <c r="C43" s="12"/>
      <c r="D43" s="12"/>
      <c r="E43" s="12"/>
      <c r="F43" s="12"/>
    </row>
    <row r="44" spans="1:6" ht="24.9" customHeight="1">
      <c r="A44" s="12"/>
      <c r="B44" s="12"/>
      <c r="C44" s="12"/>
      <c r="D44" s="12"/>
      <c r="E44" s="12"/>
      <c r="F44" s="12"/>
    </row>
    <row r="45" spans="1:6" ht="24.9" customHeight="1">
      <c r="A45" s="12"/>
      <c r="B45" s="12"/>
      <c r="C45" s="12"/>
      <c r="D45" s="12"/>
      <c r="E45" s="12"/>
      <c r="F45" s="12"/>
    </row>
    <row r="46" spans="1:6" ht="24.9" customHeight="1">
      <c r="A46" s="12"/>
      <c r="B46" s="12"/>
      <c r="C46" s="12"/>
      <c r="D46" s="12"/>
      <c r="E46" s="12"/>
      <c r="F46" s="12"/>
    </row>
    <row r="47" spans="1:6" ht="24.9" customHeight="1">
      <c r="A47" s="12"/>
      <c r="B47" s="12"/>
      <c r="C47" s="12"/>
      <c r="D47" s="12"/>
      <c r="E47" s="12"/>
      <c r="F47" s="12"/>
    </row>
    <row r="48" spans="1:6" ht="24.9" customHeight="1">
      <c r="A48" s="12"/>
      <c r="B48" s="12"/>
      <c r="C48" s="12"/>
      <c r="D48" s="12"/>
      <c r="E48" s="12"/>
      <c r="F48" s="12"/>
    </row>
    <row r="49" spans="1:6" ht="24.9" customHeight="1">
      <c r="A49" s="12"/>
      <c r="B49" s="12"/>
      <c r="C49" s="12"/>
      <c r="D49" s="12"/>
      <c r="E49" s="12"/>
      <c r="F49" s="12"/>
    </row>
    <row r="50" spans="1:6" ht="24.9"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5.6"/>
  <cols>
    <col min="1" max="1" width="9.3984375" customWidth="1"/>
    <col min="2" max="2" width="31.59765625" customWidth="1"/>
    <col min="3" max="3" width="6.09765625" customWidth="1"/>
    <col min="4" max="4" width="3.3984375" customWidth="1"/>
    <col min="5" max="6" width="5" customWidth="1"/>
    <col min="7" max="7" width="2.8984375" customWidth="1"/>
    <col min="8" max="8" width="3.5" customWidth="1"/>
    <col min="9" max="9" width="5.3984375" customWidth="1"/>
    <col min="10" max="10" width="4.8984375" customWidth="1"/>
    <col min="11" max="11" width="7.3984375" customWidth="1"/>
  </cols>
  <sheetData>
    <row r="1" spans="1:19" ht="22.2">
      <c r="A1" s="2706" t="s">
        <v>446</v>
      </c>
      <c r="B1" s="2706"/>
      <c r="C1" s="2706"/>
      <c r="D1" s="2706"/>
      <c r="E1" s="2706"/>
      <c r="F1" s="2706"/>
      <c r="G1" s="2706"/>
      <c r="H1" s="2706"/>
      <c r="I1" s="2706"/>
      <c r="J1" s="2706"/>
      <c r="K1" s="2706"/>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707" t="s">
        <v>447</v>
      </c>
      <c r="B3" s="2708">
        <f>基本情况!B2</f>
        <v>0</v>
      </c>
      <c r="C3" s="2709"/>
      <c r="D3" s="2709"/>
      <c r="E3" s="2709" t="s">
        <v>448</v>
      </c>
      <c r="F3" s="2709"/>
      <c r="G3" s="2709"/>
      <c r="H3" s="2709" t="s">
        <v>449</v>
      </c>
      <c r="I3" s="2709"/>
      <c r="J3" s="2709"/>
      <c r="K3" s="86" t="s">
        <v>283</v>
      </c>
      <c r="L3" s="84"/>
      <c r="M3" s="84"/>
      <c r="N3" s="84"/>
      <c r="O3" s="84"/>
      <c r="P3" s="84"/>
      <c r="Q3" s="84"/>
      <c r="R3" s="84"/>
      <c r="S3" s="84"/>
    </row>
    <row r="4" spans="1:19">
      <c r="A4" s="2707"/>
      <c r="B4" s="2708"/>
      <c r="C4" s="2710" t="s">
        <v>450</v>
      </c>
      <c r="D4" s="2710"/>
      <c r="E4" s="2711">
        <f>基本情况!B12</f>
        <v>0</v>
      </c>
      <c r="F4" s="2711"/>
      <c r="G4" s="2711"/>
      <c r="H4" s="2712" t="str">
        <f>TEXT(基本情况!B21,"yyyy-mm-dd")</f>
        <v>2017-03-16</v>
      </c>
      <c r="I4" s="2712"/>
      <c r="J4" s="2712"/>
      <c r="K4" s="2714"/>
      <c r="L4" s="84"/>
      <c r="M4" s="84"/>
      <c r="N4" s="84"/>
      <c r="O4" s="84"/>
      <c r="P4" s="84"/>
      <c r="Q4" s="84"/>
      <c r="R4" s="84"/>
      <c r="S4" s="84"/>
    </row>
    <row r="5" spans="1:19">
      <c r="A5" s="87" t="s">
        <v>451</v>
      </c>
      <c r="B5" s="88" t="str">
        <f>基本情况!B7</f>
        <v>2016年01月01日至2016年12月31日</v>
      </c>
      <c r="C5" s="2715" t="s">
        <v>452</v>
      </c>
      <c r="D5" s="2715"/>
      <c r="E5" s="2716">
        <f>基本情况!B11</f>
        <v>0</v>
      </c>
      <c r="F5" s="2716"/>
      <c r="G5" s="2716"/>
      <c r="H5" s="2716" t="str">
        <f>TEXT(基本情况!B22,"yyyy-mm-dd")</f>
        <v>2017-05-04</v>
      </c>
      <c r="I5" s="2716"/>
      <c r="J5" s="2716"/>
      <c r="K5" s="2714"/>
      <c r="L5" s="84"/>
      <c r="M5" s="84"/>
      <c r="N5" s="84"/>
      <c r="O5" s="84"/>
      <c r="P5" s="84"/>
      <c r="Q5" s="84"/>
      <c r="R5" s="84"/>
      <c r="S5" s="84"/>
    </row>
    <row r="6" spans="1:19" ht="7.5" customHeight="1">
      <c r="A6" s="2717"/>
      <c r="B6" s="2717"/>
      <c r="C6" s="2717"/>
      <c r="D6" s="2717"/>
      <c r="E6" s="2717"/>
      <c r="F6" s="2717"/>
      <c r="G6" s="2717"/>
      <c r="H6" s="2717"/>
      <c r="I6" s="2717"/>
      <c r="J6" s="2717"/>
      <c r="K6" s="2717"/>
      <c r="L6" s="84"/>
      <c r="M6" s="84"/>
      <c r="N6" s="84"/>
      <c r="O6" s="84"/>
      <c r="P6" s="84"/>
      <c r="Q6" s="84"/>
      <c r="R6" s="84"/>
      <c r="S6" s="84"/>
    </row>
    <row r="7" spans="1:19">
      <c r="A7" s="2707" t="s">
        <v>453</v>
      </c>
      <c r="B7" s="2709" t="s">
        <v>454</v>
      </c>
      <c r="C7" s="2709"/>
      <c r="D7" s="2709"/>
      <c r="E7" s="2709"/>
      <c r="F7" s="2709"/>
      <c r="G7" s="2709"/>
      <c r="H7" s="2709"/>
      <c r="I7" s="2709"/>
      <c r="J7" s="2713" t="s">
        <v>455</v>
      </c>
      <c r="K7" s="2713"/>
      <c r="L7" s="84"/>
      <c r="M7" s="84"/>
      <c r="N7" s="84"/>
      <c r="O7" s="84"/>
      <c r="P7" s="84"/>
      <c r="Q7" s="84"/>
      <c r="R7" s="84"/>
      <c r="S7" s="84"/>
    </row>
    <row r="8" spans="1:19">
      <c r="A8" s="2707"/>
      <c r="B8" s="2709"/>
      <c r="C8" s="2709"/>
      <c r="D8" s="2709"/>
      <c r="E8" s="2709"/>
      <c r="F8" s="2709"/>
      <c r="G8" s="2709"/>
      <c r="H8" s="2709"/>
      <c r="I8" s="2709"/>
      <c r="J8" s="2713"/>
      <c r="K8" s="2713"/>
      <c r="L8" s="2705" t="s">
        <v>395</v>
      </c>
      <c r="M8" s="2705"/>
      <c r="N8" s="2705"/>
      <c r="O8" s="84"/>
      <c r="P8" s="84"/>
      <c r="Q8" s="84"/>
      <c r="R8" s="84"/>
      <c r="S8" s="84"/>
    </row>
    <row r="9" spans="1:19">
      <c r="A9" s="2718">
        <v>1</v>
      </c>
      <c r="B9" s="2719"/>
      <c r="C9" s="2719"/>
      <c r="D9" s="2719"/>
      <c r="E9" s="2719"/>
      <c r="F9" s="2719"/>
      <c r="G9" s="2719"/>
      <c r="H9" s="2719"/>
      <c r="I9" s="2719"/>
      <c r="J9" s="2720"/>
      <c r="K9" s="2720"/>
      <c r="L9" s="84"/>
      <c r="M9" s="84"/>
      <c r="N9" s="84"/>
      <c r="O9" s="84"/>
      <c r="P9" s="84"/>
      <c r="Q9" s="84"/>
      <c r="R9" s="84"/>
      <c r="S9" s="84"/>
    </row>
    <row r="10" spans="1:19">
      <c r="A10" s="2718"/>
      <c r="B10" s="2719"/>
      <c r="C10" s="2719"/>
      <c r="D10" s="2719"/>
      <c r="E10" s="2719"/>
      <c r="F10" s="2719"/>
      <c r="G10" s="2719"/>
      <c r="H10" s="2719"/>
      <c r="I10" s="2719"/>
      <c r="J10" s="2720"/>
      <c r="K10" s="2720"/>
      <c r="L10" s="84"/>
      <c r="M10" s="84"/>
      <c r="N10" s="84"/>
      <c r="O10" s="84"/>
      <c r="P10" s="84"/>
      <c r="Q10" s="84"/>
      <c r="R10" s="84"/>
      <c r="S10" s="84"/>
    </row>
    <row r="11" spans="1:19">
      <c r="A11" s="2718">
        <v>2</v>
      </c>
      <c r="B11" s="2721"/>
      <c r="C11" s="2721"/>
      <c r="D11" s="2721"/>
      <c r="E11" s="2721"/>
      <c r="F11" s="2721"/>
      <c r="G11" s="2721"/>
      <c r="H11" s="2721"/>
      <c r="I11" s="2721"/>
      <c r="J11" s="2720"/>
      <c r="K11" s="2720"/>
      <c r="L11" s="84"/>
      <c r="M11" s="84"/>
      <c r="N11" s="84"/>
      <c r="O11" s="84"/>
      <c r="P11" s="84"/>
      <c r="Q11" s="84"/>
      <c r="R11" s="84"/>
      <c r="S11" s="84"/>
    </row>
    <row r="12" spans="1:19">
      <c r="A12" s="2718"/>
      <c r="B12" s="2721"/>
      <c r="C12" s="2721"/>
      <c r="D12" s="2721"/>
      <c r="E12" s="2721"/>
      <c r="F12" s="2721"/>
      <c r="G12" s="2721"/>
      <c r="H12" s="2721"/>
      <c r="I12" s="2721"/>
      <c r="J12" s="2720"/>
      <c r="K12" s="2720"/>
      <c r="L12" s="84"/>
      <c r="M12" s="84"/>
      <c r="N12" s="84"/>
      <c r="O12" s="84"/>
      <c r="P12" s="84"/>
      <c r="Q12" s="84"/>
      <c r="R12" s="84"/>
      <c r="S12" s="84"/>
    </row>
    <row r="13" spans="1:19">
      <c r="A13" s="2718">
        <v>3</v>
      </c>
      <c r="B13" s="2719"/>
      <c r="C13" s="2719"/>
      <c r="D13" s="2719"/>
      <c r="E13" s="2719"/>
      <c r="F13" s="2719"/>
      <c r="G13" s="2719"/>
      <c r="H13" s="2719"/>
      <c r="I13" s="2719"/>
      <c r="J13" s="2720"/>
      <c r="K13" s="2720"/>
      <c r="L13" s="90" t="s">
        <v>456</v>
      </c>
      <c r="M13" s="84"/>
      <c r="N13" s="84"/>
      <c r="O13" s="84"/>
      <c r="P13" s="84"/>
      <c r="Q13" s="84"/>
      <c r="R13" s="84"/>
      <c r="S13" s="84"/>
    </row>
    <row r="14" spans="1:19">
      <c r="A14" s="2718"/>
      <c r="B14" s="2719"/>
      <c r="C14" s="2719"/>
      <c r="D14" s="2719"/>
      <c r="E14" s="2719"/>
      <c r="F14" s="2719"/>
      <c r="G14" s="2719"/>
      <c r="H14" s="2719"/>
      <c r="I14" s="2719"/>
      <c r="J14" s="2720"/>
      <c r="K14" s="2720"/>
      <c r="L14" s="90" t="s">
        <v>457</v>
      </c>
      <c r="M14" s="84"/>
      <c r="N14" s="84"/>
      <c r="O14" s="84"/>
      <c r="P14" s="84"/>
      <c r="Q14" s="84"/>
      <c r="R14" s="84"/>
      <c r="S14" s="84"/>
    </row>
    <row r="15" spans="1:19">
      <c r="A15" s="2718">
        <v>4</v>
      </c>
      <c r="B15" s="2721"/>
      <c r="C15" s="2721"/>
      <c r="D15" s="2721"/>
      <c r="E15" s="2721"/>
      <c r="F15" s="2721"/>
      <c r="G15" s="2721"/>
      <c r="H15" s="2721"/>
      <c r="I15" s="2721"/>
      <c r="J15" s="2720"/>
      <c r="K15" s="2720"/>
      <c r="L15" s="84"/>
      <c r="M15" s="84"/>
      <c r="N15" s="84"/>
      <c r="O15" s="84"/>
      <c r="P15" s="84"/>
      <c r="Q15" s="84"/>
      <c r="R15" s="84"/>
      <c r="S15" s="84"/>
    </row>
    <row r="16" spans="1:19">
      <c r="A16" s="2718"/>
      <c r="B16" s="2721"/>
      <c r="C16" s="2721"/>
      <c r="D16" s="2721"/>
      <c r="E16" s="2721"/>
      <c r="F16" s="2721"/>
      <c r="G16" s="2721"/>
      <c r="H16" s="2721"/>
      <c r="I16" s="2721"/>
      <c r="J16" s="2720"/>
      <c r="K16" s="2720"/>
      <c r="L16" s="84"/>
      <c r="M16" s="84"/>
      <c r="N16" s="84"/>
      <c r="O16" s="84"/>
      <c r="P16" s="84"/>
      <c r="Q16" s="84"/>
      <c r="R16" s="84"/>
      <c r="S16" s="84"/>
    </row>
    <row r="17" spans="1:19">
      <c r="A17" s="2718">
        <v>5</v>
      </c>
      <c r="B17" s="2721"/>
      <c r="C17" s="2721"/>
      <c r="D17" s="2721"/>
      <c r="E17" s="2721"/>
      <c r="F17" s="2721"/>
      <c r="G17" s="2721"/>
      <c r="H17" s="2721"/>
      <c r="I17" s="2721"/>
      <c r="J17" s="2720"/>
      <c r="K17" s="2720"/>
      <c r="L17" s="84"/>
      <c r="M17" s="84"/>
      <c r="N17" s="84"/>
      <c r="O17" s="84"/>
      <c r="P17" s="84"/>
      <c r="Q17" s="84"/>
      <c r="R17" s="84"/>
      <c r="S17" s="84"/>
    </row>
    <row r="18" spans="1:19">
      <c r="A18" s="2718"/>
      <c r="B18" s="2721"/>
      <c r="C18" s="2721"/>
      <c r="D18" s="2721"/>
      <c r="E18" s="2721"/>
      <c r="F18" s="2721"/>
      <c r="G18" s="2721"/>
      <c r="H18" s="2721"/>
      <c r="I18" s="2721"/>
      <c r="J18" s="2720"/>
      <c r="K18" s="2720"/>
      <c r="L18" s="84"/>
      <c r="M18" s="84"/>
      <c r="N18" s="84"/>
      <c r="O18" s="84"/>
      <c r="P18" s="84"/>
      <c r="Q18" s="84"/>
      <c r="R18" s="84"/>
      <c r="S18" s="84"/>
    </row>
    <row r="19" spans="1:19">
      <c r="A19" s="2718">
        <v>6</v>
      </c>
      <c r="B19" s="2721"/>
      <c r="C19" s="2721"/>
      <c r="D19" s="2721"/>
      <c r="E19" s="2721"/>
      <c r="F19" s="2721"/>
      <c r="G19" s="2721"/>
      <c r="H19" s="2721"/>
      <c r="I19" s="2721"/>
      <c r="J19" s="2720"/>
      <c r="K19" s="2720"/>
      <c r="L19" s="84"/>
      <c r="M19" s="84"/>
      <c r="N19" s="84"/>
      <c r="O19" s="84"/>
      <c r="P19" s="84"/>
      <c r="Q19" s="84"/>
      <c r="R19" s="84"/>
      <c r="S19" s="84"/>
    </row>
    <row r="20" spans="1:19">
      <c r="A20" s="2718"/>
      <c r="B20" s="2721"/>
      <c r="C20" s="2721"/>
      <c r="D20" s="2721"/>
      <c r="E20" s="2721"/>
      <c r="F20" s="2721"/>
      <c r="G20" s="2721"/>
      <c r="H20" s="2721"/>
      <c r="I20" s="2721"/>
      <c r="J20" s="2720"/>
      <c r="K20" s="2720"/>
      <c r="L20" s="84"/>
      <c r="M20" s="84"/>
      <c r="N20" s="84"/>
      <c r="O20" s="84"/>
      <c r="P20" s="84"/>
      <c r="Q20" s="84"/>
      <c r="R20" s="84"/>
      <c r="S20" s="84"/>
    </row>
    <row r="21" spans="1:19">
      <c r="A21" s="2718">
        <v>7</v>
      </c>
      <c r="B21" s="2721"/>
      <c r="C21" s="2721"/>
      <c r="D21" s="2721"/>
      <c r="E21" s="2721"/>
      <c r="F21" s="2721"/>
      <c r="G21" s="2721"/>
      <c r="H21" s="2721"/>
      <c r="I21" s="2721"/>
      <c r="J21" s="2720"/>
      <c r="K21" s="2720"/>
      <c r="L21" s="84"/>
      <c r="M21" s="84"/>
      <c r="N21" s="84"/>
      <c r="O21" s="84"/>
      <c r="P21" s="84"/>
      <c r="Q21" s="84"/>
      <c r="R21" s="84"/>
      <c r="S21" s="84"/>
    </row>
    <row r="22" spans="1:19">
      <c r="A22" s="2718"/>
      <c r="B22" s="2721"/>
      <c r="C22" s="2721"/>
      <c r="D22" s="2721"/>
      <c r="E22" s="2721"/>
      <c r="F22" s="2721"/>
      <c r="G22" s="2721"/>
      <c r="H22" s="2721"/>
      <c r="I22" s="2721"/>
      <c r="J22" s="2720"/>
      <c r="K22" s="2720"/>
      <c r="L22" s="84"/>
      <c r="M22" s="84"/>
      <c r="N22" s="84"/>
      <c r="O22" s="84"/>
      <c r="P22" s="84"/>
      <c r="Q22" s="84"/>
      <c r="R22" s="84"/>
      <c r="S22" s="84"/>
    </row>
    <row r="23" spans="1:19">
      <c r="A23" s="2718">
        <v>8</v>
      </c>
      <c r="B23" s="2721"/>
      <c r="C23" s="2721"/>
      <c r="D23" s="2721"/>
      <c r="E23" s="2721"/>
      <c r="F23" s="2721"/>
      <c r="G23" s="2721"/>
      <c r="H23" s="2721"/>
      <c r="I23" s="2721"/>
      <c r="J23" s="2720"/>
      <c r="K23" s="2720"/>
      <c r="L23" s="84"/>
      <c r="M23" s="84"/>
      <c r="N23" s="84"/>
      <c r="O23" s="84"/>
      <c r="P23" s="84"/>
      <c r="Q23" s="84"/>
      <c r="R23" s="84"/>
      <c r="S23" s="84"/>
    </row>
    <row r="24" spans="1:19">
      <c r="A24" s="2718"/>
      <c r="B24" s="2721"/>
      <c r="C24" s="2721"/>
      <c r="D24" s="2721"/>
      <c r="E24" s="2721"/>
      <c r="F24" s="2721"/>
      <c r="G24" s="2721"/>
      <c r="H24" s="2721"/>
      <c r="I24" s="2721"/>
      <c r="J24" s="2720"/>
      <c r="K24" s="2720"/>
      <c r="L24" s="84"/>
      <c r="M24" s="84"/>
      <c r="N24" s="84"/>
      <c r="O24" s="84"/>
      <c r="P24" s="84"/>
      <c r="Q24" s="84"/>
      <c r="R24" s="84"/>
      <c r="S24" s="84"/>
    </row>
    <row r="25" spans="1:19">
      <c r="A25" s="2718">
        <v>9</v>
      </c>
      <c r="B25" s="2721"/>
      <c r="C25" s="2721"/>
      <c r="D25" s="2721"/>
      <c r="E25" s="2721"/>
      <c r="F25" s="2721"/>
      <c r="G25" s="2721"/>
      <c r="H25" s="2721"/>
      <c r="I25" s="2721"/>
      <c r="J25" s="2720"/>
      <c r="K25" s="2720"/>
      <c r="L25" s="84"/>
      <c r="M25" s="84"/>
      <c r="N25" s="84"/>
      <c r="O25" s="84"/>
      <c r="P25" s="84"/>
      <c r="Q25" s="84"/>
      <c r="R25" s="84"/>
      <c r="S25" s="84"/>
    </row>
    <row r="26" spans="1:19">
      <c r="A26" s="2718"/>
      <c r="B26" s="2721"/>
      <c r="C26" s="2721"/>
      <c r="D26" s="2721"/>
      <c r="E26" s="2721"/>
      <c r="F26" s="2721"/>
      <c r="G26" s="2721"/>
      <c r="H26" s="2721"/>
      <c r="I26" s="2721"/>
      <c r="J26" s="2720"/>
      <c r="K26" s="2720"/>
      <c r="L26" s="84"/>
      <c r="M26" s="84"/>
      <c r="N26" s="84"/>
      <c r="O26" s="84"/>
      <c r="P26" s="84"/>
      <c r="Q26" s="84"/>
      <c r="R26" s="84"/>
      <c r="S26" s="84"/>
    </row>
    <row r="27" spans="1:19">
      <c r="A27" s="2718">
        <v>10</v>
      </c>
      <c r="B27" s="2721"/>
      <c r="C27" s="2721"/>
      <c r="D27" s="2721"/>
      <c r="E27" s="2721"/>
      <c r="F27" s="2721"/>
      <c r="G27" s="2721"/>
      <c r="H27" s="2721"/>
      <c r="I27" s="2721"/>
      <c r="J27" s="2720"/>
      <c r="K27" s="2720"/>
      <c r="L27" s="84"/>
      <c r="M27" s="84"/>
      <c r="N27" s="84"/>
      <c r="O27" s="84"/>
      <c r="P27" s="84"/>
      <c r="Q27" s="84"/>
      <c r="R27" s="84"/>
      <c r="S27" s="84"/>
    </row>
    <row r="28" spans="1:19">
      <c r="A28" s="2718"/>
      <c r="B28" s="2721"/>
      <c r="C28" s="2721"/>
      <c r="D28" s="2721"/>
      <c r="E28" s="2721"/>
      <c r="F28" s="2721"/>
      <c r="G28" s="2721"/>
      <c r="H28" s="2721"/>
      <c r="I28" s="2721"/>
      <c r="J28" s="2720"/>
      <c r="K28" s="2720"/>
      <c r="L28" s="84"/>
      <c r="M28" s="84"/>
      <c r="N28" s="84"/>
      <c r="O28" s="84"/>
      <c r="P28" s="84"/>
      <c r="Q28" s="84"/>
      <c r="R28" s="84"/>
      <c r="S28" s="84"/>
    </row>
    <row r="29" spans="1:19">
      <c r="A29" s="2718">
        <v>11</v>
      </c>
      <c r="B29" s="2721"/>
      <c r="C29" s="2721"/>
      <c r="D29" s="2721"/>
      <c r="E29" s="2721"/>
      <c r="F29" s="2721"/>
      <c r="G29" s="2721"/>
      <c r="H29" s="2721"/>
      <c r="I29" s="2721"/>
      <c r="J29" s="2720"/>
      <c r="K29" s="2720"/>
      <c r="L29" s="84"/>
      <c r="M29" s="84"/>
      <c r="N29" s="84"/>
      <c r="O29" s="84"/>
      <c r="P29" s="84"/>
      <c r="Q29" s="84"/>
      <c r="R29" s="84"/>
      <c r="S29" s="84"/>
    </row>
    <row r="30" spans="1:19">
      <c r="A30" s="2718"/>
      <c r="B30" s="2721"/>
      <c r="C30" s="2721"/>
      <c r="D30" s="2721"/>
      <c r="E30" s="2721"/>
      <c r="F30" s="2721"/>
      <c r="G30" s="2721"/>
      <c r="H30" s="2721"/>
      <c r="I30" s="2721"/>
      <c r="J30" s="2720"/>
      <c r="K30" s="2720"/>
      <c r="L30" s="84"/>
      <c r="M30" s="84"/>
      <c r="N30" s="84"/>
      <c r="O30" s="84"/>
      <c r="P30" s="84"/>
      <c r="Q30" s="84"/>
      <c r="R30" s="84"/>
      <c r="S30" s="84"/>
    </row>
    <row r="31" spans="1:19">
      <c r="A31" s="2718">
        <v>12</v>
      </c>
      <c r="B31" s="2721"/>
      <c r="C31" s="2721"/>
      <c r="D31" s="2721"/>
      <c r="E31" s="2721"/>
      <c r="F31" s="2721"/>
      <c r="G31" s="2721"/>
      <c r="H31" s="2721"/>
      <c r="I31" s="2721"/>
      <c r="J31" s="2720"/>
      <c r="K31" s="2720"/>
      <c r="L31" s="84"/>
      <c r="M31" s="84"/>
      <c r="N31" s="84"/>
      <c r="O31" s="84"/>
      <c r="P31" s="84"/>
      <c r="Q31" s="84"/>
      <c r="R31" s="84"/>
      <c r="S31" s="84"/>
    </row>
    <row r="32" spans="1:19">
      <c r="A32" s="2718"/>
      <c r="B32" s="2721"/>
      <c r="C32" s="2721"/>
      <c r="D32" s="2721"/>
      <c r="E32" s="2721"/>
      <c r="F32" s="2721"/>
      <c r="G32" s="2721"/>
      <c r="H32" s="2721"/>
      <c r="I32" s="2721"/>
      <c r="J32" s="2720"/>
      <c r="K32" s="2720"/>
      <c r="L32" s="84"/>
      <c r="M32" s="84"/>
      <c r="N32" s="84"/>
      <c r="O32" s="84"/>
      <c r="P32" s="84"/>
      <c r="Q32" s="84"/>
      <c r="R32" s="84"/>
      <c r="S32" s="84"/>
    </row>
    <row r="33" spans="1:19">
      <c r="A33" s="2718">
        <v>13</v>
      </c>
      <c r="B33" s="2721"/>
      <c r="C33" s="2721"/>
      <c r="D33" s="2721"/>
      <c r="E33" s="2721"/>
      <c r="F33" s="2721"/>
      <c r="G33" s="2721"/>
      <c r="H33" s="2721"/>
      <c r="I33" s="2721"/>
      <c r="J33" s="2720"/>
      <c r="K33" s="2720"/>
      <c r="L33" s="84"/>
      <c r="M33" s="84"/>
      <c r="N33" s="84"/>
      <c r="O33" s="84"/>
      <c r="P33" s="84"/>
      <c r="Q33" s="84"/>
      <c r="R33" s="84"/>
      <c r="S33" s="84"/>
    </row>
    <row r="34" spans="1:19">
      <c r="A34" s="2718"/>
      <c r="B34" s="2721"/>
      <c r="C34" s="2721"/>
      <c r="D34" s="2721"/>
      <c r="E34" s="2721"/>
      <c r="F34" s="2721"/>
      <c r="G34" s="2721"/>
      <c r="H34" s="2721"/>
      <c r="I34" s="2721"/>
      <c r="J34" s="2720"/>
      <c r="K34" s="2720"/>
      <c r="L34" s="84"/>
      <c r="M34" s="84"/>
      <c r="N34" s="84"/>
      <c r="O34" s="84"/>
      <c r="P34" s="84"/>
      <c r="Q34" s="84"/>
      <c r="R34" s="84"/>
      <c r="S34" s="84"/>
    </row>
    <row r="35" spans="1:19">
      <c r="A35" s="2718">
        <v>14</v>
      </c>
      <c r="B35" s="2721"/>
      <c r="C35" s="2721"/>
      <c r="D35" s="2721"/>
      <c r="E35" s="2721"/>
      <c r="F35" s="2721"/>
      <c r="G35" s="2721"/>
      <c r="H35" s="2721"/>
      <c r="I35" s="2721"/>
      <c r="J35" s="2720"/>
      <c r="K35" s="2720"/>
      <c r="L35" s="84"/>
      <c r="M35" s="84"/>
      <c r="N35" s="84"/>
      <c r="O35" s="84"/>
      <c r="P35" s="84"/>
      <c r="Q35" s="84"/>
      <c r="R35" s="84"/>
      <c r="S35" s="84"/>
    </row>
    <row r="36" spans="1:19">
      <c r="A36" s="2718"/>
      <c r="B36" s="2721"/>
      <c r="C36" s="2721"/>
      <c r="D36" s="2721"/>
      <c r="E36" s="2721"/>
      <c r="F36" s="2721"/>
      <c r="G36" s="2721"/>
      <c r="H36" s="2721"/>
      <c r="I36" s="2721"/>
      <c r="J36" s="2720"/>
      <c r="K36" s="2720"/>
      <c r="L36" s="84"/>
      <c r="M36" s="84"/>
      <c r="N36" s="84"/>
      <c r="O36" s="84"/>
      <c r="P36" s="84"/>
      <c r="Q36" s="84"/>
      <c r="R36" s="84"/>
      <c r="S36" s="84"/>
    </row>
    <row r="37" spans="1:19">
      <c r="A37" s="2718">
        <v>15</v>
      </c>
      <c r="B37" s="2721"/>
      <c r="C37" s="2721"/>
      <c r="D37" s="2721"/>
      <c r="E37" s="2721"/>
      <c r="F37" s="2721"/>
      <c r="G37" s="2721"/>
      <c r="H37" s="2721"/>
      <c r="I37" s="2721"/>
      <c r="J37" s="2720"/>
      <c r="K37" s="2720"/>
      <c r="L37" s="84"/>
      <c r="M37" s="84"/>
      <c r="N37" s="84"/>
      <c r="O37" s="84"/>
      <c r="P37" s="84"/>
      <c r="Q37" s="84"/>
      <c r="R37" s="84"/>
      <c r="S37" s="84"/>
    </row>
    <row r="38" spans="1:19">
      <c r="A38" s="2718"/>
      <c r="B38" s="2721"/>
      <c r="C38" s="2721"/>
      <c r="D38" s="2721"/>
      <c r="E38" s="2721"/>
      <c r="F38" s="2721"/>
      <c r="G38" s="2721"/>
      <c r="H38" s="2721"/>
      <c r="I38" s="2721"/>
      <c r="J38" s="2720"/>
      <c r="K38" s="2720"/>
      <c r="L38" s="84"/>
      <c r="M38" s="84"/>
      <c r="N38" s="84"/>
      <c r="O38" s="84"/>
      <c r="P38" s="84"/>
      <c r="Q38" s="84"/>
      <c r="R38" s="84"/>
      <c r="S38" s="84"/>
    </row>
    <row r="39" spans="1:19">
      <c r="A39" s="2722">
        <v>16</v>
      </c>
      <c r="B39" s="2723"/>
      <c r="C39" s="2723"/>
      <c r="D39" s="2723"/>
      <c r="E39" s="2723"/>
      <c r="F39" s="2723"/>
      <c r="G39" s="2723"/>
      <c r="H39" s="2723"/>
      <c r="I39" s="2723"/>
      <c r="J39" s="2724"/>
      <c r="K39" s="2724"/>
      <c r="L39" s="84"/>
      <c r="M39" s="84"/>
      <c r="N39" s="84"/>
      <c r="O39" s="84"/>
      <c r="P39" s="84"/>
      <c r="Q39" s="84"/>
      <c r="R39" s="84"/>
      <c r="S39" s="84"/>
    </row>
    <row r="40" spans="1:19">
      <c r="A40" s="2722"/>
      <c r="B40" s="2723"/>
      <c r="C40" s="2723"/>
      <c r="D40" s="2723"/>
      <c r="E40" s="2723"/>
      <c r="F40" s="2723"/>
      <c r="G40" s="2723"/>
      <c r="H40" s="2723"/>
      <c r="I40" s="2723"/>
      <c r="J40" s="2724"/>
      <c r="K40" s="2724"/>
      <c r="L40" s="84"/>
      <c r="M40" s="84"/>
      <c r="N40" s="84"/>
      <c r="O40" s="84"/>
      <c r="P40" s="84"/>
      <c r="Q40" s="84"/>
      <c r="R40" s="84"/>
      <c r="S40" s="84"/>
    </row>
    <row r="41" spans="1:19">
      <c r="A41" s="2718">
        <v>17</v>
      </c>
      <c r="B41" s="2721"/>
      <c r="C41" s="2721"/>
      <c r="D41" s="2721"/>
      <c r="E41" s="2721"/>
      <c r="F41" s="2721"/>
      <c r="G41" s="2721"/>
      <c r="H41" s="2721"/>
      <c r="I41" s="2721"/>
      <c r="J41" s="2725"/>
      <c r="K41" s="2725"/>
      <c r="L41" s="84"/>
      <c r="M41" s="84"/>
      <c r="N41" s="84"/>
      <c r="O41" s="84"/>
      <c r="P41" s="84"/>
      <c r="Q41" s="84"/>
      <c r="R41" s="84"/>
      <c r="S41" s="84"/>
    </row>
    <row r="42" spans="1:19">
      <c r="A42" s="2718"/>
      <c r="B42" s="2721"/>
      <c r="C42" s="2721"/>
      <c r="D42" s="2721"/>
      <c r="E42" s="2721"/>
      <c r="F42" s="2721"/>
      <c r="G42" s="2721"/>
      <c r="H42" s="2721"/>
      <c r="I42" s="2721"/>
      <c r="J42" s="2725"/>
      <c r="K42" s="2725"/>
      <c r="L42" s="84"/>
      <c r="M42" s="84"/>
      <c r="N42" s="84"/>
      <c r="O42" s="84"/>
      <c r="P42" s="84"/>
      <c r="Q42" s="84"/>
      <c r="R42" s="84"/>
      <c r="S42" s="84"/>
    </row>
    <row r="43" spans="1:19">
      <c r="A43" s="2718">
        <v>18</v>
      </c>
      <c r="B43" s="2721"/>
      <c r="C43" s="2721"/>
      <c r="D43" s="2721"/>
      <c r="E43" s="2721"/>
      <c r="F43" s="2721"/>
      <c r="G43" s="2721"/>
      <c r="H43" s="2721"/>
      <c r="I43" s="2721"/>
      <c r="J43" s="2725"/>
      <c r="K43" s="2725"/>
      <c r="L43" s="84"/>
      <c r="M43" s="84"/>
      <c r="N43" s="84"/>
      <c r="O43" s="84"/>
      <c r="P43" s="84"/>
      <c r="Q43" s="84"/>
      <c r="R43" s="84"/>
      <c r="S43" s="84"/>
    </row>
    <row r="44" spans="1:19">
      <c r="A44" s="2718"/>
      <c r="B44" s="2721"/>
      <c r="C44" s="2721"/>
      <c r="D44" s="2721"/>
      <c r="E44" s="2721"/>
      <c r="F44" s="2721"/>
      <c r="G44" s="2721"/>
      <c r="H44" s="2721"/>
      <c r="I44" s="2721"/>
      <c r="J44" s="2725"/>
      <c r="K44" s="2725"/>
      <c r="L44" s="84"/>
      <c r="M44" s="84"/>
      <c r="N44" s="84"/>
      <c r="O44" s="84"/>
      <c r="P44" s="84"/>
      <c r="Q44" s="84"/>
      <c r="R44" s="84"/>
      <c r="S44" s="84"/>
    </row>
    <row r="45" spans="1:19">
      <c r="A45" s="2718">
        <v>19</v>
      </c>
      <c r="B45" s="2721"/>
      <c r="C45" s="2721"/>
      <c r="D45" s="2721"/>
      <c r="E45" s="2721"/>
      <c r="F45" s="2721"/>
      <c r="G45" s="2721"/>
      <c r="H45" s="2721"/>
      <c r="I45" s="2721"/>
      <c r="J45" s="2725"/>
      <c r="K45" s="2725"/>
      <c r="L45" s="84"/>
      <c r="M45" s="84"/>
      <c r="N45" s="84"/>
      <c r="O45" s="84"/>
      <c r="P45" s="84"/>
      <c r="Q45" s="84"/>
      <c r="R45" s="84"/>
      <c r="S45" s="84"/>
    </row>
    <row r="46" spans="1:19">
      <c r="A46" s="2718"/>
      <c r="B46" s="2721"/>
      <c r="C46" s="2721"/>
      <c r="D46" s="2721"/>
      <c r="E46" s="2721"/>
      <c r="F46" s="2721"/>
      <c r="G46" s="2721"/>
      <c r="H46" s="2721"/>
      <c r="I46" s="2721"/>
      <c r="J46" s="2725"/>
      <c r="K46" s="2725"/>
      <c r="L46" s="84"/>
      <c r="M46" s="84"/>
      <c r="N46" s="84"/>
      <c r="O46" s="84"/>
      <c r="P46" s="84"/>
      <c r="Q46" s="84"/>
      <c r="R46" s="84"/>
      <c r="S46" s="84"/>
    </row>
    <row r="47" spans="1:19">
      <c r="A47" s="2718">
        <v>20</v>
      </c>
      <c r="B47" s="2721"/>
      <c r="C47" s="2721"/>
      <c r="D47" s="2721"/>
      <c r="E47" s="2721"/>
      <c r="F47" s="2721"/>
      <c r="G47" s="2721"/>
      <c r="H47" s="2721"/>
      <c r="I47" s="2721"/>
      <c r="J47" s="2725"/>
      <c r="K47" s="2725"/>
      <c r="L47" s="84"/>
      <c r="M47" s="84"/>
      <c r="N47" s="84"/>
      <c r="O47" s="84"/>
      <c r="P47" s="84"/>
      <c r="Q47" s="84"/>
      <c r="R47" s="84"/>
      <c r="S47" s="84"/>
    </row>
    <row r="48" spans="1:19">
      <c r="A48" s="2718"/>
      <c r="B48" s="2721"/>
      <c r="C48" s="2721"/>
      <c r="D48" s="2721"/>
      <c r="E48" s="2721"/>
      <c r="F48" s="2721"/>
      <c r="G48" s="2721"/>
      <c r="H48" s="2721"/>
      <c r="I48" s="2721"/>
      <c r="J48" s="2725"/>
      <c r="K48" s="2725"/>
      <c r="L48" s="84"/>
      <c r="M48" s="84"/>
      <c r="N48" s="84"/>
      <c r="O48" s="84"/>
      <c r="P48" s="84"/>
      <c r="Q48" s="84"/>
      <c r="R48" s="84"/>
      <c r="S48" s="84"/>
    </row>
    <row r="49" spans="1:19">
      <c r="A49" s="2726">
        <v>21</v>
      </c>
      <c r="B49" s="2727"/>
      <c r="C49" s="2727"/>
      <c r="D49" s="2727"/>
      <c r="E49" s="2727"/>
      <c r="F49" s="2727"/>
      <c r="G49" s="2727"/>
      <c r="H49" s="2727"/>
      <c r="I49" s="2727"/>
      <c r="J49" s="2728"/>
      <c r="K49" s="2728"/>
      <c r="L49" s="84"/>
      <c r="M49" s="84"/>
      <c r="N49" s="84"/>
      <c r="O49" s="84"/>
      <c r="P49" s="84"/>
      <c r="Q49" s="84"/>
      <c r="R49" s="84"/>
      <c r="S49" s="84"/>
    </row>
    <row r="50" spans="1:19">
      <c r="A50" s="2726"/>
      <c r="B50" s="2727"/>
      <c r="C50" s="2727"/>
      <c r="D50" s="2727"/>
      <c r="E50" s="2727"/>
      <c r="F50" s="2727"/>
      <c r="G50" s="2727"/>
      <c r="H50" s="2727"/>
      <c r="I50" s="2727"/>
      <c r="J50" s="2728"/>
      <c r="K50" s="2728"/>
      <c r="L50" s="84"/>
      <c r="M50" s="84"/>
      <c r="N50" s="84"/>
      <c r="O50" s="84"/>
      <c r="P50" s="84"/>
      <c r="Q50" s="84"/>
      <c r="R50" s="84"/>
      <c r="S50" s="84"/>
    </row>
  </sheetData>
  <sheetProtection selectLockedCells="1" selectUnlockedCells="1"/>
  <mergeCells count="81">
    <mergeCell ref="A43:A44"/>
    <mergeCell ref="B43:I44"/>
    <mergeCell ref="J43:K44"/>
    <mergeCell ref="A49:A50"/>
    <mergeCell ref="B49:I50"/>
    <mergeCell ref="J49:K50"/>
    <mergeCell ref="A45:A46"/>
    <mergeCell ref="B45:I46"/>
    <mergeCell ref="J45:K46"/>
    <mergeCell ref="A47:A48"/>
    <mergeCell ref="B47:I48"/>
    <mergeCell ref="J47:K48"/>
    <mergeCell ref="A39:A40"/>
    <mergeCell ref="B39:I40"/>
    <mergeCell ref="J39:K40"/>
    <mergeCell ref="A41:A42"/>
    <mergeCell ref="B41:I42"/>
    <mergeCell ref="J41:K42"/>
    <mergeCell ref="A35:A36"/>
    <mergeCell ref="B35:I36"/>
    <mergeCell ref="J35:K36"/>
    <mergeCell ref="A37:A38"/>
    <mergeCell ref="B37:I38"/>
    <mergeCell ref="J37:K38"/>
    <mergeCell ref="A31:A32"/>
    <mergeCell ref="B31:I32"/>
    <mergeCell ref="J31:K32"/>
    <mergeCell ref="A33:A34"/>
    <mergeCell ref="B33:I34"/>
    <mergeCell ref="J33:K34"/>
    <mergeCell ref="A27:A28"/>
    <mergeCell ref="B27:I28"/>
    <mergeCell ref="J27:K28"/>
    <mergeCell ref="A29:A30"/>
    <mergeCell ref="B29:I30"/>
    <mergeCell ref="J29:K30"/>
    <mergeCell ref="A23:A24"/>
    <mergeCell ref="B23:I24"/>
    <mergeCell ref="J23:K24"/>
    <mergeCell ref="A25:A26"/>
    <mergeCell ref="B25:I26"/>
    <mergeCell ref="J25:K26"/>
    <mergeCell ref="A19:A20"/>
    <mergeCell ref="B19:I20"/>
    <mergeCell ref="J19:K20"/>
    <mergeCell ref="A21:A22"/>
    <mergeCell ref="B21:I22"/>
    <mergeCell ref="J21:K22"/>
    <mergeCell ref="A15:A16"/>
    <mergeCell ref="B15:I16"/>
    <mergeCell ref="J15:K16"/>
    <mergeCell ref="A17:A18"/>
    <mergeCell ref="B17:I18"/>
    <mergeCell ref="J17:K18"/>
    <mergeCell ref="A11:A12"/>
    <mergeCell ref="B11:I12"/>
    <mergeCell ref="J11:K12"/>
    <mergeCell ref="A13:A14"/>
    <mergeCell ref="B13:I14"/>
    <mergeCell ref="J13:K14"/>
    <mergeCell ref="H5:J5"/>
    <mergeCell ref="A6:K6"/>
    <mergeCell ref="A9:A10"/>
    <mergeCell ref="B9:I10"/>
    <mergeCell ref="J9:K10"/>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5.6"/>
  <cols>
    <col min="1" max="1" width="8.59765625" style="13" customWidth="1"/>
    <col min="2" max="2" width="29" style="13" customWidth="1"/>
    <col min="3" max="4" width="6.59765625" style="13" customWidth="1"/>
    <col min="5" max="5" width="29.09765625" style="13" customWidth="1"/>
    <col min="6" max="6" width="6.59765625" style="13" customWidth="1"/>
    <col min="7" max="16384" width="9" style="13"/>
  </cols>
  <sheetData>
    <row r="1" spans="1:11" ht="22.2">
      <c r="A1" s="2729" t="s">
        <v>281</v>
      </c>
      <c r="B1" s="2729"/>
      <c r="C1" s="2729"/>
      <c r="D1" s="2729"/>
      <c r="E1" s="2729"/>
      <c r="F1" s="2729"/>
      <c r="G1" s="14"/>
      <c r="H1" s="14"/>
      <c r="I1" s="14"/>
      <c r="J1" s="14"/>
      <c r="K1" s="14"/>
    </row>
    <row r="2" spans="1:11" ht="24.75" customHeight="1">
      <c r="A2" s="2730" t="s">
        <v>282</v>
      </c>
      <c r="B2" s="2731">
        <f>基本情况!B2</f>
        <v>0</v>
      </c>
      <c r="C2" s="2732" t="str">
        <f>"联系人："&amp;基本情况!B37</f>
        <v>联系人：0</v>
      </c>
      <c r="D2" s="2732"/>
      <c r="E2" s="2733" t="str">
        <f>"     联系电话："&amp;基本情况!B34</f>
        <v xml:space="preserve">     联系电话：0</v>
      </c>
      <c r="F2" s="2733"/>
      <c r="G2" s="14"/>
      <c r="H2" s="14"/>
      <c r="I2" s="14"/>
      <c r="J2" s="14"/>
      <c r="K2" s="14"/>
    </row>
    <row r="3" spans="1:11" ht="33.75" customHeight="1">
      <c r="A3" s="2730"/>
      <c r="B3" s="2731"/>
      <c r="C3" s="2732"/>
      <c r="D3" s="2732"/>
      <c r="E3" s="2733"/>
      <c r="F3" s="2733"/>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2"/>
      <c r="H5" s="14"/>
      <c r="I5" s="14"/>
      <c r="J5" s="14"/>
      <c r="K5" s="14"/>
    </row>
    <row r="6" spans="1:11" ht="18.75" customHeight="1">
      <c r="A6" s="21" t="s">
        <v>288</v>
      </c>
      <c r="B6" s="22" t="s">
        <v>289</v>
      </c>
      <c r="C6" s="15"/>
      <c r="D6" s="2099" t="s">
        <v>6677</v>
      </c>
      <c r="E6" s="2096" t="s">
        <v>6657</v>
      </c>
      <c r="F6" s="15"/>
      <c r="G6" s="2103"/>
      <c r="H6" s="14"/>
      <c r="I6" s="14"/>
      <c r="J6" s="14"/>
      <c r="K6" s="14"/>
    </row>
    <row r="7" spans="1:11" ht="18.75" customHeight="1">
      <c r="A7" s="21" t="s">
        <v>290</v>
      </c>
      <c r="B7" s="22" t="s">
        <v>291</v>
      </c>
      <c r="C7" s="15"/>
      <c r="D7" s="2099" t="s">
        <v>6678</v>
      </c>
      <c r="E7" s="31" t="s">
        <v>6658</v>
      </c>
      <c r="F7" s="15"/>
      <c r="G7" s="2104"/>
      <c r="H7" s="14"/>
      <c r="I7" s="14"/>
      <c r="J7" s="14"/>
      <c r="K7" s="14"/>
    </row>
    <row r="8" spans="1:11" ht="18.75" customHeight="1">
      <c r="A8" s="21" t="s">
        <v>293</v>
      </c>
      <c r="B8" s="22" t="s">
        <v>294</v>
      </c>
      <c r="C8" s="15"/>
      <c r="D8" s="2099" t="s">
        <v>6679</v>
      </c>
      <c r="E8" s="2097" t="s">
        <v>6659</v>
      </c>
      <c r="F8" s="15"/>
      <c r="G8" s="2104"/>
      <c r="H8" s="14"/>
      <c r="I8" s="14"/>
      <c r="J8" s="14"/>
      <c r="K8" s="14"/>
    </row>
    <row r="9" spans="1:11" ht="18.75" customHeight="1">
      <c r="A9" s="21" t="s">
        <v>297</v>
      </c>
      <c r="B9" s="22" t="s">
        <v>298</v>
      </c>
      <c r="C9" s="15"/>
      <c r="D9" s="2099" t="s">
        <v>6680</v>
      </c>
      <c r="E9" s="2098" t="s">
        <v>6660</v>
      </c>
      <c r="F9" s="15"/>
      <c r="G9" s="2105"/>
      <c r="H9" s="14"/>
      <c r="I9" s="14"/>
      <c r="J9" s="14"/>
      <c r="K9" s="14"/>
    </row>
    <row r="10" spans="1:11" ht="18.75" customHeight="1">
      <c r="A10" s="21" t="s">
        <v>301</v>
      </c>
      <c r="B10" s="22" t="s">
        <v>302</v>
      </c>
      <c r="C10" s="15"/>
      <c r="D10" s="2099" t="s">
        <v>6681</v>
      </c>
      <c r="E10" s="2106" t="s">
        <v>6661</v>
      </c>
      <c r="F10" s="15"/>
      <c r="G10" s="14"/>
      <c r="H10" s="14"/>
      <c r="I10" s="14"/>
      <c r="J10" s="14"/>
      <c r="K10" s="14"/>
    </row>
    <row r="11" spans="1:11" ht="18.75" customHeight="1">
      <c r="A11" s="21" t="s">
        <v>305</v>
      </c>
      <c r="B11" s="22" t="s">
        <v>306</v>
      </c>
      <c r="C11" s="15"/>
      <c r="D11" s="2099" t="s">
        <v>6682</v>
      </c>
      <c r="E11" s="2106" t="s">
        <v>6662</v>
      </c>
      <c r="F11" s="15"/>
      <c r="G11" s="14"/>
      <c r="H11" s="14"/>
      <c r="I11" s="14"/>
      <c r="J11" s="14"/>
      <c r="K11" s="14"/>
    </row>
    <row r="12" spans="1:11" ht="18.75" customHeight="1">
      <c r="A12" s="21" t="s">
        <v>309</v>
      </c>
      <c r="B12" s="22" t="s">
        <v>310</v>
      </c>
      <c r="C12" s="15"/>
      <c r="D12" s="2099" t="s">
        <v>6683</v>
      </c>
      <c r="E12" s="2106" t="s">
        <v>6663</v>
      </c>
      <c r="F12" s="15"/>
      <c r="G12" s="14"/>
      <c r="H12" s="14"/>
      <c r="I12" s="14"/>
      <c r="J12" s="14"/>
      <c r="K12" s="14"/>
    </row>
    <row r="13" spans="1:11" ht="18.75" customHeight="1">
      <c r="A13" s="21" t="s">
        <v>313</v>
      </c>
      <c r="B13" s="22" t="s">
        <v>314</v>
      </c>
      <c r="C13" s="15"/>
      <c r="D13" s="2099" t="s">
        <v>6684</v>
      </c>
      <c r="E13" s="2106" t="s">
        <v>6664</v>
      </c>
      <c r="F13" s="15"/>
      <c r="G13" s="14"/>
      <c r="H13" s="14"/>
      <c r="I13" s="14"/>
      <c r="J13" s="14"/>
      <c r="K13" s="14"/>
    </row>
    <row r="14" spans="1:11" ht="18.75" customHeight="1">
      <c r="A14" s="21" t="s">
        <v>317</v>
      </c>
      <c r="B14" s="22" t="s">
        <v>318</v>
      </c>
      <c r="C14" s="15"/>
      <c r="D14" s="2099" t="s">
        <v>6685</v>
      </c>
      <c r="E14" s="2106" t="s">
        <v>6665</v>
      </c>
      <c r="F14" s="15"/>
      <c r="G14" s="14"/>
      <c r="H14" s="14"/>
      <c r="I14" s="14"/>
      <c r="J14" s="14"/>
      <c r="K14" s="14"/>
    </row>
    <row r="15" spans="1:11" ht="18.75" customHeight="1">
      <c r="A15" s="21" t="s">
        <v>321</v>
      </c>
      <c r="B15" s="22" t="s">
        <v>322</v>
      </c>
      <c r="C15" s="15"/>
      <c r="D15" s="2099" t="s">
        <v>6686</v>
      </c>
      <c r="E15" s="2108" t="s">
        <v>6666</v>
      </c>
      <c r="F15" s="15"/>
      <c r="G15" s="14"/>
      <c r="H15" s="14"/>
      <c r="I15" s="14"/>
      <c r="J15" s="14"/>
      <c r="K15" s="14"/>
    </row>
    <row r="16" spans="1:11" ht="18.75" customHeight="1">
      <c r="A16" s="21" t="s">
        <v>325</v>
      </c>
      <c r="B16" s="22" t="s">
        <v>326</v>
      </c>
      <c r="C16" s="15"/>
      <c r="D16" s="2099" t="s">
        <v>6687</v>
      </c>
      <c r="E16" s="2106" t="s">
        <v>6668</v>
      </c>
      <c r="F16" s="15"/>
      <c r="G16" s="14"/>
      <c r="H16" s="14"/>
      <c r="I16" s="14"/>
      <c r="J16" s="14"/>
      <c r="K16" s="14"/>
    </row>
    <row r="17" spans="1:11" ht="18.75" customHeight="1">
      <c r="A17" s="21" t="s">
        <v>329</v>
      </c>
      <c r="B17" s="22" t="s">
        <v>330</v>
      </c>
      <c r="C17" s="15"/>
      <c r="D17" s="2099" t="s">
        <v>6688</v>
      </c>
      <c r="E17" s="2106" t="s">
        <v>6669</v>
      </c>
      <c r="F17" s="15"/>
      <c r="G17" s="14"/>
      <c r="H17" s="14"/>
      <c r="I17" s="14"/>
      <c r="J17" s="14"/>
      <c r="K17" s="14"/>
    </row>
    <row r="18" spans="1:11" ht="18.75" customHeight="1">
      <c r="A18" s="21" t="s">
        <v>333</v>
      </c>
      <c r="B18" s="22" t="s">
        <v>334</v>
      </c>
      <c r="C18" s="15"/>
      <c r="D18" s="2099" t="s">
        <v>6689</v>
      </c>
      <c r="E18" s="2106" t="s">
        <v>6670</v>
      </c>
      <c r="F18" s="15"/>
      <c r="G18" s="14"/>
      <c r="H18" s="14"/>
      <c r="I18" s="14"/>
      <c r="J18" s="14"/>
      <c r="K18" s="14"/>
    </row>
    <row r="19" spans="1:11" ht="24" customHeight="1">
      <c r="A19" s="25" t="s">
        <v>335</v>
      </c>
      <c r="B19" s="17"/>
      <c r="C19" s="18"/>
      <c r="D19" s="2099" t="s">
        <v>6690</v>
      </c>
      <c r="E19" s="2106" t="s">
        <v>6671</v>
      </c>
      <c r="F19" s="15"/>
      <c r="G19" s="14"/>
      <c r="H19" s="14"/>
      <c r="I19" s="14"/>
      <c r="J19" s="14"/>
      <c r="K19" s="14"/>
    </row>
    <row r="20" spans="1:11" ht="22.5" customHeight="1">
      <c r="A20" s="19" t="s">
        <v>337</v>
      </c>
      <c r="B20" s="17"/>
      <c r="C20" s="23"/>
      <c r="D20" s="2099" t="s">
        <v>6691</v>
      </c>
      <c r="E20" s="2107" t="s">
        <v>6672</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10081</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1443</v>
      </c>
      <c r="B33" s="1281" t="s">
        <v>1445</v>
      </c>
      <c r="C33" s="20"/>
      <c r="D33" s="27" t="s">
        <v>336</v>
      </c>
      <c r="E33" s="17"/>
      <c r="F33" s="20"/>
      <c r="G33" s="14"/>
      <c r="H33" s="14"/>
      <c r="I33" s="14"/>
      <c r="J33" s="14"/>
      <c r="K33" s="14"/>
    </row>
    <row r="34" spans="1:11" ht="22.5" customHeight="1">
      <c r="A34" s="21" t="s">
        <v>1444</v>
      </c>
      <c r="B34" s="1282" t="s">
        <v>1446</v>
      </c>
      <c r="C34" s="20"/>
      <c r="D34" s="21" t="s">
        <v>338</v>
      </c>
      <c r="E34" s="22" t="s">
        <v>339</v>
      </c>
      <c r="F34" s="20"/>
      <c r="G34" s="14"/>
      <c r="H34" s="14"/>
      <c r="I34" s="14"/>
      <c r="J34" s="14"/>
      <c r="K34" s="14"/>
    </row>
    <row r="35" spans="1:11" ht="22.5" customHeight="1">
      <c r="A35" s="21" t="s">
        <v>6633</v>
      </c>
      <c r="B35" s="2095" t="s">
        <v>6647</v>
      </c>
      <c r="C35" s="20"/>
      <c r="D35" s="21" t="s">
        <v>342</v>
      </c>
      <c r="E35" s="22" t="s">
        <v>343</v>
      </c>
      <c r="F35" s="20"/>
      <c r="G35" s="14"/>
      <c r="H35" s="14"/>
      <c r="I35" s="14"/>
      <c r="J35" s="14"/>
      <c r="K35" s="14"/>
    </row>
    <row r="36" spans="1:11" ht="22.5" customHeight="1">
      <c r="A36" s="21" t="s">
        <v>6634</v>
      </c>
      <c r="B36" s="22" t="s">
        <v>6648</v>
      </c>
      <c r="C36" s="20"/>
      <c r="D36" s="21" t="s">
        <v>346</v>
      </c>
      <c r="E36" s="22" t="s">
        <v>347</v>
      </c>
      <c r="F36" s="20"/>
      <c r="G36" s="14"/>
      <c r="H36" s="14"/>
      <c r="I36" s="14"/>
      <c r="J36" s="14"/>
      <c r="K36" s="14"/>
    </row>
    <row r="37" spans="1:11" ht="22.5" customHeight="1">
      <c r="A37" s="21" t="s">
        <v>6635</v>
      </c>
      <c r="B37" s="22" t="s">
        <v>6649</v>
      </c>
      <c r="C37" s="20"/>
      <c r="D37" s="21" t="s">
        <v>350</v>
      </c>
      <c r="E37" s="22" t="s">
        <v>351</v>
      </c>
      <c r="F37" s="20"/>
      <c r="G37" s="14"/>
      <c r="H37" s="14"/>
      <c r="I37" s="14"/>
      <c r="J37" s="14"/>
      <c r="K37" s="14"/>
    </row>
    <row r="38" spans="1:11" ht="22.5" customHeight="1">
      <c r="A38" s="21" t="s">
        <v>6636</v>
      </c>
      <c r="B38" s="22" t="s">
        <v>6650</v>
      </c>
      <c r="C38" s="20"/>
      <c r="D38" s="21" t="s">
        <v>354</v>
      </c>
      <c r="E38" s="22" t="s">
        <v>355</v>
      </c>
      <c r="F38" s="20"/>
      <c r="G38" s="14"/>
      <c r="H38" s="14"/>
      <c r="I38" s="14"/>
      <c r="J38" s="14"/>
      <c r="K38" s="14"/>
    </row>
    <row r="39" spans="1:11" ht="22.5" customHeight="1">
      <c r="A39" s="21" t="s">
        <v>6637</v>
      </c>
      <c r="B39" s="22" t="s">
        <v>6651</v>
      </c>
      <c r="C39" s="20"/>
      <c r="D39" s="21" t="s">
        <v>357</v>
      </c>
      <c r="E39" s="22" t="s">
        <v>358</v>
      </c>
      <c r="F39" s="20"/>
      <c r="G39" s="14"/>
      <c r="H39" s="14"/>
      <c r="I39" s="14"/>
      <c r="J39" s="14"/>
      <c r="K39" s="14"/>
    </row>
    <row r="40" spans="1:11" ht="22.5" customHeight="1">
      <c r="A40" s="21" t="s">
        <v>6638</v>
      </c>
      <c r="B40" s="22" t="s">
        <v>6652</v>
      </c>
      <c r="C40" s="20"/>
      <c r="D40" s="21" t="s">
        <v>361</v>
      </c>
      <c r="E40" s="22" t="s">
        <v>362</v>
      </c>
      <c r="F40" s="20"/>
      <c r="G40" s="14"/>
      <c r="H40" s="14"/>
      <c r="I40" s="14"/>
      <c r="J40" s="14"/>
      <c r="K40" s="14"/>
    </row>
    <row r="41" spans="1:11" ht="22.5" customHeight="1">
      <c r="A41" s="21" t="s">
        <v>6639</v>
      </c>
      <c r="B41" s="22" t="s">
        <v>6653</v>
      </c>
      <c r="C41" s="20"/>
      <c r="D41" s="21" t="s">
        <v>365</v>
      </c>
      <c r="E41" s="22" t="s">
        <v>366</v>
      </c>
      <c r="F41" s="20"/>
      <c r="G41" s="14"/>
      <c r="H41" s="14"/>
      <c r="I41" s="14"/>
      <c r="J41" s="14"/>
      <c r="K41" s="14"/>
    </row>
    <row r="42" spans="1:11" ht="22.5" customHeight="1">
      <c r="A42" s="21" t="s">
        <v>6640</v>
      </c>
      <c r="B42" s="22" t="s">
        <v>6654</v>
      </c>
      <c r="C42" s="20"/>
      <c r="D42" s="21" t="s">
        <v>369</v>
      </c>
      <c r="E42" s="22" t="s">
        <v>370</v>
      </c>
      <c r="F42" s="20"/>
      <c r="G42" s="14"/>
      <c r="H42" s="14"/>
      <c r="I42" s="14"/>
      <c r="J42" s="14"/>
      <c r="K42" s="14"/>
    </row>
    <row r="43" spans="1:11" ht="22.5" customHeight="1">
      <c r="A43" s="21" t="s">
        <v>6641</v>
      </c>
      <c r="B43" s="22" t="s">
        <v>6655</v>
      </c>
      <c r="C43" s="20"/>
      <c r="D43" s="21" t="s">
        <v>373</v>
      </c>
      <c r="E43" s="28" t="s">
        <v>374</v>
      </c>
      <c r="F43" s="20"/>
      <c r="G43" s="14"/>
      <c r="H43" s="14"/>
      <c r="I43" s="14"/>
      <c r="J43" s="14"/>
      <c r="K43" s="14"/>
    </row>
    <row r="44" spans="1:11" ht="22.5" customHeight="1">
      <c r="A44" s="21" t="s">
        <v>6642</v>
      </c>
      <c r="B44" s="22" t="s">
        <v>6656</v>
      </c>
      <c r="C44" s="20"/>
      <c r="D44" s="21" t="s">
        <v>377</v>
      </c>
      <c r="E44" s="22" t="s">
        <v>378</v>
      </c>
      <c r="F44" s="20"/>
      <c r="G44" s="14"/>
      <c r="H44" s="14"/>
      <c r="I44" s="14"/>
      <c r="J44" s="14"/>
      <c r="K44" s="14"/>
    </row>
    <row r="45" spans="1:11" ht="22.5" customHeight="1">
      <c r="A45" s="21" t="s">
        <v>6643</v>
      </c>
      <c r="B45" s="2106" t="s">
        <v>6673</v>
      </c>
      <c r="C45" s="20"/>
      <c r="D45" s="29"/>
      <c r="E45" s="30"/>
      <c r="F45" s="20"/>
      <c r="G45" s="14"/>
      <c r="H45" s="14"/>
      <c r="I45" s="14"/>
      <c r="J45" s="14"/>
      <c r="K45" s="14"/>
    </row>
    <row r="46" spans="1:11" ht="22.5" customHeight="1">
      <c r="A46" s="21" t="s">
        <v>6644</v>
      </c>
      <c r="B46" s="2106" t="s">
        <v>6674</v>
      </c>
      <c r="C46" s="32"/>
      <c r="D46" s="33"/>
      <c r="E46" s="34"/>
      <c r="F46" s="32"/>
      <c r="G46" s="14"/>
      <c r="H46" s="14"/>
      <c r="I46" s="14"/>
      <c r="J46" s="14"/>
      <c r="K46" s="14"/>
    </row>
    <row r="47" spans="1:11" ht="22.5" customHeight="1">
      <c r="A47" s="21" t="s">
        <v>6645</v>
      </c>
      <c r="B47" s="2106" t="s">
        <v>6675</v>
      </c>
      <c r="C47" s="35"/>
      <c r="D47" s="36" t="s">
        <v>383</v>
      </c>
      <c r="E47" s="37"/>
      <c r="F47" s="38"/>
      <c r="G47" s="14"/>
      <c r="H47" s="14"/>
      <c r="I47" s="14"/>
      <c r="J47" s="14"/>
      <c r="K47" s="14"/>
    </row>
    <row r="48" spans="1:11" ht="22.5" customHeight="1">
      <c r="A48" s="21" t="s">
        <v>6646</v>
      </c>
      <c r="B48" s="2106" t="s">
        <v>6676</v>
      </c>
      <c r="C48" s="35"/>
      <c r="D48" s="36"/>
      <c r="E48" s="37"/>
      <c r="F48" s="38"/>
      <c r="G48" s="14"/>
      <c r="H48" s="14"/>
      <c r="I48" s="14"/>
      <c r="J48" s="14"/>
      <c r="K48" s="14"/>
    </row>
    <row r="49" spans="1:6" ht="22.5" customHeight="1">
      <c r="A49" s="2100"/>
      <c r="B49" s="2101"/>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5.6"/>
  <cols>
    <col min="1" max="1" width="10.19921875" style="91" customWidth="1"/>
    <col min="2" max="2" width="32.5" style="92" customWidth="1"/>
    <col min="3" max="3" width="8.19921875" style="92" customWidth="1"/>
    <col min="4" max="4" width="9.5" style="92" customWidth="1"/>
    <col min="5" max="5" width="19.19921875" style="92" customWidth="1"/>
    <col min="6" max="16384" width="9" style="92"/>
  </cols>
  <sheetData>
    <row r="1" spans="1:11" s="95" customFormat="1" ht="24" customHeight="1">
      <c r="A1" s="2746" t="s">
        <v>7698</v>
      </c>
      <c r="B1" s="2746"/>
      <c r="C1" s="2746"/>
      <c r="D1" s="2746"/>
      <c r="E1" s="2746"/>
      <c r="F1" s="93"/>
      <c r="G1" s="93"/>
      <c r="H1" s="93"/>
      <c r="I1" s="94"/>
      <c r="J1" s="94"/>
      <c r="K1" s="94"/>
    </row>
    <row r="2" spans="1:11" ht="24" customHeight="1">
      <c r="A2" s="2747" t="s">
        <v>458</v>
      </c>
      <c r="B2" s="2747"/>
      <c r="C2" s="2747"/>
      <c r="D2" s="2747"/>
      <c r="E2" s="96" t="str">
        <f>"索引号："&amp;档案索引!A20</f>
        <v>索引号：A、调增项目类</v>
      </c>
      <c r="F2" s="97"/>
      <c r="G2" s="97"/>
      <c r="H2" s="97"/>
      <c r="I2" s="98"/>
      <c r="J2" s="98"/>
      <c r="K2" s="98"/>
    </row>
    <row r="3" spans="1:11" ht="6.75" customHeight="1">
      <c r="A3" s="2748"/>
      <c r="B3" s="2748"/>
      <c r="C3" s="2748"/>
      <c r="D3" s="2748"/>
      <c r="E3" s="2748"/>
      <c r="F3" s="97"/>
      <c r="G3" s="97"/>
      <c r="H3" s="97"/>
      <c r="I3" s="98"/>
      <c r="J3" s="98"/>
      <c r="K3" s="98"/>
    </row>
    <row r="4" spans="1:11" ht="36" customHeight="1">
      <c r="A4" s="99" t="s">
        <v>447</v>
      </c>
      <c r="B4" s="2749">
        <f>基本情况!B2</f>
        <v>0</v>
      </c>
      <c r="C4" s="2749"/>
      <c r="D4" s="99" t="s">
        <v>459</v>
      </c>
      <c r="E4" s="1314">
        <f>基本情况!B17</f>
        <v>1500</v>
      </c>
      <c r="F4" s="97"/>
      <c r="G4" s="97"/>
      <c r="H4" s="97"/>
      <c r="I4" s="98"/>
      <c r="J4" s="98"/>
      <c r="K4" s="98"/>
    </row>
    <row r="5" spans="1:11" ht="32.25" customHeight="1">
      <c r="A5" s="99" t="s">
        <v>402</v>
      </c>
      <c r="B5" s="2749">
        <f>基本情况!B18</f>
        <v>0</v>
      </c>
      <c r="C5" s="2749"/>
      <c r="D5" s="99" t="s">
        <v>460</v>
      </c>
      <c r="E5" s="100" t="str">
        <f>基本情况!B3</f>
        <v>企业所得税年度纳税申报审核</v>
      </c>
      <c r="F5" s="97"/>
      <c r="G5" s="97"/>
      <c r="H5" s="97"/>
      <c r="I5" s="98"/>
      <c r="J5" s="98"/>
      <c r="K5" s="98"/>
    </row>
    <row r="6" spans="1:11" ht="33" customHeight="1">
      <c r="A6" s="2745" t="s">
        <v>461</v>
      </c>
      <c r="B6" s="2742"/>
      <c r="C6" s="2742"/>
      <c r="D6" s="2742"/>
      <c r="E6" s="2742"/>
      <c r="F6" s="98"/>
      <c r="G6" s="98"/>
      <c r="H6" s="98"/>
      <c r="I6" s="98"/>
      <c r="J6" s="98"/>
      <c r="K6" s="98"/>
    </row>
    <row r="7" spans="1:11" ht="33" customHeight="1">
      <c r="A7" s="2745"/>
      <c r="B7" s="2742"/>
      <c r="C7" s="2742"/>
      <c r="D7" s="2742"/>
      <c r="E7" s="2742"/>
      <c r="F7" s="98"/>
      <c r="G7" s="98"/>
      <c r="H7" s="98"/>
      <c r="I7" s="98"/>
      <c r="J7" s="98"/>
      <c r="K7" s="98"/>
    </row>
    <row r="8" spans="1:11" ht="28.5" customHeight="1">
      <c r="A8" s="2745"/>
      <c r="B8" s="2743" t="str">
        <f>"  签字："&amp;基本情况!B12&amp;"                         日期："&amp;基本情况!B20</f>
        <v xml:space="preserve">  签字：                         日期：2017年5月4日</v>
      </c>
      <c r="C8" s="2743"/>
      <c r="D8" s="2743"/>
      <c r="E8" s="2743"/>
      <c r="F8" s="98"/>
      <c r="G8" s="98"/>
      <c r="H8" s="98"/>
      <c r="I8" s="98"/>
      <c r="J8" s="98"/>
      <c r="K8" s="98"/>
    </row>
    <row r="9" spans="1:11" ht="33" customHeight="1">
      <c r="A9" s="2740" t="s">
        <v>462</v>
      </c>
      <c r="B9" s="2744"/>
      <c r="C9" s="2744"/>
      <c r="D9" s="2744"/>
      <c r="E9" s="2744"/>
      <c r="F9" s="98"/>
      <c r="G9" s="98"/>
      <c r="H9" s="98"/>
      <c r="I9" s="98"/>
      <c r="J9" s="98"/>
      <c r="K9" s="98"/>
    </row>
    <row r="10" spans="1:11" ht="33" customHeight="1">
      <c r="A10" s="2740"/>
      <c r="B10" s="2744"/>
      <c r="C10" s="2744"/>
      <c r="D10" s="2744"/>
      <c r="E10" s="2744"/>
      <c r="F10" s="98"/>
      <c r="G10" s="98"/>
      <c r="H10" s="98"/>
      <c r="I10" s="98"/>
      <c r="J10" s="98"/>
      <c r="K10" s="98"/>
    </row>
    <row r="11" spans="1:11" ht="36" customHeight="1">
      <c r="A11" s="2740"/>
      <c r="B11" s="2739" t="str">
        <f>"  签字："&amp;基本情况!B11&amp;"                         日期："&amp;基本情况!B20</f>
        <v xml:space="preserve">  签字：                         日期：2017年5月4日</v>
      </c>
      <c r="C11" s="2739"/>
      <c r="D11" s="2739"/>
      <c r="E11" s="2739"/>
      <c r="F11" s="98"/>
      <c r="G11" s="98"/>
      <c r="H11" s="98"/>
      <c r="I11" s="98"/>
      <c r="J11" s="98"/>
      <c r="K11" s="98"/>
    </row>
    <row r="12" spans="1:11" ht="33" customHeight="1">
      <c r="A12" s="2740" t="s">
        <v>463</v>
      </c>
      <c r="B12" s="2741"/>
      <c r="C12" s="2741"/>
      <c r="D12" s="2741"/>
      <c r="E12" s="2741"/>
      <c r="F12" s="98"/>
      <c r="G12" s="98"/>
      <c r="H12" s="98"/>
      <c r="I12" s="98"/>
      <c r="J12" s="98"/>
      <c r="K12" s="98"/>
    </row>
    <row r="13" spans="1:11" ht="33" customHeight="1">
      <c r="A13" s="2740"/>
      <c r="B13" s="2741"/>
      <c r="C13" s="2741"/>
      <c r="D13" s="2741"/>
      <c r="E13" s="2741"/>
      <c r="F13" s="98"/>
      <c r="G13" s="98"/>
      <c r="H13" s="98"/>
      <c r="I13" s="98"/>
      <c r="J13" s="98"/>
      <c r="K13" s="98"/>
    </row>
    <row r="14" spans="1:11" ht="36" customHeight="1">
      <c r="A14" s="2740"/>
      <c r="B14" s="2739" t="str">
        <f>"  签字："&amp;基本情况!B10&amp;"                         日期："&amp;基本情况!B20</f>
        <v xml:space="preserve">  签字：                         日期：2017年5月4日</v>
      </c>
      <c r="C14" s="2739"/>
      <c r="D14" s="2739"/>
      <c r="E14" s="2739"/>
      <c r="F14" s="98"/>
      <c r="G14" s="98"/>
      <c r="H14" s="98"/>
      <c r="I14" s="98"/>
      <c r="J14" s="98"/>
      <c r="K14" s="98"/>
    </row>
    <row r="15" spans="1:11" ht="33" customHeight="1">
      <c r="A15" s="2740" t="s">
        <v>464</v>
      </c>
      <c r="B15" s="2741"/>
      <c r="C15" s="2741"/>
      <c r="D15" s="2741"/>
      <c r="E15" s="2741"/>
      <c r="F15" s="98"/>
      <c r="G15" s="98"/>
      <c r="H15" s="98"/>
      <c r="I15" s="98"/>
      <c r="J15" s="98"/>
      <c r="K15" s="98"/>
    </row>
    <row r="16" spans="1:11" ht="33" customHeight="1">
      <c r="A16" s="2740"/>
      <c r="B16" s="2741"/>
      <c r="C16" s="2741"/>
      <c r="D16" s="2741"/>
      <c r="E16" s="2741"/>
      <c r="F16" s="98"/>
      <c r="G16" s="98"/>
      <c r="H16" s="98"/>
      <c r="I16" s="98"/>
      <c r="J16" s="98"/>
      <c r="K16" s="98"/>
    </row>
    <row r="17" spans="1:11" ht="36" customHeight="1">
      <c r="A17" s="2740"/>
      <c r="B17" s="2739" t="str">
        <f>"  签字："&amp;基本情况!B9&amp;"                         日期："&amp;基本情况!B20</f>
        <v xml:space="preserve">  签字：                         日期：2017年5月4日</v>
      </c>
      <c r="C17" s="2739"/>
      <c r="D17" s="2739"/>
      <c r="E17" s="2739"/>
      <c r="F17" s="98"/>
      <c r="G17" s="98"/>
      <c r="H17" s="98"/>
      <c r="I17" s="98"/>
      <c r="J17" s="98"/>
      <c r="K17" s="98"/>
    </row>
    <row r="18" spans="1:11" ht="30" customHeight="1">
      <c r="A18" s="2740" t="s">
        <v>465</v>
      </c>
      <c r="B18" s="101" t="s">
        <v>466</v>
      </c>
      <c r="C18" s="2751" t="s">
        <v>467</v>
      </c>
      <c r="D18" s="2751"/>
      <c r="E18" s="2751"/>
      <c r="F18" s="98"/>
      <c r="G18" s="98"/>
      <c r="H18" s="98"/>
      <c r="I18" s="98"/>
      <c r="J18" s="98"/>
      <c r="K18" s="98"/>
    </row>
    <row r="19" spans="1:11" ht="22.5" customHeight="1">
      <c r="A19" s="2740"/>
      <c r="B19" s="2759" t="s">
        <v>468</v>
      </c>
      <c r="C19" s="2759"/>
      <c r="D19" s="2759"/>
      <c r="E19" s="2759"/>
      <c r="F19" s="98"/>
      <c r="G19" s="98"/>
      <c r="H19" s="98"/>
      <c r="I19" s="98"/>
      <c r="J19" s="98"/>
      <c r="K19" s="98"/>
    </row>
    <row r="20" spans="1:11" ht="36" customHeight="1">
      <c r="A20" s="2740"/>
      <c r="B20" s="2752" t="s">
        <v>1453</v>
      </c>
      <c r="C20" s="2752"/>
      <c r="D20" s="2752"/>
      <c r="E20" s="2752"/>
      <c r="F20" s="98"/>
      <c r="G20" s="98"/>
      <c r="H20" s="98"/>
      <c r="I20" s="98"/>
      <c r="J20" s="98"/>
      <c r="K20" s="98"/>
    </row>
    <row r="21" spans="1:11" ht="30" customHeight="1">
      <c r="A21" s="2740"/>
      <c r="B21" s="102" t="s">
        <v>1454</v>
      </c>
      <c r="C21" s="2736" t="s">
        <v>1455</v>
      </c>
      <c r="D21" s="2736"/>
      <c r="E21" s="2736"/>
      <c r="F21" s="98"/>
      <c r="G21" s="98"/>
      <c r="H21" s="98"/>
      <c r="I21" s="98"/>
      <c r="J21" s="98"/>
      <c r="K21" s="98"/>
    </row>
    <row r="22" spans="1:11" ht="30" customHeight="1">
      <c r="A22" s="2753" t="s">
        <v>455</v>
      </c>
      <c r="B22" s="2755" t="s">
        <v>266</v>
      </c>
      <c r="C22" s="2756"/>
      <c r="D22" s="2757">
        <f ca="1">'A100000中华人民共和国企业所得税年度纳税申报表（A类）'!D22</f>
        <v>0</v>
      </c>
      <c r="E22" s="2758"/>
      <c r="F22" s="2734" t="s">
        <v>648</v>
      </c>
      <c r="G22" s="2735"/>
      <c r="H22" s="2735"/>
      <c r="I22" s="2735"/>
      <c r="J22" s="98"/>
      <c r="K22" s="98"/>
    </row>
    <row r="23" spans="1:11" ht="24" customHeight="1">
      <c r="A23" s="2754"/>
      <c r="B23" s="2737" t="s">
        <v>265</v>
      </c>
      <c r="C23" s="2738"/>
      <c r="D23" s="2757">
        <f ca="1">'A100000中华人民共和国企业所得税年度纳税申报表（A类）'!D26</f>
        <v>0</v>
      </c>
      <c r="E23" s="2758"/>
      <c r="F23" s="98"/>
      <c r="G23" s="98"/>
      <c r="H23" s="98"/>
      <c r="I23" s="98"/>
      <c r="J23" s="98"/>
      <c r="K23" s="98"/>
    </row>
    <row r="24" spans="1:11" ht="24" customHeight="1">
      <c r="A24" s="2754"/>
      <c r="B24" s="2762" t="s">
        <v>263</v>
      </c>
      <c r="C24" s="2763"/>
      <c r="D24" s="2760">
        <f ca="1">'A100000中华人民共和国企业所得税年度纳税申报表（A类）'!D36</f>
        <v>0</v>
      </c>
      <c r="E24" s="2761"/>
      <c r="F24" s="98"/>
      <c r="G24" s="98"/>
      <c r="H24" s="98"/>
      <c r="I24" s="98"/>
      <c r="J24" s="98"/>
      <c r="K24" s="98"/>
    </row>
    <row r="25" spans="1:11" ht="39" customHeight="1">
      <c r="A25" s="2717"/>
      <c r="B25" s="2750"/>
      <c r="C25" s="2750"/>
      <c r="D25" s="2750"/>
      <c r="E25" s="2750"/>
      <c r="F25" s="98"/>
      <c r="G25" s="98"/>
      <c r="H25" s="98"/>
      <c r="I25" s="98"/>
      <c r="J25" s="98"/>
      <c r="K25" s="98"/>
    </row>
  </sheetData>
  <sheetProtection selectLockedCells="1" selectUnlockedCells="1"/>
  <mergeCells count="31">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 ref="A1:E1"/>
    <mergeCell ref="A2:D2"/>
    <mergeCell ref="A3:E3"/>
    <mergeCell ref="B4:C4"/>
    <mergeCell ref="B5:C5"/>
    <mergeCell ref="B6:E7"/>
    <mergeCell ref="B8:E8"/>
    <mergeCell ref="A9:A11"/>
    <mergeCell ref="B9:E10"/>
    <mergeCell ref="A6:A8"/>
    <mergeCell ref="F22:I22"/>
    <mergeCell ref="C21:E21"/>
    <mergeCell ref="B23:C23"/>
    <mergeCell ref="B11:E11"/>
    <mergeCell ref="A12:A14"/>
    <mergeCell ref="B12:E13"/>
    <mergeCell ref="B14:E1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5.6"/>
  <cols>
    <col min="1" max="1" width="4.59765625" style="103" customWidth="1"/>
    <col min="2" max="2" width="5" style="103" customWidth="1"/>
    <col min="3" max="9" width="6" style="103" customWidth="1"/>
    <col min="10" max="10" width="22.19921875" style="103" customWidth="1"/>
    <col min="11" max="11" width="8.19921875" style="103" customWidth="1"/>
    <col min="12" max="16384" width="9" style="103"/>
  </cols>
  <sheetData>
    <row r="1" spans="1:17" ht="27" customHeight="1">
      <c r="A1" s="2764" t="s">
        <v>294</v>
      </c>
      <c r="B1" s="2764"/>
      <c r="C1" s="2764"/>
      <c r="D1" s="2764"/>
      <c r="E1" s="2764"/>
      <c r="F1" s="2764"/>
      <c r="G1" s="2764"/>
      <c r="H1" s="2764"/>
      <c r="I1" s="2764"/>
      <c r="J1" s="2764"/>
      <c r="K1" s="2764"/>
      <c r="L1" s="104"/>
      <c r="M1" s="104"/>
      <c r="N1" s="104"/>
      <c r="O1" s="104"/>
      <c r="P1" s="104"/>
      <c r="Q1" s="104"/>
    </row>
    <row r="2" spans="1:17" ht="25.5" customHeight="1">
      <c r="A2" s="2765" t="str">
        <f>"委托单位名称："&amp;基本情况!B2</f>
        <v>委托单位名称：0</v>
      </c>
      <c r="B2" s="2765"/>
      <c r="C2" s="2765"/>
      <c r="D2" s="2765"/>
      <c r="E2" s="2765"/>
      <c r="F2" s="2765"/>
      <c r="G2" s="2765"/>
      <c r="H2" s="2765"/>
      <c r="I2" s="2765"/>
      <c r="J2" s="2765"/>
      <c r="K2" s="105" t="s">
        <v>283</v>
      </c>
      <c r="L2" s="104"/>
      <c r="M2" s="104"/>
      <c r="N2" s="104"/>
      <c r="O2" s="104"/>
      <c r="P2" s="104"/>
      <c r="Q2" s="104"/>
    </row>
    <row r="3" spans="1:17" ht="30" customHeight="1">
      <c r="A3" s="2766" t="s">
        <v>1456</v>
      </c>
      <c r="B3" s="2766"/>
      <c r="C3" s="106"/>
      <c r="D3" s="107"/>
      <c r="E3" s="106"/>
      <c r="F3" s="106"/>
      <c r="G3" s="107"/>
      <c r="H3" s="107"/>
      <c r="I3" s="2767" t="str">
        <f>"纳税所属年度："&amp;IF(OR(基本情况!B6&lt;&gt;"12月31日",基本情况!F5&lt;&gt;"01",基本情况!G5&lt;&gt;"01"),基本情况!B7,基本情况!B4&amp;"年度")</f>
        <v>纳税所属年度：2016年度</v>
      </c>
      <c r="J3" s="2767"/>
      <c r="K3" s="2768"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69" t="str">
        <f>"业务类型："&amp;基本情况!B3</f>
        <v>业务类型：企业所得税年度纳税申报审核</v>
      </c>
      <c r="J4" s="2769"/>
      <c r="K4" s="2768"/>
      <c r="L4" s="104"/>
      <c r="M4" s="104"/>
      <c r="N4" s="104"/>
      <c r="O4" s="104"/>
      <c r="P4" s="104"/>
      <c r="Q4" s="104"/>
    </row>
    <row r="5" spans="1:17" ht="7.5" customHeight="1">
      <c r="A5" s="2770"/>
      <c r="B5" s="2770"/>
      <c r="C5" s="2770"/>
      <c r="D5" s="2770"/>
      <c r="E5" s="2770"/>
      <c r="F5" s="2770"/>
      <c r="G5" s="2770"/>
      <c r="H5" s="2770"/>
      <c r="I5" s="2770"/>
      <c r="J5" s="2770"/>
      <c r="K5" s="2770"/>
      <c r="L5" s="104"/>
      <c r="M5" s="104"/>
      <c r="N5" s="104"/>
      <c r="O5" s="104"/>
      <c r="P5" s="104"/>
      <c r="Q5" s="104"/>
    </row>
    <row r="6" spans="1:17" ht="28.5" customHeight="1">
      <c r="A6" s="113" t="s">
        <v>1457</v>
      </c>
      <c r="B6" s="2771" t="s">
        <v>1458</v>
      </c>
      <c r="C6" s="2771"/>
      <c r="D6" s="2771"/>
      <c r="E6" s="114" t="s">
        <v>1459</v>
      </c>
      <c r="F6" s="2771" t="s">
        <v>1419</v>
      </c>
      <c r="G6" s="2771"/>
      <c r="H6" s="2771"/>
      <c r="I6" s="2771"/>
      <c r="J6" s="2771"/>
      <c r="K6" s="115" t="s">
        <v>1420</v>
      </c>
      <c r="L6" s="104"/>
      <c r="M6" s="104"/>
      <c r="N6" s="104"/>
      <c r="O6" s="104"/>
      <c r="P6" s="104"/>
      <c r="Q6" s="104"/>
    </row>
    <row r="7" spans="1:17" ht="22.5" customHeight="1">
      <c r="A7" s="2772" t="s">
        <v>398</v>
      </c>
      <c r="B7" s="2773" t="s">
        <v>1421</v>
      </c>
      <c r="C7" s="2773"/>
      <c r="D7" s="2773"/>
      <c r="E7" s="2774"/>
      <c r="F7" s="2775"/>
      <c r="G7" s="2775"/>
      <c r="H7" s="2775"/>
      <c r="I7" s="2775"/>
      <c r="J7" s="2775"/>
      <c r="K7" s="2776"/>
      <c r="L7" s="104"/>
      <c r="M7" s="104"/>
      <c r="N7" s="104"/>
      <c r="O7" s="104"/>
      <c r="P7" s="104"/>
      <c r="Q7" s="104"/>
    </row>
    <row r="8" spans="1:17" ht="22.5" customHeight="1">
      <c r="A8" s="2772"/>
      <c r="B8" s="2773"/>
      <c r="C8" s="2773"/>
      <c r="D8" s="2773"/>
      <c r="E8" s="2774"/>
      <c r="F8" s="2777"/>
      <c r="G8" s="2777"/>
      <c r="H8" s="2777"/>
      <c r="I8" s="2777"/>
      <c r="J8" s="2777"/>
      <c r="K8" s="2776"/>
      <c r="L8" s="104"/>
      <c r="M8" s="104"/>
      <c r="N8" s="104"/>
      <c r="O8" s="104"/>
      <c r="P8" s="104"/>
      <c r="Q8" s="104"/>
    </row>
    <row r="9" spans="1:17" ht="22.5" customHeight="1">
      <c r="A9" s="2772"/>
      <c r="B9" s="2773"/>
      <c r="C9" s="2773"/>
      <c r="D9" s="2773"/>
      <c r="E9" s="2774"/>
      <c r="F9" s="2777"/>
      <c r="G9" s="2777"/>
      <c r="H9" s="2777"/>
      <c r="I9" s="2777"/>
      <c r="J9" s="2777"/>
      <c r="K9" s="2776"/>
      <c r="L9" s="104"/>
      <c r="M9" s="104"/>
      <c r="N9" s="104"/>
      <c r="O9" s="104"/>
      <c r="P9" s="104"/>
      <c r="Q9" s="104"/>
    </row>
    <row r="10" spans="1:17" ht="21" customHeight="1">
      <c r="A10" s="2772"/>
      <c r="B10" s="2773"/>
      <c r="C10" s="2773"/>
      <c r="D10" s="2773"/>
      <c r="E10" s="2774"/>
      <c r="F10" s="2777"/>
      <c r="G10" s="2777"/>
      <c r="H10" s="2777"/>
      <c r="I10" s="2777"/>
      <c r="J10" s="2777"/>
      <c r="K10" s="2776"/>
      <c r="L10" s="104"/>
      <c r="M10" s="104"/>
      <c r="N10" s="104"/>
      <c r="O10" s="104"/>
      <c r="P10" s="104"/>
      <c r="Q10" s="104"/>
    </row>
    <row r="11" spans="1:17" ht="15" customHeight="1">
      <c r="A11" s="2772"/>
      <c r="B11" s="2773"/>
      <c r="C11" s="2773"/>
      <c r="D11" s="2773"/>
      <c r="E11" s="2774"/>
      <c r="F11" s="2777"/>
      <c r="G11" s="2777"/>
      <c r="H11" s="2777"/>
      <c r="I11" s="2777"/>
      <c r="J11" s="2777"/>
      <c r="K11" s="2776"/>
      <c r="L11" s="104"/>
      <c r="M11" s="104"/>
      <c r="N11" s="104"/>
      <c r="O11" s="104"/>
      <c r="P11" s="104"/>
      <c r="Q11" s="104"/>
    </row>
    <row r="12" spans="1:17" ht="13.5" customHeight="1">
      <c r="A12" s="2772"/>
      <c r="B12" s="2773"/>
      <c r="C12" s="2773"/>
      <c r="D12" s="2773"/>
      <c r="E12" s="2774"/>
      <c r="F12" s="2777"/>
      <c r="G12" s="2777"/>
      <c r="H12" s="2777"/>
      <c r="I12" s="2777"/>
      <c r="J12" s="2777"/>
      <c r="K12" s="2776"/>
      <c r="L12" s="104"/>
      <c r="M12" s="104"/>
      <c r="N12" s="104"/>
      <c r="O12" s="104"/>
      <c r="P12" s="104"/>
      <c r="Q12" s="104"/>
    </row>
    <row r="13" spans="1:17" ht="14.25" customHeight="1">
      <c r="A13" s="2772"/>
      <c r="B13" s="2773"/>
      <c r="C13" s="2773"/>
      <c r="D13" s="2773"/>
      <c r="E13" s="2774"/>
      <c r="F13" s="2777"/>
      <c r="G13" s="2777"/>
      <c r="H13" s="2777"/>
      <c r="I13" s="2777"/>
      <c r="J13" s="2777"/>
      <c r="K13" s="2776"/>
      <c r="L13" s="104"/>
      <c r="M13" s="104"/>
      <c r="N13" s="104"/>
      <c r="O13" s="104"/>
      <c r="P13" s="104"/>
      <c r="Q13" s="104"/>
    </row>
    <row r="14" spans="1:17" ht="14.25" customHeight="1">
      <c r="A14" s="2772"/>
      <c r="B14" s="2773"/>
      <c r="C14" s="2773"/>
      <c r="D14" s="2773"/>
      <c r="E14" s="2774"/>
      <c r="F14" s="2778" t="str">
        <f>"签名："&amp;基本情况!B11&amp;"               日期："&amp;基本情况!B20</f>
        <v>签名：               日期：2017年5月4日</v>
      </c>
      <c r="G14" s="2778"/>
      <c r="H14" s="2778"/>
      <c r="I14" s="2778"/>
      <c r="J14" s="2778"/>
      <c r="K14" s="2776"/>
      <c r="L14" s="104"/>
      <c r="M14" s="104"/>
      <c r="N14" s="104"/>
      <c r="O14" s="104"/>
      <c r="P14" s="104"/>
      <c r="Q14" s="104"/>
    </row>
    <row r="15" spans="1:17" ht="12" customHeight="1">
      <c r="A15" s="2772"/>
      <c r="B15" s="2773"/>
      <c r="C15" s="2773"/>
      <c r="D15" s="2773"/>
      <c r="E15" s="2774"/>
      <c r="F15" s="2778"/>
      <c r="G15" s="2778"/>
      <c r="H15" s="2778"/>
      <c r="I15" s="2778"/>
      <c r="J15" s="2778"/>
      <c r="K15" s="2776"/>
      <c r="L15" s="104"/>
      <c r="M15" s="104"/>
      <c r="N15" s="104"/>
      <c r="O15" s="104"/>
      <c r="P15" s="104"/>
      <c r="Q15" s="104"/>
    </row>
    <row r="16" spans="1:17" ht="20.25" customHeight="1">
      <c r="A16" s="2779" t="s">
        <v>1422</v>
      </c>
      <c r="B16" s="2780" t="s">
        <v>1423</v>
      </c>
      <c r="C16" s="2780"/>
      <c r="D16" s="2780"/>
      <c r="E16" s="2781"/>
      <c r="F16" s="2782"/>
      <c r="G16" s="2782"/>
      <c r="H16" s="2782"/>
      <c r="I16" s="2782"/>
      <c r="J16" s="2782"/>
      <c r="K16" s="2783"/>
      <c r="L16" s="104"/>
      <c r="M16" s="104"/>
      <c r="N16" s="104"/>
      <c r="O16" s="104"/>
      <c r="P16" s="104"/>
      <c r="Q16" s="104"/>
    </row>
    <row r="17" spans="1:17" ht="11.25" customHeight="1">
      <c r="A17" s="2779"/>
      <c r="B17" s="2780"/>
      <c r="C17" s="2780"/>
      <c r="D17" s="2780"/>
      <c r="E17" s="2781"/>
      <c r="F17" s="2777"/>
      <c r="G17" s="2777"/>
      <c r="H17" s="2777"/>
      <c r="I17" s="2777"/>
      <c r="J17" s="2777"/>
      <c r="K17" s="2783"/>
      <c r="L17" s="104"/>
      <c r="M17" s="104"/>
      <c r="N17" s="104"/>
      <c r="O17" s="104"/>
      <c r="P17" s="104"/>
      <c r="Q17" s="104"/>
    </row>
    <row r="18" spans="1:17" ht="15.75" customHeight="1">
      <c r="A18" s="2779"/>
      <c r="B18" s="2780"/>
      <c r="C18" s="2780"/>
      <c r="D18" s="2780"/>
      <c r="E18" s="2781"/>
      <c r="F18" s="2777"/>
      <c r="G18" s="2777"/>
      <c r="H18" s="2777"/>
      <c r="I18" s="2777"/>
      <c r="J18" s="2777"/>
      <c r="K18" s="2783"/>
      <c r="L18" s="104"/>
      <c r="M18" s="104"/>
      <c r="N18" s="104"/>
      <c r="O18" s="104"/>
      <c r="P18" s="104"/>
      <c r="Q18" s="104"/>
    </row>
    <row r="19" spans="1:17" ht="22.5" customHeight="1">
      <c r="A19" s="2779"/>
      <c r="B19" s="2780"/>
      <c r="C19" s="2780"/>
      <c r="D19" s="2780"/>
      <c r="E19" s="2781"/>
      <c r="F19" s="2777"/>
      <c r="G19" s="2777"/>
      <c r="H19" s="2777"/>
      <c r="I19" s="2777"/>
      <c r="J19" s="2777"/>
      <c r="K19" s="2783"/>
      <c r="L19" s="104"/>
      <c r="M19" s="104"/>
      <c r="N19" s="104"/>
      <c r="O19" s="104"/>
      <c r="P19" s="104"/>
      <c r="Q19" s="104"/>
    </row>
    <row r="20" spans="1:17" ht="17.25" customHeight="1">
      <c r="A20" s="2779"/>
      <c r="B20" s="2780"/>
      <c r="C20" s="2780"/>
      <c r="D20" s="2780"/>
      <c r="E20" s="2781"/>
      <c r="F20" s="2777"/>
      <c r="G20" s="2777"/>
      <c r="H20" s="2777"/>
      <c r="I20" s="2777"/>
      <c r="J20" s="2777"/>
      <c r="K20" s="2783"/>
      <c r="L20" s="104"/>
      <c r="M20" s="104"/>
      <c r="N20" s="104"/>
      <c r="O20" s="104"/>
      <c r="P20" s="104"/>
      <c r="Q20" s="104"/>
    </row>
    <row r="21" spans="1:17" ht="12.75" customHeight="1">
      <c r="A21" s="2779"/>
      <c r="B21" s="2780"/>
      <c r="C21" s="2780"/>
      <c r="D21" s="2780"/>
      <c r="E21" s="2781"/>
      <c r="F21" s="2777"/>
      <c r="G21" s="2777"/>
      <c r="H21" s="2777"/>
      <c r="I21" s="2777"/>
      <c r="J21" s="2777"/>
      <c r="K21" s="2783"/>
      <c r="L21" s="104"/>
      <c r="M21" s="104"/>
      <c r="N21" s="104"/>
      <c r="O21" s="104"/>
      <c r="P21" s="104"/>
      <c r="Q21" s="104"/>
    </row>
    <row r="22" spans="1:17" ht="12.75" customHeight="1">
      <c r="A22" s="2779"/>
      <c r="B22" s="2780"/>
      <c r="C22" s="2780"/>
      <c r="D22" s="2780"/>
      <c r="E22" s="2781"/>
      <c r="F22" s="2777"/>
      <c r="G22" s="2777"/>
      <c r="H22" s="2777"/>
      <c r="I22" s="2777"/>
      <c r="J22" s="2777"/>
      <c r="K22" s="2783"/>
      <c r="L22" s="104"/>
      <c r="M22" s="104"/>
      <c r="N22" s="104"/>
      <c r="O22" s="104"/>
      <c r="P22" s="104"/>
      <c r="Q22" s="104"/>
    </row>
    <row r="23" spans="1:17" ht="12" customHeight="1">
      <c r="A23" s="2779"/>
      <c r="B23" s="2780"/>
      <c r="C23" s="2780"/>
      <c r="D23" s="2780"/>
      <c r="E23" s="2781"/>
      <c r="F23" s="2777"/>
      <c r="G23" s="2777"/>
      <c r="H23" s="2777"/>
      <c r="I23" s="2777"/>
      <c r="J23" s="2777"/>
      <c r="K23" s="2783"/>
      <c r="L23" s="104"/>
      <c r="M23" s="104"/>
      <c r="N23" s="104"/>
      <c r="O23" s="104"/>
      <c r="P23" s="104"/>
      <c r="Q23" s="104"/>
    </row>
    <row r="24" spans="1:17" ht="15" customHeight="1">
      <c r="A24" s="2779"/>
      <c r="B24" s="2780"/>
      <c r="C24" s="2780"/>
      <c r="D24" s="2780"/>
      <c r="E24" s="2781"/>
      <c r="F24" s="2778" t="str">
        <f>"签名："&amp;基本情况!B10&amp;"               日期:"&amp;基本情况!B20</f>
        <v>签名：               日期:2017年5月4日</v>
      </c>
      <c r="G24" s="2778"/>
      <c r="H24" s="2778"/>
      <c r="I24" s="2778"/>
      <c r="J24" s="2778"/>
      <c r="K24" s="2783"/>
      <c r="L24" s="104"/>
      <c r="M24" s="104"/>
      <c r="N24" s="104"/>
      <c r="O24" s="104"/>
      <c r="P24" s="104"/>
      <c r="Q24" s="104"/>
    </row>
    <row r="25" spans="1:17" ht="19.5" customHeight="1">
      <c r="A25" s="2779"/>
      <c r="B25" s="2780"/>
      <c r="C25" s="2780"/>
      <c r="D25" s="2780"/>
      <c r="E25" s="2781"/>
      <c r="F25" s="2778"/>
      <c r="G25" s="2778"/>
      <c r="H25" s="2778"/>
      <c r="I25" s="2778"/>
      <c r="J25" s="2778"/>
      <c r="K25" s="2783"/>
      <c r="L25" s="104"/>
      <c r="M25" s="104"/>
      <c r="N25" s="104"/>
      <c r="O25" s="104"/>
      <c r="P25" s="104"/>
      <c r="Q25" s="104"/>
    </row>
    <row r="26" spans="1:17" ht="22.5" customHeight="1">
      <c r="A26" s="2779" t="s">
        <v>1424</v>
      </c>
      <c r="B26" s="2780" t="s">
        <v>98</v>
      </c>
      <c r="C26" s="2780"/>
      <c r="D26" s="2780"/>
      <c r="E26" s="2781"/>
      <c r="F26" s="2782"/>
      <c r="G26" s="2782"/>
      <c r="H26" s="2782"/>
      <c r="I26" s="2782"/>
      <c r="J26" s="2782"/>
      <c r="K26" s="2783"/>
      <c r="L26" s="104"/>
      <c r="M26" s="104"/>
      <c r="N26" s="104"/>
      <c r="O26" s="104"/>
      <c r="P26" s="104"/>
      <c r="Q26" s="104"/>
    </row>
    <row r="27" spans="1:17" ht="19.5" customHeight="1">
      <c r="A27" s="2779"/>
      <c r="B27" s="2780"/>
      <c r="C27" s="2780"/>
      <c r="D27" s="2780"/>
      <c r="E27" s="2781"/>
      <c r="F27" s="2777"/>
      <c r="G27" s="2777"/>
      <c r="H27" s="2777"/>
      <c r="I27" s="2777"/>
      <c r="J27" s="2777"/>
      <c r="K27" s="2783"/>
      <c r="L27" s="104"/>
      <c r="M27" s="104"/>
      <c r="N27" s="104"/>
      <c r="O27" s="104"/>
      <c r="P27" s="104"/>
      <c r="Q27" s="104"/>
    </row>
    <row r="28" spans="1:17" ht="22.5" customHeight="1">
      <c r="A28" s="2779"/>
      <c r="B28" s="2780"/>
      <c r="C28" s="2780"/>
      <c r="D28" s="2780"/>
      <c r="E28" s="2781"/>
      <c r="F28" s="2777"/>
      <c r="G28" s="2777"/>
      <c r="H28" s="2777"/>
      <c r="I28" s="2777"/>
      <c r="J28" s="2777"/>
      <c r="K28" s="2783"/>
      <c r="L28" s="104"/>
      <c r="M28" s="104"/>
      <c r="N28" s="104"/>
      <c r="O28" s="104"/>
      <c r="P28" s="104"/>
      <c r="Q28" s="104"/>
    </row>
    <row r="29" spans="1:17" ht="22.5" customHeight="1">
      <c r="A29" s="2779"/>
      <c r="B29" s="2780"/>
      <c r="C29" s="2780"/>
      <c r="D29" s="2780"/>
      <c r="E29" s="2781"/>
      <c r="F29" s="2777"/>
      <c r="G29" s="2777"/>
      <c r="H29" s="2777"/>
      <c r="I29" s="2777"/>
      <c r="J29" s="2777"/>
      <c r="K29" s="2783"/>
      <c r="L29" s="104"/>
      <c r="M29" s="104"/>
      <c r="N29" s="104"/>
      <c r="O29" s="104"/>
      <c r="P29" s="104"/>
      <c r="Q29" s="104"/>
    </row>
    <row r="30" spans="1:17" ht="4.5" customHeight="1">
      <c r="A30" s="2779"/>
      <c r="B30" s="2780"/>
      <c r="C30" s="2780"/>
      <c r="D30" s="2780"/>
      <c r="E30" s="2781"/>
      <c r="F30" s="2777"/>
      <c r="G30" s="2777"/>
      <c r="H30" s="2777"/>
      <c r="I30" s="2777"/>
      <c r="J30" s="2777"/>
      <c r="K30" s="2783"/>
      <c r="L30" s="104"/>
      <c r="M30" s="104"/>
      <c r="N30" s="104"/>
      <c r="O30" s="104"/>
      <c r="P30" s="104"/>
      <c r="Q30" s="104"/>
    </row>
    <row r="31" spans="1:17" ht="6.75" customHeight="1">
      <c r="A31" s="2779"/>
      <c r="B31" s="2780"/>
      <c r="C31" s="2780"/>
      <c r="D31" s="2780"/>
      <c r="E31" s="2781"/>
      <c r="F31" s="2777"/>
      <c r="G31" s="2777"/>
      <c r="H31" s="2777"/>
      <c r="I31" s="2777"/>
      <c r="J31" s="2777"/>
      <c r="K31" s="2783"/>
      <c r="L31" s="104"/>
      <c r="M31" s="104"/>
      <c r="N31" s="104"/>
      <c r="O31" s="104"/>
      <c r="P31" s="104"/>
      <c r="Q31" s="104"/>
    </row>
    <row r="32" spans="1:17" ht="15.75" customHeight="1">
      <c r="A32" s="2779"/>
      <c r="B32" s="2780"/>
      <c r="C32" s="2780"/>
      <c r="D32" s="2780"/>
      <c r="E32" s="2781"/>
      <c r="F32" s="2778" t="str">
        <f>"签名："&amp;基本情况!B9&amp;"               日期："&amp;基本情况!B20</f>
        <v>签名：               日期：2017年5月4日</v>
      </c>
      <c r="G32" s="2778"/>
      <c r="H32" s="2778"/>
      <c r="I32" s="2778"/>
      <c r="J32" s="2778"/>
      <c r="K32" s="2783"/>
      <c r="L32" s="104"/>
      <c r="M32" s="104"/>
      <c r="N32" s="104"/>
      <c r="O32" s="104"/>
      <c r="P32" s="104"/>
      <c r="Q32" s="104"/>
    </row>
    <row r="33" spans="1:17" ht="12" customHeight="1">
      <c r="A33" s="2779"/>
      <c r="B33" s="2780"/>
      <c r="C33" s="2780"/>
      <c r="D33" s="2780"/>
      <c r="E33" s="2781"/>
      <c r="F33" s="2778"/>
      <c r="G33" s="2778"/>
      <c r="H33" s="2778"/>
      <c r="I33" s="2778"/>
      <c r="J33" s="2778"/>
      <c r="K33" s="2783"/>
      <c r="L33" s="104"/>
      <c r="M33" s="104"/>
      <c r="N33" s="104"/>
      <c r="O33" s="104"/>
      <c r="P33" s="104"/>
      <c r="Q33" s="104"/>
    </row>
    <row r="34" spans="1:17" ht="23.25" customHeight="1">
      <c r="A34" s="2786" t="s">
        <v>99</v>
      </c>
      <c r="B34" s="2786"/>
      <c r="C34" s="2786"/>
      <c r="D34" s="2786"/>
      <c r="E34" s="2786"/>
      <c r="F34" s="2786"/>
      <c r="G34" s="2786"/>
      <c r="H34" s="2786"/>
      <c r="I34" s="2786"/>
      <c r="J34" s="2786"/>
      <c r="K34" s="2786"/>
      <c r="L34" s="104"/>
      <c r="M34" s="104"/>
      <c r="N34" s="104"/>
      <c r="O34" s="104"/>
      <c r="P34" s="104"/>
      <c r="Q34" s="104"/>
    </row>
    <row r="35" spans="1:17">
      <c r="A35" s="2787" t="s">
        <v>100</v>
      </c>
      <c r="B35" s="2788"/>
      <c r="C35" s="2788"/>
      <c r="D35" s="2788"/>
      <c r="E35" s="2788"/>
      <c r="F35" s="2788"/>
      <c r="G35" s="2788"/>
      <c r="H35" s="2788"/>
      <c r="I35" s="2788"/>
      <c r="J35" s="2788"/>
      <c r="K35" s="2788"/>
      <c r="L35" s="104"/>
      <c r="M35" s="104"/>
      <c r="N35" s="104"/>
      <c r="O35" s="104"/>
      <c r="P35" s="104"/>
      <c r="Q35" s="104"/>
    </row>
    <row r="36" spans="1:17">
      <c r="A36" s="2787"/>
      <c r="B36" s="2788"/>
      <c r="C36" s="2788"/>
      <c r="D36" s="2788"/>
      <c r="E36" s="2788"/>
      <c r="F36" s="2788"/>
      <c r="G36" s="2788"/>
      <c r="H36" s="2788"/>
      <c r="I36" s="2788"/>
      <c r="J36" s="2788"/>
      <c r="K36" s="2788"/>
      <c r="L36" s="104"/>
      <c r="M36" s="104"/>
      <c r="N36" s="104"/>
      <c r="O36" s="104"/>
      <c r="P36" s="104"/>
      <c r="Q36" s="104"/>
    </row>
    <row r="37" spans="1:17">
      <c r="A37" s="2784" t="s">
        <v>101</v>
      </c>
      <c r="B37" s="2785"/>
      <c r="C37" s="2785"/>
      <c r="D37" s="2785"/>
      <c r="E37" s="2785"/>
      <c r="F37" s="2785"/>
      <c r="G37" s="2785"/>
      <c r="H37" s="2785"/>
      <c r="I37" s="2785"/>
      <c r="J37" s="2785"/>
      <c r="K37" s="2785"/>
      <c r="L37" s="104"/>
      <c r="M37" s="104"/>
      <c r="N37" s="104"/>
      <c r="O37" s="104"/>
      <c r="P37" s="104"/>
      <c r="Q37" s="104"/>
    </row>
    <row r="38" spans="1:17">
      <c r="A38" s="2784"/>
      <c r="B38" s="2785"/>
      <c r="C38" s="2785"/>
      <c r="D38" s="2785"/>
      <c r="E38" s="2785"/>
      <c r="F38" s="2785"/>
      <c r="G38" s="2785"/>
      <c r="H38" s="2785"/>
      <c r="I38" s="2785"/>
      <c r="J38" s="2785"/>
      <c r="K38" s="2785"/>
      <c r="L38" s="104"/>
      <c r="M38" s="104"/>
      <c r="N38" s="104"/>
      <c r="O38" s="104"/>
      <c r="P38" s="104"/>
      <c r="Q38" s="104"/>
    </row>
    <row r="39" spans="1:17">
      <c r="A39" s="2784" t="s">
        <v>102</v>
      </c>
      <c r="B39" s="2785"/>
      <c r="C39" s="2785"/>
      <c r="D39" s="2785"/>
      <c r="E39" s="2785"/>
      <c r="F39" s="2785"/>
      <c r="G39" s="2785"/>
      <c r="H39" s="2785"/>
      <c r="I39" s="2785"/>
      <c r="J39" s="2785"/>
      <c r="K39" s="2785"/>
      <c r="L39" s="104"/>
      <c r="M39" s="104"/>
      <c r="N39" s="104"/>
      <c r="O39" s="104"/>
      <c r="P39" s="104"/>
      <c r="Q39" s="104"/>
    </row>
    <row r="40" spans="1:17">
      <c r="A40" s="2784"/>
      <c r="B40" s="2785"/>
      <c r="C40" s="2785"/>
      <c r="D40" s="2785"/>
      <c r="E40" s="2785"/>
      <c r="F40" s="2785"/>
      <c r="G40" s="2785"/>
      <c r="H40" s="2785"/>
      <c r="I40" s="2785"/>
      <c r="J40" s="2785"/>
      <c r="K40" s="2785"/>
      <c r="L40" s="104"/>
      <c r="M40" s="104"/>
      <c r="N40" s="104"/>
      <c r="O40" s="104"/>
      <c r="P40" s="104"/>
      <c r="Q40" s="104"/>
    </row>
    <row r="41" spans="1:17">
      <c r="A41" s="2784" t="s">
        <v>103</v>
      </c>
      <c r="B41" s="2785"/>
      <c r="C41" s="2785"/>
      <c r="D41" s="2785"/>
      <c r="E41" s="2785"/>
      <c r="F41" s="2785"/>
      <c r="G41" s="2785"/>
      <c r="H41" s="2785"/>
      <c r="I41" s="2785"/>
      <c r="J41" s="2785"/>
      <c r="K41" s="2785"/>
      <c r="L41" s="104"/>
      <c r="M41" s="104"/>
      <c r="N41" s="104"/>
      <c r="O41" s="104"/>
      <c r="P41" s="104"/>
      <c r="Q41" s="104"/>
    </row>
    <row r="42" spans="1:17">
      <c r="A42" s="2784"/>
      <c r="B42" s="2785"/>
      <c r="C42" s="2785"/>
      <c r="D42" s="2785"/>
      <c r="E42" s="2785"/>
      <c r="F42" s="2785"/>
      <c r="G42" s="2785"/>
      <c r="H42" s="2785"/>
      <c r="I42" s="2785"/>
      <c r="J42" s="2785"/>
      <c r="K42" s="2785"/>
      <c r="L42" s="104"/>
      <c r="M42" s="104"/>
      <c r="N42" s="104"/>
      <c r="O42" s="104"/>
      <c r="P42" s="104"/>
      <c r="Q42" s="104"/>
    </row>
    <row r="43" spans="1:17">
      <c r="A43" s="2789" t="s">
        <v>104</v>
      </c>
      <c r="B43" s="2790"/>
      <c r="C43" s="2790"/>
      <c r="D43" s="2790"/>
      <c r="E43" s="2790"/>
      <c r="F43" s="2790"/>
      <c r="G43" s="2790"/>
      <c r="H43" s="2790"/>
      <c r="I43" s="2790"/>
      <c r="J43" s="2790"/>
      <c r="K43" s="2790"/>
      <c r="L43" s="104"/>
      <c r="M43" s="104"/>
      <c r="N43" s="104"/>
      <c r="O43" s="104"/>
      <c r="P43" s="104"/>
      <c r="Q43" s="104"/>
    </row>
    <row r="44" spans="1:17">
      <c r="A44" s="2789"/>
      <c r="B44" s="2790"/>
      <c r="C44" s="2790"/>
      <c r="D44" s="2790"/>
      <c r="E44" s="2790"/>
      <c r="F44" s="2790"/>
      <c r="G44" s="2790"/>
      <c r="H44" s="2790"/>
      <c r="I44" s="2790"/>
      <c r="J44" s="2790"/>
      <c r="K44" s="2790"/>
      <c r="L44" s="104"/>
      <c r="M44" s="104"/>
      <c r="N44" s="104"/>
      <c r="O44" s="104"/>
      <c r="P44" s="104"/>
      <c r="Q44" s="104"/>
    </row>
  </sheetData>
  <sheetProtection selectLockedCells="1" selectUnlockedCells="1"/>
  <mergeCells count="52">
    <mergeCell ref="A43:A44"/>
    <mergeCell ref="B43:K44"/>
    <mergeCell ref="A39:A40"/>
    <mergeCell ref="B39:K40"/>
    <mergeCell ref="A41:A42"/>
    <mergeCell ref="B41:K42"/>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A5" sqref="A5:H5"/>
    </sheetView>
  </sheetViews>
  <sheetFormatPr defaultColWidth="9" defaultRowHeight="18" customHeight="1"/>
  <cols>
    <col min="1" max="1" width="6.59765625" style="92" customWidth="1"/>
    <col min="2" max="2" width="8.3984375" style="92" customWidth="1"/>
    <col min="3" max="3" width="11.59765625" style="92" customWidth="1"/>
    <col min="4" max="5" width="11.09765625" style="92" customWidth="1"/>
    <col min="6" max="6" width="13.59765625" style="92" customWidth="1"/>
    <col min="7" max="7" width="13.8984375" style="92" customWidth="1"/>
    <col min="8" max="8" width="12" style="92" customWidth="1"/>
    <col min="9" max="16384" width="9" style="92"/>
  </cols>
  <sheetData>
    <row r="1" spans="1:8" ht="23.25" customHeight="1">
      <c r="A1" s="2791" t="s">
        <v>9971</v>
      </c>
      <c r="B1" s="2791"/>
      <c r="C1" s="2791"/>
      <c r="D1" s="2791"/>
      <c r="E1" s="2791"/>
      <c r="F1" s="2791"/>
      <c r="G1" s="2791"/>
      <c r="H1" s="2791"/>
    </row>
    <row r="2" spans="1:8" ht="18" customHeight="1">
      <c r="A2" s="2792" t="str">
        <f>"索引号："&amp;档案索引!A23</f>
        <v>索引号：2A-3</v>
      </c>
      <c r="B2" s="2792"/>
      <c r="C2" s="2792"/>
      <c r="D2" s="2792"/>
      <c r="E2" s="2792"/>
      <c r="F2" s="2792"/>
      <c r="G2" s="2792"/>
      <c r="H2" s="2792"/>
    </row>
    <row r="3" spans="1:8" ht="18" customHeight="1">
      <c r="A3" s="2793" t="s">
        <v>7701</v>
      </c>
      <c r="B3" s="2793"/>
      <c r="C3" s="2794">
        <f>基本情况!B2</f>
        <v>0</v>
      </c>
      <c r="D3" s="2794"/>
      <c r="E3" s="2794"/>
      <c r="F3" s="2794"/>
      <c r="G3" s="2571"/>
      <c r="H3" s="2571"/>
    </row>
    <row r="4" spans="1:8" ht="18" customHeight="1">
      <c r="A4" s="2795" t="s">
        <v>7703</v>
      </c>
      <c r="B4" s="2795"/>
      <c r="C4" s="2796" t="str">
        <f>基本情况!B48</f>
        <v>0</v>
      </c>
      <c r="D4" s="2796"/>
      <c r="E4" s="2796"/>
      <c r="F4" s="2796"/>
      <c r="G4" s="2571"/>
      <c r="H4" s="2571"/>
    </row>
    <row r="5" spans="1:8" ht="18" customHeight="1">
      <c r="A5" s="2797" t="str">
        <f>"受托方：  "&amp; 基本情况!B8 &amp;"   （以下简称乙方）"</f>
        <v>受托方：  中汇百邦（厦门）税务师事务所有限公司   （以下简称乙方）</v>
      </c>
      <c r="B5" s="2797"/>
      <c r="C5" s="2797"/>
      <c r="D5" s="2797"/>
      <c r="E5" s="2797"/>
      <c r="F5" s="2797"/>
      <c r="G5" s="2797"/>
      <c r="H5" s="2797"/>
    </row>
    <row r="6" spans="1:8" ht="18" customHeight="1">
      <c r="A6" s="2797" t="s">
        <v>105</v>
      </c>
      <c r="B6" s="2797"/>
      <c r="C6" s="2797"/>
      <c r="D6" s="2797"/>
      <c r="E6" s="2797"/>
      <c r="F6" s="2797"/>
      <c r="G6" s="2797"/>
      <c r="H6" s="2797"/>
    </row>
    <row r="7" spans="1:8" ht="18" customHeight="1">
      <c r="A7" s="2797" t="s">
        <v>106</v>
      </c>
      <c r="B7" s="2797"/>
      <c r="C7" s="2797"/>
      <c r="D7" s="2797"/>
      <c r="E7" s="2797"/>
      <c r="F7" s="2797"/>
      <c r="G7" s="2797"/>
      <c r="H7" s="2797"/>
    </row>
    <row r="8" spans="1:8" ht="18" customHeight="1">
      <c r="A8" s="116" t="s">
        <v>107</v>
      </c>
      <c r="B8" s="116"/>
      <c r="C8" s="2798" t="str">
        <f>"对"&amp;IF(OR(基本情况!B6&lt;&gt;"12月31日",基本情况!F5&lt;&gt;"01",基本情况!G5&lt;&gt;"01"),基本情况!B7,基本情况!B4&amp;"年度")&amp;LEFT(基本情况!B3,5)&amp;"进行"&amp;RIGHT(基本情况!B3,8)&amp;"。"</f>
        <v>对2016年度企业所得税进行年度纳税申报审核。</v>
      </c>
      <c r="D8" s="2798"/>
      <c r="E8" s="2798"/>
      <c r="F8" s="2798"/>
      <c r="G8" s="2798"/>
      <c r="H8" s="2798"/>
    </row>
    <row r="9" spans="1:8" ht="18" customHeight="1">
      <c r="A9" s="2797" t="s">
        <v>108</v>
      </c>
      <c r="B9" s="2797"/>
      <c r="C9" s="2797"/>
      <c r="D9" s="2797"/>
      <c r="E9" s="2797"/>
      <c r="F9" s="2797"/>
      <c r="G9" s="2797"/>
      <c r="H9" s="2797"/>
    </row>
    <row r="10" spans="1:8" ht="18" customHeight="1">
      <c r="A10" s="2799" t="s">
        <v>1651</v>
      </c>
      <c r="B10" s="2799"/>
      <c r="C10" s="2799"/>
      <c r="D10" s="2799"/>
      <c r="E10" s="2799"/>
      <c r="F10" s="2799"/>
      <c r="G10" s="2799"/>
      <c r="H10" s="2799"/>
    </row>
    <row r="11" spans="1:8" ht="22.95" customHeight="1">
      <c r="A11" s="2799"/>
      <c r="B11" s="2799"/>
      <c r="C11" s="2799"/>
      <c r="D11" s="2799"/>
      <c r="E11" s="2799"/>
      <c r="F11" s="2799"/>
      <c r="G11" s="2799"/>
      <c r="H11" s="2799"/>
    </row>
    <row r="12" spans="1:8" ht="30.75" customHeight="1">
      <c r="A12" s="2799"/>
      <c r="B12" s="2799"/>
      <c r="C12" s="2799"/>
      <c r="D12" s="2799"/>
      <c r="E12" s="2799"/>
      <c r="F12" s="2799"/>
      <c r="G12" s="2799"/>
      <c r="H12" s="2799"/>
    </row>
    <row r="13" spans="1:8" ht="27" customHeight="1">
      <c r="A13" s="2800" t="s">
        <v>1013</v>
      </c>
      <c r="B13" s="2800"/>
      <c r="C13" s="2800"/>
      <c r="D13" s="2800"/>
      <c r="E13" s="2800"/>
      <c r="F13" s="2800"/>
      <c r="G13" s="2800"/>
      <c r="H13" s="2800"/>
    </row>
    <row r="14" spans="1:8" ht="17.25" customHeight="1">
      <c r="A14" s="2797" t="s">
        <v>1014</v>
      </c>
      <c r="B14" s="2797"/>
      <c r="C14" s="2797"/>
      <c r="D14" s="2797"/>
      <c r="E14" s="2797"/>
      <c r="F14" s="2797"/>
      <c r="G14" s="2797"/>
      <c r="H14" s="2797"/>
    </row>
    <row r="15" spans="1:8" ht="30" customHeight="1">
      <c r="A15" s="2801"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801"/>
      <c r="C15" s="2801"/>
      <c r="D15" s="2801"/>
      <c r="E15" s="2801"/>
      <c r="F15" s="2801"/>
      <c r="G15" s="2801"/>
      <c r="H15" s="2801"/>
    </row>
    <row r="16" spans="1:8" ht="29.25" customHeight="1">
      <c r="A16" s="2799" t="s">
        <v>9975</v>
      </c>
      <c r="B16" s="2799"/>
      <c r="C16" s="2799"/>
      <c r="D16" s="2799"/>
      <c r="E16" s="2799"/>
      <c r="F16" s="2799"/>
      <c r="G16" s="2799"/>
      <c r="H16" s="2799"/>
    </row>
    <row r="17" spans="1:8" ht="18" customHeight="1">
      <c r="A17" s="2797" t="s">
        <v>1015</v>
      </c>
      <c r="B17" s="2797"/>
      <c r="C17" s="2797"/>
      <c r="D17" s="2797"/>
      <c r="E17" s="2797"/>
      <c r="F17" s="2797"/>
      <c r="G17" s="2797"/>
      <c r="H17" s="2797"/>
    </row>
    <row r="18" spans="1:8" ht="23.25" customHeight="1">
      <c r="A18" s="2797" t="s">
        <v>1016</v>
      </c>
      <c r="B18" s="2797"/>
      <c r="C18" s="2797"/>
      <c r="D18" s="2797"/>
      <c r="E18" s="2797"/>
      <c r="F18" s="2797"/>
      <c r="G18" s="2797"/>
      <c r="H18" s="2797"/>
    </row>
    <row r="19" spans="1:8" ht="34.200000000000003" customHeight="1">
      <c r="A19" s="2799" t="s">
        <v>1017</v>
      </c>
      <c r="B19" s="2799"/>
      <c r="C19" s="2799"/>
      <c r="D19" s="2799"/>
      <c r="E19" s="2799"/>
      <c r="F19" s="2799"/>
      <c r="G19" s="2799"/>
      <c r="H19" s="2799"/>
    </row>
    <row r="20" spans="1:8" ht="28.5" customHeight="1">
      <c r="A20" s="2799" t="s">
        <v>1018</v>
      </c>
      <c r="B20" s="2799"/>
      <c r="C20" s="2799"/>
      <c r="D20" s="2799"/>
      <c r="E20" s="2799"/>
      <c r="F20" s="2799"/>
      <c r="G20" s="2799"/>
      <c r="H20" s="2799"/>
    </row>
    <row r="21" spans="1:8" ht="23.25" customHeight="1">
      <c r="A21" s="2797" t="s">
        <v>1019</v>
      </c>
      <c r="B21" s="2797"/>
      <c r="C21" s="2797"/>
      <c r="D21" s="2797"/>
      <c r="E21" s="2797"/>
      <c r="F21" s="2797"/>
      <c r="G21" s="2797"/>
      <c r="H21" s="2797"/>
    </row>
    <row r="22" spans="1:8" ht="22.5" customHeight="1">
      <c r="A22" s="2797" t="s">
        <v>1020</v>
      </c>
      <c r="B22" s="2797"/>
      <c r="C22" s="2797"/>
      <c r="D22" s="2797"/>
      <c r="E22" s="2797"/>
      <c r="F22" s="2797"/>
      <c r="G22" s="2797"/>
      <c r="H22" s="2797"/>
    </row>
    <row r="23" spans="1:8" ht="18" customHeight="1">
      <c r="A23" s="2797" t="s">
        <v>1021</v>
      </c>
      <c r="B23" s="2797"/>
      <c r="C23" s="2797"/>
      <c r="D23" s="2797"/>
      <c r="E23" s="2797"/>
      <c r="F23" s="2797"/>
      <c r="G23" s="2797"/>
      <c r="H23" s="2797"/>
    </row>
    <row r="24" spans="1:8" ht="30" customHeight="1">
      <c r="A24" s="2799" t="s">
        <v>1022</v>
      </c>
      <c r="B24" s="2799"/>
      <c r="C24" s="2799"/>
      <c r="D24" s="2799"/>
      <c r="E24" s="2799"/>
      <c r="F24" s="2799"/>
      <c r="G24" s="2799"/>
      <c r="H24" s="2799"/>
    </row>
    <row r="25" spans="1:8" ht="31.5" customHeight="1">
      <c r="A25" s="2799" t="s">
        <v>1023</v>
      </c>
      <c r="B25" s="2799"/>
      <c r="C25" s="2799"/>
      <c r="D25" s="2799"/>
      <c r="E25" s="2799"/>
      <c r="F25" s="2799"/>
      <c r="G25" s="2799"/>
      <c r="H25" s="2799"/>
    </row>
    <row r="26" spans="1:8" ht="18" customHeight="1">
      <c r="A26" s="116" t="s">
        <v>1024</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97" t="str">
        <f>"    甲方（签章）：                         乙方（签章）："&amp;基本情况!B8</f>
        <v xml:space="preserve">    甲方（签章）：                         乙方（签章）：中汇百邦（厦门）税务师事务所有限公司</v>
      </c>
      <c r="B29" s="2797"/>
      <c r="C29" s="2797"/>
      <c r="D29" s="2797"/>
      <c r="E29" s="2797"/>
      <c r="F29" s="2797"/>
      <c r="G29" s="2797"/>
      <c r="H29" s="2797"/>
    </row>
    <row r="30" spans="1:8" ht="18" customHeight="1">
      <c r="A30" s="119" t="s">
        <v>1025</v>
      </c>
      <c r="B30" s="98"/>
      <c r="C30" s="98"/>
      <c r="D30" s="98"/>
      <c r="E30" s="98"/>
      <c r="F30" s="98"/>
      <c r="G30" s="98"/>
      <c r="H30" s="98"/>
    </row>
    <row r="31" spans="1:8" ht="18" customHeight="1">
      <c r="A31" s="2797" t="s">
        <v>1026</v>
      </c>
      <c r="B31" s="2797"/>
      <c r="C31" s="2797"/>
      <c r="D31" s="2797"/>
      <c r="E31" s="2797"/>
      <c r="F31" s="2797"/>
      <c r="G31" s="2797"/>
      <c r="H31" s="2797"/>
    </row>
    <row r="32" spans="1:8" ht="18" customHeight="1">
      <c r="A32" s="119"/>
      <c r="B32" s="98"/>
      <c r="C32" s="98"/>
      <c r="D32" s="98"/>
      <c r="E32" s="98"/>
      <c r="F32" s="98"/>
      <c r="G32" s="98"/>
      <c r="H32" s="98"/>
    </row>
    <row r="33" spans="1:8" ht="18" customHeight="1">
      <c r="A33" s="2802" t="str">
        <f>"    签约时间："&amp;"                             签约时间："&amp;"   "</f>
        <v xml:space="preserve">    签约时间：                             签约时间：   </v>
      </c>
      <c r="B33" s="2802"/>
      <c r="C33" s="2802"/>
      <c r="D33" s="2802"/>
      <c r="E33" s="2802"/>
      <c r="F33" s="2802"/>
      <c r="G33" s="2802"/>
      <c r="H33" s="2802"/>
    </row>
    <row r="34" spans="1:8" ht="18" customHeight="1">
      <c r="A34" s="119" t="s">
        <v>1027</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51" type="noConversion"/>
  <pageMargins left="0.54"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A22" sqref="A22"/>
    </sheetView>
  </sheetViews>
  <sheetFormatPr defaultColWidth="9" defaultRowHeight="15.6"/>
  <cols>
    <col min="1" max="1" width="21.8984375" style="1316" customWidth="1"/>
    <col min="2" max="2" width="19.59765625" style="1316" customWidth="1"/>
    <col min="3" max="3" width="19.8984375" style="1316" customWidth="1"/>
    <col min="4" max="4" width="20" style="1316" customWidth="1"/>
    <col min="5" max="5" width="20.5" style="1316" customWidth="1"/>
    <col min="6" max="6" width="17.5" style="1316" customWidth="1"/>
    <col min="7" max="7" width="16.59765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7"/>
      <c r="H6" s="1318"/>
    </row>
    <row r="7" spans="1:8">
      <c r="A7" s="2227"/>
      <c r="C7" s="2227"/>
      <c r="E7" s="2227"/>
      <c r="F7" s="1318"/>
      <c r="G7" s="2227"/>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89"/>
      <c r="B16" s="1318"/>
      <c r="C16" s="2290"/>
      <c r="D16" s="2290"/>
      <c r="E16" s="2290"/>
      <c r="F16" s="2290"/>
      <c r="G16" s="2290"/>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tabSelected="1" topLeftCell="A25" workbookViewId="0">
      <selection activeCell="A48" sqref="A48"/>
    </sheetView>
  </sheetViews>
  <sheetFormatPr defaultColWidth="9" defaultRowHeight="15.6"/>
  <cols>
    <col min="1" max="1" width="29" style="45" customWidth="1"/>
    <col min="2" max="4" width="13.3984375" style="46" customWidth="1"/>
    <col min="5" max="5" width="13.3984375" style="47" customWidth="1"/>
    <col min="6" max="6" width="53.8984375" style="48" customWidth="1"/>
    <col min="7" max="98" width="9" style="46"/>
    <col min="99" max="16384" width="9" style="45"/>
  </cols>
  <sheetData>
    <row r="1" spans="1:8" ht="35.25" customHeight="1">
      <c r="A1" s="2806" t="s">
        <v>384</v>
      </c>
      <c r="B1" s="2806"/>
      <c r="C1" s="2806"/>
      <c r="D1" s="2806"/>
      <c r="E1" s="2806"/>
      <c r="F1" s="49"/>
      <c r="G1" s="50"/>
      <c r="H1" s="50"/>
    </row>
    <row r="2" spans="1:8" ht="18" customHeight="1">
      <c r="A2" s="51" t="s">
        <v>385</v>
      </c>
      <c r="B2" s="2807">
        <f>地税、基本情况!B2</f>
        <v>0</v>
      </c>
      <c r="C2" s="2808"/>
      <c r="D2" s="2808"/>
      <c r="E2" s="2809"/>
      <c r="F2" s="49" t="s">
        <v>386</v>
      </c>
      <c r="G2" s="50"/>
      <c r="H2" s="50"/>
    </row>
    <row r="3" spans="1:8" s="55" customFormat="1" ht="18" customHeight="1">
      <c r="A3" s="52" t="s">
        <v>387</v>
      </c>
      <c r="B3" s="2810" t="s">
        <v>9970</v>
      </c>
      <c r="C3" s="2810"/>
      <c r="D3" s="2810"/>
      <c r="E3" s="2810"/>
      <c r="F3" s="53"/>
      <c r="G3" s="54"/>
      <c r="H3" s="54"/>
    </row>
    <row r="4" spans="1:8" s="55" customFormat="1" ht="18" customHeight="1">
      <c r="A4" s="52" t="s">
        <v>388</v>
      </c>
      <c r="B4" s="2811">
        <v>2016</v>
      </c>
      <c r="C4" s="2811"/>
      <c r="D4" s="2811"/>
      <c r="E4" s="2811"/>
      <c r="F4" s="56" t="str">
        <f>TEXT(B5,"mm,dd")</f>
        <v>01,01</v>
      </c>
      <c r="G4" s="57" t="str">
        <f>TEXT(B6,"mm,dd")</f>
        <v>12,31</v>
      </c>
      <c r="H4" s="54"/>
    </row>
    <row r="5" spans="1:8" s="55" customFormat="1" ht="18" customHeight="1">
      <c r="A5" s="52" t="s">
        <v>389</v>
      </c>
      <c r="B5" s="2803" t="s">
        <v>10295</v>
      </c>
      <c r="C5" s="2803"/>
      <c r="D5" s="2803"/>
      <c r="E5" s="2803"/>
      <c r="F5" s="57" t="str">
        <f>LEFT(F4,2)</f>
        <v>01</v>
      </c>
      <c r="G5" s="57" t="str">
        <f>RIGHT(F4,2)</f>
        <v>01</v>
      </c>
      <c r="H5" s="54"/>
    </row>
    <row r="6" spans="1:8" s="55" customFormat="1" ht="18" customHeight="1">
      <c r="A6" s="52" t="s">
        <v>390</v>
      </c>
      <c r="B6" s="2803" t="s">
        <v>391</v>
      </c>
      <c r="C6" s="2803"/>
      <c r="D6" s="2803"/>
      <c r="E6" s="2803"/>
      <c r="F6" s="56" t="str">
        <f>LEFT(G4,2)</f>
        <v>12</v>
      </c>
      <c r="G6" s="57" t="str">
        <f>RIGHT(G4,2)</f>
        <v>31</v>
      </c>
      <c r="H6" s="54"/>
    </row>
    <row r="7" spans="1:8" s="55" customFormat="1" ht="18" customHeight="1">
      <c r="A7" s="52" t="s">
        <v>392</v>
      </c>
      <c r="B7" s="2805" t="str">
        <f>B4&amp;"年"&amp;起始月&amp;"月"&amp;起始日&amp;"日"&amp;"至"&amp;本年度&amp;"年"&amp;截止月&amp;"月"&amp;截止日&amp;"日"</f>
        <v>2016年01月01日至2016年12月31日</v>
      </c>
      <c r="C7" s="2805"/>
      <c r="D7" s="2805"/>
      <c r="E7" s="2805"/>
      <c r="F7" s="53"/>
      <c r="G7" s="54"/>
      <c r="H7" s="54"/>
    </row>
    <row r="8" spans="1:8" s="55" customFormat="1" ht="18" customHeight="1">
      <c r="A8" s="52" t="s">
        <v>393</v>
      </c>
      <c r="B8" s="2805" t="s">
        <v>7704</v>
      </c>
      <c r="C8" s="2805"/>
      <c r="D8" s="2805"/>
      <c r="E8" s="2805"/>
      <c r="F8" s="53"/>
      <c r="G8" s="54"/>
      <c r="H8" s="54"/>
    </row>
    <row r="9" spans="1:8" s="55" customFormat="1" ht="18" customHeight="1">
      <c r="A9" s="52" t="s">
        <v>394</v>
      </c>
      <c r="B9" s="2804"/>
      <c r="C9" s="2804"/>
      <c r="D9" s="2804"/>
      <c r="E9" s="2804"/>
      <c r="F9" s="58" t="s">
        <v>395</v>
      </c>
      <c r="G9" s="54"/>
      <c r="H9" s="54"/>
    </row>
    <row r="10" spans="1:8" s="55" customFormat="1" ht="18" customHeight="1">
      <c r="A10" s="52" t="s">
        <v>396</v>
      </c>
      <c r="B10" s="2804"/>
      <c r="C10" s="2804"/>
      <c r="D10" s="2804"/>
      <c r="E10" s="2804"/>
      <c r="F10" s="59" t="s">
        <v>397</v>
      </c>
      <c r="G10" s="54"/>
      <c r="H10" s="54"/>
    </row>
    <row r="11" spans="1:8" s="55" customFormat="1" ht="18" customHeight="1">
      <c r="A11" s="52" t="s">
        <v>398</v>
      </c>
      <c r="B11" s="2804"/>
      <c r="C11" s="2804"/>
      <c r="D11" s="2804"/>
      <c r="E11" s="2804"/>
      <c r="F11" s="60" t="s">
        <v>399</v>
      </c>
      <c r="G11" s="54"/>
      <c r="H11" s="54"/>
    </row>
    <row r="12" spans="1:8" s="55" customFormat="1" ht="18" customHeight="1">
      <c r="A12" s="52" t="s">
        <v>400</v>
      </c>
      <c r="B12" s="2804"/>
      <c r="C12" s="2804"/>
      <c r="D12" s="2804"/>
      <c r="E12" s="2804"/>
      <c r="F12" s="61" t="s">
        <v>401</v>
      </c>
      <c r="G12" s="54"/>
      <c r="H12" s="54"/>
    </row>
    <row r="13" spans="1:8" s="55" customFormat="1" ht="18" customHeight="1">
      <c r="A13" s="52" t="s">
        <v>400</v>
      </c>
      <c r="B13" s="2804"/>
      <c r="C13" s="2804"/>
      <c r="D13" s="2804"/>
      <c r="E13" s="2804"/>
      <c r="F13" s="61"/>
      <c r="G13" s="54"/>
      <c r="H13" s="54"/>
    </row>
    <row r="14" spans="1:8" s="55" customFormat="1" ht="18" customHeight="1">
      <c r="A14" s="52" t="s">
        <v>400</v>
      </c>
      <c r="B14" s="2804"/>
      <c r="C14" s="2804"/>
      <c r="D14" s="2804"/>
      <c r="E14" s="2804"/>
      <c r="F14" s="62"/>
      <c r="G14" s="54"/>
      <c r="H14" s="54"/>
    </row>
    <row r="15" spans="1:8" s="55" customFormat="1" ht="18" customHeight="1">
      <c r="A15" s="52" t="s">
        <v>400</v>
      </c>
      <c r="B15" s="2804"/>
      <c r="C15" s="2804"/>
      <c r="D15" s="2804"/>
      <c r="E15" s="2804"/>
      <c r="F15" s="63"/>
      <c r="G15" s="54"/>
      <c r="H15" s="54"/>
    </row>
    <row r="16" spans="1:8" s="55" customFormat="1" ht="18" customHeight="1">
      <c r="A16" s="52" t="s">
        <v>400</v>
      </c>
      <c r="B16" s="2804"/>
      <c r="C16" s="2804"/>
      <c r="D16" s="2804"/>
      <c r="E16" s="2804"/>
      <c r="F16" s="61" t="s">
        <v>9974</v>
      </c>
      <c r="G16" s="54"/>
      <c r="H16" s="54"/>
    </row>
    <row r="17" spans="1:8" s="55" customFormat="1" ht="18" customHeight="1">
      <c r="A17" s="52" t="s">
        <v>714</v>
      </c>
      <c r="B17" s="2842">
        <f>ROUNDUP(税审收费标准!G3,0)</f>
        <v>1500</v>
      </c>
      <c r="C17" s="2842"/>
      <c r="D17" s="2842"/>
      <c r="E17" s="2842"/>
      <c r="F17" s="2574" t="s">
        <v>9973</v>
      </c>
      <c r="G17" s="54"/>
      <c r="H17" s="54"/>
    </row>
    <row r="18" spans="1:8" ht="18" customHeight="1">
      <c r="A18" s="64" t="s">
        <v>402</v>
      </c>
      <c r="B18" s="2817"/>
      <c r="C18" s="2817"/>
      <c r="D18" s="2817"/>
      <c r="E18" s="2817"/>
      <c r="F18" s="65"/>
      <c r="G18" s="50"/>
      <c r="H18" s="50"/>
    </row>
    <row r="19" spans="1:8" ht="18" customHeight="1">
      <c r="A19" s="64" t="s">
        <v>403</v>
      </c>
      <c r="B19" s="2818" t="str">
        <f>B21</f>
        <v>2017年3月16日</v>
      </c>
      <c r="C19" s="2819"/>
      <c r="D19" s="2819"/>
      <c r="E19" s="2819"/>
      <c r="F19" s="49" t="s">
        <v>1637</v>
      </c>
      <c r="G19" s="50"/>
      <c r="H19" s="50"/>
    </row>
    <row r="20" spans="1:8" s="55" customFormat="1" ht="18" customHeight="1">
      <c r="A20" s="52" t="s">
        <v>404</v>
      </c>
      <c r="B20" s="2820" t="s">
        <v>7700</v>
      </c>
      <c r="C20" s="2820"/>
      <c r="D20" s="2820"/>
      <c r="E20" s="2820"/>
      <c r="F20" s="49" t="str">
        <f>TEXT(B20,"yyyy-mm-dd")</f>
        <v>2017-05-04</v>
      </c>
      <c r="G20" s="54" t="s">
        <v>1267</v>
      </c>
      <c r="H20" s="54"/>
    </row>
    <row r="21" spans="1:8" ht="18" customHeight="1">
      <c r="A21" s="52" t="s">
        <v>405</v>
      </c>
      <c r="B21" s="2820" t="s">
        <v>7699</v>
      </c>
      <c r="C21" s="2820"/>
      <c r="D21" s="2820"/>
      <c r="E21" s="2820"/>
      <c r="F21" s="49" t="str">
        <f>TEXT(B21,"yyyy-mm-dd")</f>
        <v>2017-03-16</v>
      </c>
      <c r="G21" s="50" t="s">
        <v>1266</v>
      </c>
      <c r="H21" s="50"/>
    </row>
    <row r="22" spans="1:8" ht="18" customHeight="1">
      <c r="A22" s="52" t="s">
        <v>406</v>
      </c>
      <c r="B22" s="2818" t="str">
        <f>B20</f>
        <v>2017年5月4日</v>
      </c>
      <c r="C22" s="2819"/>
      <c r="D22" s="2819"/>
      <c r="E22" s="2819"/>
      <c r="F22" s="49"/>
      <c r="G22" s="50"/>
      <c r="H22" s="50"/>
    </row>
    <row r="23" spans="1:8" ht="18" customHeight="1">
      <c r="A23" s="52" t="s">
        <v>6428</v>
      </c>
      <c r="B23" s="2804"/>
      <c r="C23" s="2804"/>
      <c r="D23" s="2804"/>
      <c r="E23" s="2804"/>
      <c r="F23" s="49"/>
      <c r="G23" s="50"/>
      <c r="H23" s="50"/>
    </row>
    <row r="24" spans="1:8" ht="18" customHeight="1">
      <c r="A24" s="66" t="s">
        <v>407</v>
      </c>
      <c r="B24" s="2821">
        <v>361004</v>
      </c>
      <c r="C24" s="2821"/>
      <c r="D24" s="2821"/>
      <c r="E24" s="2821"/>
      <c r="F24" s="49"/>
      <c r="G24" s="50"/>
      <c r="H24" s="50"/>
    </row>
    <row r="25" spans="1:8" ht="18" customHeight="1">
      <c r="A25" s="66" t="s">
        <v>408</v>
      </c>
      <c r="B25" s="2821" t="str">
        <f>IF(B8="中汇百邦（厦门）税务师事务所有限公司","0592-5881030","0592-2988712")</f>
        <v>0592-5881030</v>
      </c>
      <c r="C25" s="2821"/>
      <c r="D25" s="2821"/>
      <c r="E25" s="2821"/>
      <c r="F25" s="49"/>
      <c r="G25" s="50"/>
      <c r="H25" s="50"/>
    </row>
    <row r="26" spans="1:8" ht="18" customHeight="1">
      <c r="A26" s="66" t="s">
        <v>409</v>
      </c>
      <c r="B26" s="2821" t="s">
        <v>410</v>
      </c>
      <c r="C26" s="2821"/>
      <c r="D26" s="2821"/>
      <c r="E26" s="2821"/>
      <c r="F26" s="49"/>
      <c r="G26" s="1313" t="s">
        <v>957</v>
      </c>
      <c r="H26" s="50"/>
    </row>
    <row r="27" spans="1:8" ht="18" customHeight="1">
      <c r="A27" s="66" t="s">
        <v>411</v>
      </c>
      <c r="B27" s="2844"/>
      <c r="C27" s="2844"/>
      <c r="D27" s="2844"/>
      <c r="E27" s="2844"/>
      <c r="F27" s="49"/>
      <c r="G27" s="1313" t="s">
        <v>958</v>
      </c>
      <c r="H27" s="50"/>
    </row>
    <row r="28" spans="1:8" ht="18" customHeight="1">
      <c r="A28" s="67" t="s">
        <v>412</v>
      </c>
      <c r="B28" s="2822" t="s">
        <v>1077</v>
      </c>
      <c r="C28" s="2822"/>
      <c r="D28" s="2822"/>
      <c r="E28" s="2822"/>
      <c r="F28" s="68" t="s">
        <v>414</v>
      </c>
      <c r="G28" s="1313" t="s">
        <v>959</v>
      </c>
      <c r="H28" s="50"/>
    </row>
    <row r="29" spans="1:8" ht="18" customHeight="1">
      <c r="A29" s="67" t="s">
        <v>415</v>
      </c>
      <c r="B29" s="2822" t="s">
        <v>413</v>
      </c>
      <c r="C29" s="2822"/>
      <c r="D29" s="2822"/>
      <c r="E29" s="2822"/>
      <c r="F29" s="68"/>
      <c r="G29" s="1313" t="s">
        <v>960</v>
      </c>
      <c r="H29" s="50"/>
    </row>
    <row r="30" spans="1:8" ht="18" customHeight="1">
      <c r="A30" s="67" t="s">
        <v>10083</v>
      </c>
      <c r="B30" s="2814">
        <v>3</v>
      </c>
      <c r="C30" s="2815"/>
      <c r="D30" s="2815"/>
      <c r="E30" s="2816"/>
      <c r="F30" s="68"/>
      <c r="G30" s="1313" t="s">
        <v>961</v>
      </c>
      <c r="H30" s="50"/>
    </row>
    <row r="31" spans="1:8" ht="18" customHeight="1">
      <c r="A31" s="67" t="s">
        <v>715</v>
      </c>
      <c r="B31" s="2812">
        <f>地税、基本情况!B3</f>
        <v>0</v>
      </c>
      <c r="C31" s="2813"/>
      <c r="D31" s="2813"/>
      <c r="E31" s="2813"/>
      <c r="F31" s="49" t="s">
        <v>386</v>
      </c>
      <c r="G31" s="1313" t="s">
        <v>962</v>
      </c>
      <c r="H31" s="50"/>
    </row>
    <row r="32" spans="1:8" ht="18" customHeight="1">
      <c r="A32" s="67" t="s">
        <v>716</v>
      </c>
      <c r="B32" s="2812">
        <f>地税、基本情况!B4</f>
        <v>0</v>
      </c>
      <c r="C32" s="2813"/>
      <c r="D32" s="2813"/>
      <c r="E32" s="2813"/>
      <c r="F32" s="49"/>
      <c r="G32" s="50"/>
      <c r="H32" s="50"/>
    </row>
    <row r="33" spans="1:8" ht="18" customHeight="1">
      <c r="A33" s="67" t="s">
        <v>407</v>
      </c>
      <c r="B33" s="2812">
        <f>地税、基本情况!D3</f>
        <v>0</v>
      </c>
      <c r="C33" s="2813"/>
      <c r="D33" s="2813"/>
      <c r="E33" s="2813"/>
      <c r="F33" s="49" t="s">
        <v>416</v>
      </c>
      <c r="G33" s="50"/>
      <c r="H33" s="50"/>
    </row>
    <row r="34" spans="1:8" ht="18" customHeight="1">
      <c r="A34" s="64" t="s">
        <v>408</v>
      </c>
      <c r="B34" s="2812">
        <f>地税、基本情况!D7</f>
        <v>0</v>
      </c>
      <c r="C34" s="2813"/>
      <c r="D34" s="2813"/>
      <c r="E34" s="2813"/>
      <c r="F34" s="49" t="s">
        <v>417</v>
      </c>
      <c r="G34" s="50"/>
      <c r="H34" s="50"/>
    </row>
    <row r="35" spans="1:8" ht="18" customHeight="1">
      <c r="A35" s="64" t="s">
        <v>418</v>
      </c>
      <c r="B35" s="2812">
        <f>地税、基本情况!B7</f>
        <v>0</v>
      </c>
      <c r="C35" s="2813"/>
      <c r="D35" s="2813"/>
      <c r="E35" s="2813"/>
      <c r="F35" s="49" t="s">
        <v>417</v>
      </c>
      <c r="G35" s="50"/>
      <c r="H35" s="50"/>
    </row>
    <row r="36" spans="1:8" ht="18" customHeight="1">
      <c r="A36" s="64" t="s">
        <v>419</v>
      </c>
      <c r="B36" s="2812">
        <f>地税、基本情况!B9</f>
        <v>0</v>
      </c>
      <c r="C36" s="2813"/>
      <c r="D36" s="2813"/>
      <c r="E36" s="2813"/>
      <c r="F36" s="49" t="s">
        <v>417</v>
      </c>
      <c r="G36" s="50"/>
      <c r="H36" s="50"/>
    </row>
    <row r="37" spans="1:8" ht="18" customHeight="1">
      <c r="A37" s="64" t="s">
        <v>420</v>
      </c>
      <c r="B37" s="2813">
        <f>B35</f>
        <v>0</v>
      </c>
      <c r="C37" s="2813"/>
      <c r="D37" s="2813"/>
      <c r="E37" s="2813"/>
      <c r="F37" s="49" t="s">
        <v>421</v>
      </c>
      <c r="G37" s="50"/>
      <c r="H37" s="50"/>
    </row>
    <row r="38" spans="1:8" ht="18" customHeight="1">
      <c r="A38" s="64" t="s">
        <v>422</v>
      </c>
      <c r="B38" s="2845" t="str">
        <f>IF(地税、基本情况!X31="","小企业会计准则",地税、基本情况!X31)</f>
        <v>小企业会计准则</v>
      </c>
      <c r="C38" s="2845"/>
      <c r="D38" s="2845"/>
      <c r="E38" s="2845"/>
      <c r="F38" s="69" t="s">
        <v>423</v>
      </c>
      <c r="G38" s="50"/>
      <c r="H38" s="50"/>
    </row>
    <row r="39" spans="1:8" ht="18" customHeight="1">
      <c r="A39" s="64" t="s">
        <v>424</v>
      </c>
      <c r="B39" s="2813" t="e">
        <f>INDEX(地税、基本情况!A:A,MATCH("营业网点",地税、基本情况!A:A,0)+1)</f>
        <v>#N/A</v>
      </c>
      <c r="C39" s="2813"/>
      <c r="D39" s="2813"/>
      <c r="E39" s="2813"/>
      <c r="F39" s="49" t="s">
        <v>425</v>
      </c>
      <c r="G39" s="50"/>
      <c r="H39" s="50"/>
    </row>
    <row r="40" spans="1:8" ht="18" customHeight="1">
      <c r="A40" s="64" t="s">
        <v>426</v>
      </c>
      <c r="B40" s="2813" t="e">
        <f>INDEX(地税、基本情况!D:D,MATCH("营业网点",地税、基本情况!A:A,0)+1)</f>
        <v>#N/A</v>
      </c>
      <c r="C40" s="2813"/>
      <c r="D40" s="2813"/>
      <c r="E40" s="2813"/>
      <c r="F40" s="49" t="s">
        <v>425</v>
      </c>
      <c r="G40" s="50"/>
      <c r="H40" s="50"/>
    </row>
    <row r="41" spans="1:8" ht="18" customHeight="1">
      <c r="A41" s="70" t="s">
        <v>427</v>
      </c>
      <c r="B41" s="2848">
        <f>地税、基本情况!B6</f>
        <v>0</v>
      </c>
      <c r="C41" s="2849"/>
      <c r="D41" s="2849"/>
      <c r="E41" s="2849"/>
      <c r="F41" s="49"/>
      <c r="G41" s="50"/>
      <c r="H41" s="50"/>
    </row>
    <row r="42" spans="1:8" ht="18" customHeight="1">
      <c r="A42" s="70" t="s">
        <v>428</v>
      </c>
      <c r="B42" s="2850">
        <f>地税、基本情况!D5</f>
        <v>0</v>
      </c>
      <c r="C42" s="2851"/>
      <c r="D42" s="2851"/>
      <c r="E42" s="2851"/>
      <c r="F42" s="49"/>
      <c r="G42" s="50"/>
      <c r="H42" s="50"/>
    </row>
    <row r="43" spans="1:8" ht="18" customHeight="1">
      <c r="A43" s="71" t="s">
        <v>429</v>
      </c>
      <c r="B43" s="2846">
        <f>地税、基本情况!B10</f>
        <v>0</v>
      </c>
      <c r="C43" s="2847"/>
      <c r="D43" s="2847"/>
      <c r="E43" s="2847"/>
      <c r="F43" s="49"/>
      <c r="G43" s="50"/>
      <c r="H43" s="50"/>
    </row>
    <row r="44" spans="1:8" ht="18" customHeight="1">
      <c r="A44" s="71" t="s">
        <v>7702</v>
      </c>
      <c r="B44" s="2812">
        <f>地税、基本情况!H6</f>
        <v>0</v>
      </c>
      <c r="C44" s="2813"/>
      <c r="D44" s="2813"/>
      <c r="E44" s="2813"/>
      <c r="F44" s="49" t="s">
        <v>386</v>
      </c>
      <c r="G44" s="50"/>
      <c r="H44" s="50"/>
    </row>
    <row r="45" spans="1:8" ht="18" customHeight="1">
      <c r="A45" s="71" t="s">
        <v>430</v>
      </c>
      <c r="B45" s="2825">
        <f>地税、基本情况!D10</f>
        <v>0</v>
      </c>
      <c r="C45" s="2826"/>
      <c r="D45" s="2826"/>
      <c r="E45" s="2826"/>
      <c r="F45" s="49" t="s">
        <v>386</v>
      </c>
      <c r="G45" s="50"/>
      <c r="H45" s="50"/>
    </row>
    <row r="46" spans="1:8" ht="65.25" customHeight="1">
      <c r="A46" s="72" t="s">
        <v>431</v>
      </c>
      <c r="B46" s="2827">
        <f>地税、基本情况!X9</f>
        <v>0</v>
      </c>
      <c r="C46" s="2828"/>
      <c r="D46" s="2828"/>
      <c r="E46" s="2828"/>
      <c r="F46" s="49" t="s">
        <v>386</v>
      </c>
      <c r="G46" s="50"/>
      <c r="H46" s="50"/>
    </row>
    <row r="47" spans="1:8" ht="19.5" customHeight="1">
      <c r="A47" s="72" t="s">
        <v>432</v>
      </c>
      <c r="B47" s="2829">
        <f>YEAR(地税、基本情况!X18)-YEAR(地税、基本情况!X17)</f>
        <v>0</v>
      </c>
      <c r="C47" s="2830"/>
      <c r="D47" s="2830"/>
      <c r="E47" s="2831"/>
      <c r="F47" s="49" t="s">
        <v>386</v>
      </c>
      <c r="G47" s="50"/>
      <c r="H47" s="50"/>
    </row>
    <row r="48" spans="1:8" ht="19.5" customHeight="1">
      <c r="A48" s="2572" t="s">
        <v>433</v>
      </c>
      <c r="B48" s="2839" t="str">
        <f>TRIM(B44)</f>
        <v>0</v>
      </c>
      <c r="C48" s="2840"/>
      <c r="D48" s="2840"/>
      <c r="E48" s="2841"/>
      <c r="F48" s="49" t="s">
        <v>434</v>
      </c>
      <c r="G48" s="50"/>
      <c r="H48" s="50"/>
    </row>
    <row r="49" spans="1:8" ht="21" customHeight="1">
      <c r="A49" s="71" t="s">
        <v>10059</v>
      </c>
      <c r="B49" s="2834" t="s">
        <v>10112</v>
      </c>
      <c r="C49" s="2835"/>
      <c r="D49" s="2836" t="s">
        <v>10114</v>
      </c>
      <c r="E49" s="2837"/>
      <c r="F49" s="49" t="s">
        <v>435</v>
      </c>
      <c r="G49" s="50"/>
      <c r="H49" s="50"/>
    </row>
    <row r="50" spans="1:8" ht="21" customHeight="1">
      <c r="A50" s="71" t="s">
        <v>10060</v>
      </c>
      <c r="B50" s="2834" t="s">
        <v>10113</v>
      </c>
      <c r="C50" s="2835"/>
      <c r="D50" s="2836" t="s">
        <v>10115</v>
      </c>
      <c r="E50" s="2838"/>
      <c r="F50" s="49" t="s">
        <v>435</v>
      </c>
      <c r="G50" s="50"/>
      <c r="H50" s="50"/>
    </row>
    <row r="51" spans="1:8" s="78" customFormat="1" ht="21" customHeight="1">
      <c r="A51" s="73" t="s">
        <v>436</v>
      </c>
      <c r="B51" s="74" t="s">
        <v>437</v>
      </c>
      <c r="C51" s="74" t="s">
        <v>438</v>
      </c>
      <c r="D51" s="74" t="s">
        <v>439</v>
      </c>
      <c r="E51" s="75" t="s">
        <v>440</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441</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442</v>
      </c>
      <c r="B57" s="1319">
        <f>SUM(B52:B56)</f>
        <v>0</v>
      </c>
      <c r="C57" s="79">
        <f>SUM(C52:C56)</f>
        <v>0</v>
      </c>
      <c r="D57" s="1319">
        <f>SUM(D52:D56)</f>
        <v>0</v>
      </c>
      <c r="E57" s="80">
        <f>SUM(E52:E56)</f>
        <v>0</v>
      </c>
      <c r="F57" s="49"/>
      <c r="G57" s="50"/>
      <c r="H57" s="50"/>
    </row>
    <row r="58" spans="1:8">
      <c r="A58" s="81" t="s">
        <v>717</v>
      </c>
      <c r="B58" s="2843">
        <f>B57</f>
        <v>0</v>
      </c>
      <c r="C58" s="2843"/>
      <c r="D58" s="2843"/>
      <c r="E58" s="2843"/>
      <c r="F58" s="49"/>
      <c r="G58" s="50"/>
      <c r="H58" s="50"/>
    </row>
    <row r="59" spans="1:8" ht="24">
      <c r="A59" s="1308" t="s">
        <v>828</v>
      </c>
      <c r="B59" s="1309" t="s">
        <v>829</v>
      </c>
      <c r="C59" s="1309" t="s">
        <v>830</v>
      </c>
      <c r="D59" s="1309" t="s">
        <v>831</v>
      </c>
      <c r="E59" s="1307" t="s">
        <v>832</v>
      </c>
      <c r="F59" s="49"/>
      <c r="G59" s="50"/>
      <c r="H59" s="50"/>
    </row>
    <row r="60" spans="1:8" ht="60">
      <c r="A60" s="1312" t="s">
        <v>819</v>
      </c>
      <c r="B60" s="1310" t="s">
        <v>1363</v>
      </c>
      <c r="C60" s="1302" t="s">
        <v>1364</v>
      </c>
      <c r="D60" s="1311">
        <v>0</v>
      </c>
      <c r="E60" s="1307" t="s">
        <v>820</v>
      </c>
      <c r="F60" s="49"/>
      <c r="G60" s="50"/>
      <c r="H60" s="50"/>
    </row>
    <row r="61" spans="1:8" ht="60">
      <c r="A61" s="1312" t="s">
        <v>821</v>
      </c>
      <c r="B61" s="1310" t="s">
        <v>1363</v>
      </c>
      <c r="C61" s="1302" t="s">
        <v>1364</v>
      </c>
      <c r="D61" s="1311">
        <v>0</v>
      </c>
      <c r="E61" s="1307" t="s">
        <v>822</v>
      </c>
      <c r="F61" s="49"/>
      <c r="G61" s="50"/>
      <c r="H61" s="50"/>
    </row>
    <row r="62" spans="1:8" ht="48">
      <c r="A62" s="1312" t="s">
        <v>823</v>
      </c>
      <c r="B62" s="1310" t="s">
        <v>1363</v>
      </c>
      <c r="C62" s="1302" t="s">
        <v>1364</v>
      </c>
      <c r="D62" s="1311">
        <v>0</v>
      </c>
      <c r="E62" s="1307" t="s">
        <v>824</v>
      </c>
      <c r="F62" s="49"/>
      <c r="G62" s="50"/>
      <c r="H62" s="50"/>
    </row>
    <row r="63" spans="1:8" ht="48">
      <c r="A63" s="1312" t="s">
        <v>825</v>
      </c>
      <c r="B63" s="1310" t="s">
        <v>1363</v>
      </c>
      <c r="C63" s="1302" t="s">
        <v>1364</v>
      </c>
      <c r="D63" s="1311">
        <v>0</v>
      </c>
      <c r="E63" s="1307" t="s">
        <v>826</v>
      </c>
      <c r="F63" s="49"/>
      <c r="G63" s="50"/>
      <c r="H63" s="50"/>
    </row>
    <row r="64" spans="1:8" ht="48">
      <c r="A64" s="1312" t="s">
        <v>83</v>
      </c>
      <c r="B64" s="1310" t="s">
        <v>2473</v>
      </c>
      <c r="C64" s="2824" t="s">
        <v>10084</v>
      </c>
      <c r="D64" s="2824"/>
      <c r="E64" s="1307" t="s">
        <v>827</v>
      </c>
      <c r="F64" s="49"/>
      <c r="G64" s="50"/>
      <c r="H64" s="50"/>
    </row>
    <row r="65" spans="1:8" s="78" customFormat="1" ht="21" customHeight="1">
      <c r="A65" s="82" t="s">
        <v>443</v>
      </c>
      <c r="B65" s="2832"/>
      <c r="C65" s="2832"/>
      <c r="D65" s="2832"/>
      <c r="E65" s="2832"/>
      <c r="F65" s="76" t="s">
        <v>444</v>
      </c>
      <c r="G65" s="77"/>
      <c r="H65" s="77"/>
    </row>
    <row r="66" spans="1:8" s="78" customFormat="1" ht="21" customHeight="1">
      <c r="A66" s="83" t="s">
        <v>445</v>
      </c>
      <c r="B66" s="2833"/>
      <c r="C66" s="2833"/>
      <c r="D66" s="2833"/>
      <c r="E66" s="2833"/>
      <c r="F66" s="76" t="s">
        <v>444</v>
      </c>
      <c r="G66" s="77"/>
      <c r="H66" s="77"/>
    </row>
    <row r="67" spans="1:8">
      <c r="A67" s="46"/>
    </row>
    <row r="68" spans="1:8">
      <c r="A68" s="46"/>
    </row>
    <row r="69" spans="1:8">
      <c r="A69" s="46"/>
    </row>
    <row r="70" spans="1:8">
      <c r="A70" s="2823" t="s">
        <v>718</v>
      </c>
      <c r="B70" s="2823"/>
      <c r="C70" s="1303"/>
      <c r="D70" s="2823" t="s">
        <v>719</v>
      </c>
      <c r="E70" s="2823"/>
    </row>
    <row r="71" spans="1:8">
      <c r="A71" s="1304">
        <v>100</v>
      </c>
      <c r="B71" s="1305" t="s">
        <v>734</v>
      </c>
      <c r="C71" s="1303"/>
      <c r="D71" s="1304" t="s">
        <v>720</v>
      </c>
      <c r="E71" s="1305" t="s">
        <v>799</v>
      </c>
      <c r="F71" s="1303"/>
    </row>
    <row r="72" spans="1:8">
      <c r="A72" s="1304">
        <v>110</v>
      </c>
      <c r="B72" s="1305" t="s">
        <v>735</v>
      </c>
      <c r="C72" s="1303"/>
      <c r="D72" s="1304" t="s">
        <v>1600</v>
      </c>
      <c r="E72" s="1305" t="s">
        <v>800</v>
      </c>
      <c r="F72" s="1303"/>
    </row>
    <row r="73" spans="1:8">
      <c r="A73" s="1304">
        <v>120</v>
      </c>
      <c r="B73" s="1305" t="s">
        <v>736</v>
      </c>
      <c r="C73" s="1303"/>
      <c r="D73" s="1304" t="s">
        <v>1616</v>
      </c>
      <c r="E73" s="1305" t="s">
        <v>801</v>
      </c>
      <c r="F73" s="1303"/>
    </row>
    <row r="74" spans="1:8">
      <c r="A74" s="1304">
        <v>130</v>
      </c>
      <c r="B74" s="1305" t="s">
        <v>737</v>
      </c>
      <c r="C74" s="1303"/>
      <c r="D74" s="1304" t="s">
        <v>721</v>
      </c>
      <c r="E74" s="1305" t="s">
        <v>802</v>
      </c>
      <c r="F74" s="1303"/>
    </row>
    <row r="75" spans="1:8">
      <c r="A75" s="1304">
        <v>140</v>
      </c>
      <c r="B75" s="1305" t="s">
        <v>738</v>
      </c>
      <c r="C75" s="1303"/>
      <c r="D75" s="1304" t="s">
        <v>505</v>
      </c>
      <c r="E75" s="1305" t="s">
        <v>803</v>
      </c>
      <c r="F75" s="1303"/>
    </row>
    <row r="76" spans="1:8">
      <c r="A76" s="1304">
        <v>141</v>
      </c>
      <c r="B76" s="1305" t="s">
        <v>739</v>
      </c>
      <c r="C76" s="1303"/>
      <c r="D76" s="1304" t="s">
        <v>722</v>
      </c>
      <c r="E76" s="1305" t="s">
        <v>804</v>
      </c>
      <c r="F76" s="1303"/>
    </row>
    <row r="77" spans="1:8">
      <c r="A77" s="1304">
        <v>142</v>
      </c>
      <c r="B77" s="1305" t="s">
        <v>740</v>
      </c>
      <c r="C77" s="1303"/>
      <c r="D77" s="1304" t="s">
        <v>1608</v>
      </c>
      <c r="E77" s="1305" t="s">
        <v>805</v>
      </c>
      <c r="F77" s="1303"/>
    </row>
    <row r="78" spans="1:8">
      <c r="A78" s="1304">
        <v>143</v>
      </c>
      <c r="B78" s="1305" t="s">
        <v>741</v>
      </c>
      <c r="C78" s="1303"/>
      <c r="D78" s="1304" t="s">
        <v>723</v>
      </c>
      <c r="E78" s="1305" t="s">
        <v>806</v>
      </c>
      <c r="F78" s="1303"/>
    </row>
    <row r="79" spans="1:8">
      <c r="A79" s="1304">
        <v>149</v>
      </c>
      <c r="B79" s="1305" t="s">
        <v>742</v>
      </c>
      <c r="C79" s="1303"/>
      <c r="D79" s="1304" t="s">
        <v>724</v>
      </c>
      <c r="E79" s="1305" t="s">
        <v>807</v>
      </c>
      <c r="F79" s="1303"/>
    </row>
    <row r="80" spans="1:8">
      <c r="A80" s="1304">
        <v>150</v>
      </c>
      <c r="B80" s="1305" t="s">
        <v>743</v>
      </c>
      <c r="C80" s="1303"/>
      <c r="D80" s="1304" t="s">
        <v>725</v>
      </c>
      <c r="E80" s="1305" t="s">
        <v>808</v>
      </c>
      <c r="F80" s="1303"/>
    </row>
    <row r="81" spans="1:6">
      <c r="A81" s="1304">
        <v>151</v>
      </c>
      <c r="B81" s="1305" t="s">
        <v>744</v>
      </c>
      <c r="C81" s="1303"/>
      <c r="D81" s="1304" t="s">
        <v>726</v>
      </c>
      <c r="E81" s="1305" t="s">
        <v>809</v>
      </c>
      <c r="F81" s="1303"/>
    </row>
    <row r="82" spans="1:6">
      <c r="A82" s="1304">
        <v>159</v>
      </c>
      <c r="B82" s="1305" t="s">
        <v>745</v>
      </c>
      <c r="C82" s="1303"/>
      <c r="D82" s="1304" t="s">
        <v>727</v>
      </c>
      <c r="E82" s="1305" t="s">
        <v>810</v>
      </c>
      <c r="F82" s="1303"/>
    </row>
    <row r="83" spans="1:6">
      <c r="A83" s="1304">
        <v>160</v>
      </c>
      <c r="B83" s="1305" t="s">
        <v>746</v>
      </c>
      <c r="C83" s="1303"/>
      <c r="D83" s="1304" t="s">
        <v>728</v>
      </c>
      <c r="E83" s="1305" t="s">
        <v>811</v>
      </c>
      <c r="F83" s="1303"/>
    </row>
    <row r="84" spans="1:6">
      <c r="A84" s="1304">
        <v>170</v>
      </c>
      <c r="B84" s="1305" t="s">
        <v>747</v>
      </c>
      <c r="C84" s="1303"/>
      <c r="D84" s="1304" t="s">
        <v>729</v>
      </c>
      <c r="E84" s="1305" t="s">
        <v>812</v>
      </c>
      <c r="F84" s="1303"/>
    </row>
    <row r="85" spans="1:6">
      <c r="A85" s="1304">
        <v>171</v>
      </c>
      <c r="B85" s="1305" t="s">
        <v>748</v>
      </c>
      <c r="C85" s="1303"/>
      <c r="D85" s="1304" t="s">
        <v>730</v>
      </c>
      <c r="E85" s="1305" t="s">
        <v>813</v>
      </c>
      <c r="F85" s="1303"/>
    </row>
    <row r="86" spans="1:6">
      <c r="A86" s="1304">
        <v>172</v>
      </c>
      <c r="B86" s="1305" t="s">
        <v>749</v>
      </c>
      <c r="C86" s="1303"/>
      <c r="D86" s="1304" t="s">
        <v>731</v>
      </c>
      <c r="E86" s="1305" t="s">
        <v>814</v>
      </c>
      <c r="F86" s="1303"/>
    </row>
    <row r="87" spans="1:6">
      <c r="A87" s="1304">
        <v>173</v>
      </c>
      <c r="B87" s="1305" t="s">
        <v>750</v>
      </c>
      <c r="C87" s="1303"/>
      <c r="D87" s="1304" t="s">
        <v>732</v>
      </c>
      <c r="E87" s="1305" t="s">
        <v>815</v>
      </c>
      <c r="F87" s="1303"/>
    </row>
    <row r="88" spans="1:6">
      <c r="A88" s="1304">
        <v>174</v>
      </c>
      <c r="B88" s="1305" t="s">
        <v>751</v>
      </c>
      <c r="C88" s="1303"/>
      <c r="D88" s="1304" t="s">
        <v>733</v>
      </c>
      <c r="E88" s="1305" t="s">
        <v>816</v>
      </c>
      <c r="F88" s="1303"/>
    </row>
    <row r="89" spans="1:6">
      <c r="A89" s="1304">
        <v>175</v>
      </c>
      <c r="B89" s="1305" t="s">
        <v>752</v>
      </c>
      <c r="C89" s="1303"/>
      <c r="D89" s="1304" t="s">
        <v>1612</v>
      </c>
      <c r="E89" s="1305" t="s">
        <v>817</v>
      </c>
      <c r="F89" s="1303"/>
    </row>
    <row r="90" spans="1:6">
      <c r="A90" s="1304">
        <v>190</v>
      </c>
      <c r="B90" s="1305" t="s">
        <v>753</v>
      </c>
      <c r="C90" s="1303"/>
      <c r="D90" s="1304" t="s">
        <v>1604</v>
      </c>
      <c r="E90" s="1305" t="s">
        <v>818</v>
      </c>
      <c r="F90" s="1303"/>
    </row>
    <row r="91" spans="1:6">
      <c r="A91" s="1304">
        <v>200</v>
      </c>
      <c r="B91" s="1305" t="s">
        <v>754</v>
      </c>
      <c r="C91" s="1303"/>
      <c r="D91" s="1303"/>
      <c r="E91" s="1306"/>
    </row>
    <row r="92" spans="1:6">
      <c r="A92" s="1304">
        <v>210</v>
      </c>
      <c r="B92" s="1305" t="s">
        <v>755</v>
      </c>
      <c r="C92" s="1303"/>
      <c r="D92" s="1303"/>
      <c r="E92" s="1306"/>
    </row>
    <row r="93" spans="1:6">
      <c r="A93" s="1304">
        <v>220</v>
      </c>
      <c r="B93" s="1305" t="s">
        <v>756</v>
      </c>
      <c r="C93" s="1303"/>
      <c r="D93" s="1303"/>
      <c r="E93" s="1306"/>
    </row>
    <row r="94" spans="1:6">
      <c r="A94" s="1304">
        <v>230</v>
      </c>
      <c r="B94" s="1305" t="s">
        <v>757</v>
      </c>
      <c r="C94" s="1303"/>
      <c r="D94" s="1303"/>
      <c r="E94" s="1306"/>
    </row>
    <row r="95" spans="1:6">
      <c r="A95" s="1304">
        <v>240</v>
      </c>
      <c r="B95" s="1305" t="s">
        <v>758</v>
      </c>
      <c r="C95" s="1303"/>
      <c r="D95" s="1303"/>
      <c r="E95" s="1306"/>
    </row>
    <row r="96" spans="1:6">
      <c r="A96" s="1304">
        <v>250</v>
      </c>
      <c r="B96" s="1305" t="s">
        <v>759</v>
      </c>
      <c r="C96" s="1303"/>
      <c r="D96" s="1303"/>
      <c r="E96" s="1306"/>
    </row>
    <row r="97" spans="1:5">
      <c r="A97" s="1304">
        <v>251</v>
      </c>
      <c r="B97" s="1305" t="s">
        <v>760</v>
      </c>
      <c r="C97" s="1303"/>
      <c r="D97" s="1303"/>
      <c r="E97" s="1306"/>
    </row>
    <row r="98" spans="1:5">
      <c r="A98" s="1304">
        <v>252</v>
      </c>
      <c r="B98" s="1305" t="s">
        <v>761</v>
      </c>
      <c r="C98" s="1303"/>
      <c r="D98" s="1303"/>
      <c r="E98" s="1306"/>
    </row>
    <row r="99" spans="1:5">
      <c r="A99" s="1304">
        <v>253</v>
      </c>
      <c r="B99" s="1305" t="s">
        <v>762</v>
      </c>
      <c r="C99" s="1303"/>
      <c r="D99" s="1303"/>
      <c r="E99" s="1306"/>
    </row>
    <row r="100" spans="1:5">
      <c r="A100" s="1304">
        <v>254</v>
      </c>
      <c r="B100" s="1305" t="s">
        <v>763</v>
      </c>
      <c r="C100" s="1303"/>
      <c r="D100" s="1303"/>
      <c r="E100" s="1306"/>
    </row>
    <row r="101" spans="1:5">
      <c r="A101" s="1304">
        <v>259</v>
      </c>
      <c r="B101" s="1305" t="s">
        <v>764</v>
      </c>
      <c r="C101" s="1303"/>
      <c r="D101" s="1303"/>
      <c r="E101" s="1306"/>
    </row>
    <row r="102" spans="1:5">
      <c r="A102" s="1304">
        <v>300</v>
      </c>
      <c r="B102" s="1305" t="s">
        <v>765</v>
      </c>
      <c r="C102" s="1303"/>
      <c r="D102" s="1303"/>
      <c r="E102" s="1306"/>
    </row>
    <row r="103" spans="1:5">
      <c r="A103" s="1304">
        <v>310</v>
      </c>
      <c r="B103" s="1305" t="s">
        <v>766</v>
      </c>
      <c r="C103" s="1303"/>
      <c r="D103" s="1303"/>
      <c r="E103" s="1306"/>
    </row>
    <row r="104" spans="1:5">
      <c r="A104" s="1304">
        <v>320</v>
      </c>
      <c r="B104" s="1305" t="s">
        <v>767</v>
      </c>
      <c r="C104" s="1303"/>
      <c r="D104" s="1303"/>
      <c r="E104" s="1306"/>
    </row>
    <row r="105" spans="1:5">
      <c r="A105" s="1304">
        <v>330</v>
      </c>
      <c r="B105" s="1305" t="s">
        <v>768</v>
      </c>
      <c r="C105" s="1303"/>
      <c r="D105" s="1303"/>
      <c r="E105" s="1306"/>
    </row>
    <row r="106" spans="1:5">
      <c r="A106" s="1304">
        <v>340</v>
      </c>
      <c r="B106" s="1305" t="s">
        <v>769</v>
      </c>
      <c r="C106" s="1303"/>
      <c r="D106" s="1303"/>
      <c r="E106" s="1306"/>
    </row>
    <row r="107" spans="1:5">
      <c r="A107" s="1304">
        <v>350</v>
      </c>
      <c r="B107" s="1305" t="s">
        <v>770</v>
      </c>
      <c r="C107" s="1303"/>
      <c r="D107" s="1303"/>
      <c r="E107" s="1306"/>
    </row>
    <row r="108" spans="1:5">
      <c r="A108" s="1304">
        <v>351</v>
      </c>
      <c r="B108" s="1305" t="s">
        <v>771</v>
      </c>
      <c r="C108" s="1303"/>
      <c r="D108" s="1303"/>
      <c r="E108" s="1306"/>
    </row>
    <row r="109" spans="1:5">
      <c r="A109" s="1304">
        <v>352</v>
      </c>
      <c r="B109" s="1305" t="s">
        <v>772</v>
      </c>
      <c r="C109" s="1303"/>
      <c r="D109" s="1303"/>
      <c r="E109" s="1306"/>
    </row>
    <row r="110" spans="1:5">
      <c r="A110" s="1304">
        <v>353</v>
      </c>
      <c r="B110" s="1305" t="s">
        <v>773</v>
      </c>
      <c r="C110" s="1303"/>
      <c r="D110" s="1303"/>
      <c r="E110" s="1306"/>
    </row>
    <row r="111" spans="1:5">
      <c r="A111" s="1304">
        <v>354</v>
      </c>
      <c r="B111" s="1305" t="s">
        <v>774</v>
      </c>
      <c r="C111" s="1303"/>
      <c r="D111" s="1303"/>
      <c r="E111" s="1306"/>
    </row>
    <row r="112" spans="1:5">
      <c r="A112" s="1304">
        <v>359</v>
      </c>
      <c r="B112" s="1305" t="s">
        <v>775</v>
      </c>
      <c r="C112" s="1303"/>
      <c r="D112" s="1303"/>
      <c r="E112" s="1306"/>
    </row>
    <row r="113" spans="1:5">
      <c r="A113" s="1304">
        <v>400</v>
      </c>
      <c r="B113" s="1305" t="s">
        <v>776</v>
      </c>
      <c r="C113" s="1303"/>
      <c r="D113" s="1303"/>
      <c r="E113" s="1306"/>
    </row>
    <row r="114" spans="1:5">
      <c r="A114" s="1304">
        <v>410</v>
      </c>
      <c r="B114" s="1305" t="s">
        <v>777</v>
      </c>
      <c r="C114" s="1303"/>
      <c r="D114" s="1303"/>
      <c r="E114" s="1306"/>
    </row>
    <row r="115" spans="1:5">
      <c r="A115" s="1304">
        <v>411</v>
      </c>
      <c r="B115" s="1305" t="s">
        <v>778</v>
      </c>
      <c r="C115" s="1303"/>
      <c r="D115" s="1303"/>
      <c r="E115" s="1306"/>
    </row>
    <row r="116" spans="1:5">
      <c r="A116" s="1304">
        <v>412</v>
      </c>
      <c r="B116" s="1305" t="s">
        <v>779</v>
      </c>
      <c r="C116" s="1303"/>
      <c r="D116" s="1303"/>
      <c r="E116" s="1306"/>
    </row>
    <row r="117" spans="1:5">
      <c r="A117" s="1304">
        <v>413</v>
      </c>
      <c r="B117" s="1305" t="s">
        <v>780</v>
      </c>
      <c r="C117" s="1303"/>
      <c r="D117" s="1303"/>
      <c r="E117" s="1306"/>
    </row>
    <row r="118" spans="1:5">
      <c r="A118" s="1304">
        <v>420</v>
      </c>
      <c r="B118" s="1305" t="s">
        <v>781</v>
      </c>
      <c r="C118" s="1303"/>
      <c r="D118" s="1303"/>
      <c r="E118" s="1306"/>
    </row>
    <row r="119" spans="1:5">
      <c r="A119" s="1304">
        <v>421</v>
      </c>
      <c r="B119" s="1305" t="s">
        <v>782</v>
      </c>
      <c r="C119" s="1303"/>
      <c r="D119" s="1303"/>
      <c r="E119" s="1306"/>
    </row>
    <row r="120" spans="1:5">
      <c r="A120" s="1304">
        <v>422</v>
      </c>
      <c r="B120" s="1305" t="s">
        <v>783</v>
      </c>
      <c r="C120" s="1303"/>
      <c r="D120" s="1303"/>
      <c r="E120" s="1306"/>
    </row>
    <row r="121" spans="1:5">
      <c r="A121" s="1304">
        <v>423</v>
      </c>
      <c r="B121" s="1305" t="s">
        <v>784</v>
      </c>
      <c r="C121" s="1303"/>
      <c r="D121" s="1303"/>
      <c r="E121" s="1306"/>
    </row>
    <row r="122" spans="1:5">
      <c r="A122" s="1304">
        <v>430</v>
      </c>
      <c r="B122" s="1305" t="s">
        <v>785</v>
      </c>
      <c r="C122" s="1303"/>
      <c r="D122" s="1303"/>
      <c r="E122" s="1306"/>
    </row>
    <row r="123" spans="1:5">
      <c r="A123" s="1304">
        <v>431</v>
      </c>
      <c r="B123" s="1305" t="s">
        <v>786</v>
      </c>
      <c r="C123" s="1303"/>
      <c r="D123" s="1303"/>
      <c r="E123" s="1306"/>
    </row>
    <row r="124" spans="1:5">
      <c r="A124" s="1304">
        <v>432</v>
      </c>
      <c r="B124" s="1305" t="s">
        <v>787</v>
      </c>
      <c r="C124" s="1303"/>
      <c r="D124" s="1303"/>
      <c r="E124" s="1306"/>
    </row>
    <row r="125" spans="1:5">
      <c r="A125" s="1304">
        <v>433</v>
      </c>
      <c r="B125" s="1305" t="s">
        <v>788</v>
      </c>
      <c r="C125" s="1303"/>
      <c r="D125" s="1303"/>
      <c r="E125" s="1306"/>
    </row>
    <row r="126" spans="1:5">
      <c r="A126" s="1304">
        <v>500</v>
      </c>
      <c r="B126" s="1305" t="s">
        <v>789</v>
      </c>
      <c r="C126" s="1303"/>
      <c r="D126" s="1303"/>
      <c r="E126" s="1306"/>
    </row>
    <row r="127" spans="1:5">
      <c r="A127" s="1304">
        <v>510</v>
      </c>
      <c r="B127" s="1305" t="s">
        <v>790</v>
      </c>
      <c r="C127" s="1303"/>
      <c r="D127" s="1303"/>
      <c r="E127" s="1306"/>
    </row>
    <row r="128" spans="1:5">
      <c r="A128" s="1304">
        <v>520</v>
      </c>
      <c r="B128" s="1305" t="s">
        <v>791</v>
      </c>
      <c r="C128" s="1303"/>
      <c r="D128" s="1303"/>
      <c r="E128" s="1306"/>
    </row>
    <row r="129" spans="1:5">
      <c r="A129" s="1304">
        <v>521</v>
      </c>
      <c r="B129" s="1305" t="s">
        <v>792</v>
      </c>
      <c r="C129" s="1303"/>
      <c r="D129" s="1303"/>
      <c r="E129" s="1306"/>
    </row>
    <row r="130" spans="1:5">
      <c r="A130" s="1304">
        <v>522</v>
      </c>
      <c r="B130" s="1305" t="s">
        <v>793</v>
      </c>
      <c r="C130" s="1303"/>
      <c r="D130" s="1303"/>
      <c r="E130" s="1306"/>
    </row>
    <row r="131" spans="1:5">
      <c r="A131" s="1304">
        <v>523</v>
      </c>
      <c r="B131" s="1305" t="s">
        <v>794</v>
      </c>
      <c r="C131" s="1303"/>
      <c r="D131" s="1303"/>
      <c r="E131" s="1306"/>
    </row>
    <row r="132" spans="1:5">
      <c r="A132" s="1304">
        <v>530</v>
      </c>
      <c r="B132" s="1305" t="s">
        <v>795</v>
      </c>
      <c r="C132" s="1303"/>
      <c r="D132" s="1303"/>
      <c r="E132" s="1306"/>
    </row>
    <row r="133" spans="1:5">
      <c r="A133" s="1304">
        <v>540</v>
      </c>
      <c r="B133" s="1305" t="s">
        <v>796</v>
      </c>
      <c r="C133" s="1303"/>
      <c r="D133" s="1303"/>
      <c r="E133" s="1306"/>
    </row>
    <row r="134" spans="1:5">
      <c r="A134" s="1304">
        <v>550</v>
      </c>
      <c r="B134" s="1305" t="s">
        <v>797</v>
      </c>
      <c r="C134" s="1303"/>
      <c r="D134" s="1303"/>
      <c r="E134" s="1306"/>
    </row>
    <row r="135" spans="1:5">
      <c r="A135" s="1304">
        <v>560</v>
      </c>
      <c r="B135" s="1305" t="s">
        <v>798</v>
      </c>
      <c r="C135" s="1303"/>
      <c r="D135" s="1303"/>
      <c r="E135" s="1306"/>
    </row>
  </sheetData>
  <sheetProtection selectLockedCells="1" selectUnlockedCells="1"/>
  <mergeCells count="5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 ref="A70:B70"/>
    <mergeCell ref="D70:E70"/>
    <mergeCell ref="C64:D64"/>
    <mergeCell ref="B45:E45"/>
    <mergeCell ref="B46:E46"/>
    <mergeCell ref="B47:E47"/>
    <mergeCell ref="B65:E65"/>
    <mergeCell ref="B66:E66"/>
    <mergeCell ref="B49:C49"/>
    <mergeCell ref="B50:C50"/>
    <mergeCell ref="D49:E49"/>
    <mergeCell ref="D50:E50"/>
    <mergeCell ref="B48:E48"/>
    <mergeCell ref="B33:E33"/>
    <mergeCell ref="B34:E34"/>
    <mergeCell ref="B30:E30"/>
    <mergeCell ref="B18:E18"/>
    <mergeCell ref="B19:E19"/>
    <mergeCell ref="B20:E20"/>
    <mergeCell ref="B21:E21"/>
    <mergeCell ref="B25:E25"/>
    <mergeCell ref="B26:E26"/>
    <mergeCell ref="B22:E22"/>
    <mergeCell ref="B24:E24"/>
    <mergeCell ref="B29:E29"/>
    <mergeCell ref="B23:E23"/>
    <mergeCell ref="A1:E1"/>
    <mergeCell ref="B2:E2"/>
    <mergeCell ref="B3:E3"/>
    <mergeCell ref="B4:E4"/>
    <mergeCell ref="B5:E5"/>
    <mergeCell ref="B6:E6"/>
    <mergeCell ref="B15:E15"/>
    <mergeCell ref="B16:E16"/>
    <mergeCell ref="B7:E7"/>
    <mergeCell ref="B14:E14"/>
    <mergeCell ref="B9:E9"/>
    <mergeCell ref="B10:E10"/>
    <mergeCell ref="B8:E8"/>
    <mergeCell ref="B11:E11"/>
    <mergeCell ref="B12:E12"/>
    <mergeCell ref="B13:E13"/>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"中汇百邦（厦门）税务师事务所有限公司,厦门明正税务师事务所有限公司"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5.6"/>
  <cols>
    <col min="1" max="1" width="5.8984375" customWidth="1"/>
    <col min="2" max="2" width="4.69921875" customWidth="1"/>
    <col min="3" max="3" width="30.8984375" customWidth="1"/>
    <col min="4" max="4" width="22.8984375" customWidth="1"/>
    <col min="5" max="5" width="20.3984375" customWidth="1"/>
    <col min="6" max="6" width="16.5" customWidth="1"/>
    <col min="7" max="7" width="21.19921875" customWidth="1"/>
    <col min="8" max="8" width="15" customWidth="1"/>
    <col min="9" max="9" width="2.59765625" customWidth="1"/>
  </cols>
  <sheetData>
    <row r="1" spans="1:19" ht="32.25" customHeight="1">
      <c r="A1" s="2178"/>
      <c r="B1" s="2853" t="s">
        <v>6714</v>
      </c>
      <c r="C1" s="2853"/>
      <c r="D1" s="2853"/>
      <c r="E1" s="2853"/>
      <c r="F1" s="2853"/>
      <c r="G1" s="2853"/>
      <c r="H1" s="2853"/>
      <c r="I1" s="2200"/>
      <c r="J1" s="2178"/>
      <c r="K1" s="2178"/>
      <c r="L1" s="2178"/>
      <c r="M1" s="2178"/>
      <c r="N1" s="2178"/>
      <c r="O1" s="2178"/>
      <c r="P1" s="2178"/>
      <c r="Q1" s="2178"/>
      <c r="R1" s="2178"/>
      <c r="S1" s="2178"/>
    </row>
    <row r="2" spans="1:19" ht="30.75" customHeight="1">
      <c r="A2" s="2178"/>
      <c r="B2" s="2194" t="s">
        <v>6715</v>
      </c>
      <c r="C2" s="2195" t="s">
        <v>6716</v>
      </c>
      <c r="D2" s="2196"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6" t="s">
        <v>6717</v>
      </c>
      <c r="F2" s="2196" t="s">
        <v>6718</v>
      </c>
      <c r="G2" s="2196" t="s">
        <v>6719</v>
      </c>
      <c r="H2" s="2196" t="str">
        <f>IF(D4="否"," ","下浮50%")</f>
        <v>下浮50%</v>
      </c>
      <c r="I2" s="2200"/>
      <c r="J2" s="2178"/>
      <c r="K2" s="2178"/>
      <c r="L2" s="2178"/>
      <c r="M2" s="2178"/>
      <c r="N2" s="2178"/>
      <c r="O2" s="2178"/>
      <c r="P2" s="2178"/>
      <c r="Q2" s="2178"/>
      <c r="R2" s="2178"/>
      <c r="S2" s="2178"/>
    </row>
    <row r="3" spans="1:19" ht="36.75" customHeight="1">
      <c r="A3" s="2178"/>
      <c r="B3" s="2198"/>
      <c r="C3" s="2197" t="s">
        <v>6788</v>
      </c>
      <c r="D3" s="2192">
        <f>MIN(A000000企业基础信息表!B9*10000,'A100000中华人民共和国企业所得税年度纳税申报表（A类）'!D4)</f>
        <v>0</v>
      </c>
      <c r="E3" s="2193">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3">
        <f>E3*1.3</f>
        <v>1950</v>
      </c>
      <c r="G3" s="2193">
        <f>ROUND(IF(E3*0.7&lt;1500,1500,E3*0.7),2)</f>
        <v>1500</v>
      </c>
      <c r="H3" s="2193">
        <f>IF(D4="否"," ",IF(E3*0.5&lt;1500,1500,E3*0.5))</f>
        <v>1500</v>
      </c>
      <c r="I3" s="2200"/>
      <c r="J3" s="2178"/>
      <c r="K3" s="2178"/>
      <c r="L3" s="2178"/>
      <c r="M3" s="2178"/>
      <c r="N3" s="2178"/>
      <c r="O3" s="2178"/>
      <c r="P3" s="2178"/>
      <c r="Q3" s="2178"/>
      <c r="R3" s="2178"/>
      <c r="S3" s="2178"/>
    </row>
    <row r="4" spans="1:19" ht="71.25" customHeight="1">
      <c r="A4" s="2178"/>
      <c r="B4" s="2198"/>
      <c r="C4" s="2199" t="s">
        <v>6720</v>
      </c>
      <c r="D4" s="2224" t="s">
        <v>1077</v>
      </c>
      <c r="E4" s="2854"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55"/>
      <c r="G4" s="2855"/>
      <c r="H4" s="2855"/>
      <c r="I4" s="2200"/>
      <c r="J4" s="2178"/>
      <c r="K4" s="2178"/>
      <c r="L4" s="2178"/>
      <c r="M4" s="2178"/>
      <c r="N4" s="2178"/>
      <c r="O4" s="2178"/>
      <c r="P4" s="2178"/>
      <c r="Q4" s="2178"/>
      <c r="R4" s="2178"/>
      <c r="S4" s="2178"/>
    </row>
    <row r="5" spans="1:19" ht="35.25" customHeight="1">
      <c r="A5" s="2178"/>
      <c r="B5" s="2200"/>
      <c r="C5" s="2856"/>
      <c r="D5" s="2856"/>
      <c r="E5" s="2856"/>
      <c r="F5" s="2856"/>
      <c r="G5" s="2856"/>
      <c r="H5" s="2856"/>
      <c r="I5" s="2200"/>
      <c r="J5" s="2178"/>
      <c r="K5" s="2178"/>
      <c r="L5" s="2178"/>
      <c r="M5" s="2178"/>
      <c r="N5" s="2178"/>
      <c r="O5" s="2178"/>
      <c r="P5" s="2178"/>
      <c r="Q5" s="2178"/>
      <c r="R5" s="2178"/>
      <c r="S5" s="2178"/>
    </row>
    <row r="6" spans="1:19" ht="22.2">
      <c r="A6" s="2178"/>
      <c r="B6" s="2857" t="s">
        <v>6721</v>
      </c>
      <c r="C6" s="2857"/>
      <c r="D6" s="2857"/>
      <c r="E6" s="2857"/>
      <c r="F6" s="2857"/>
      <c r="G6" s="2857"/>
      <c r="H6" s="2857"/>
      <c r="I6" s="2857"/>
      <c r="J6" s="2178"/>
      <c r="K6" s="2178"/>
      <c r="L6" s="2178"/>
      <c r="M6" s="2178"/>
      <c r="N6" s="2178"/>
      <c r="O6" s="2178"/>
      <c r="P6" s="2178"/>
      <c r="Q6" s="2178"/>
      <c r="R6" s="2178"/>
      <c r="S6" s="2178"/>
    </row>
    <row r="7" spans="1:19" ht="6.75" customHeight="1" thickBot="1">
      <c r="A7" s="2178"/>
      <c r="B7" s="2858"/>
      <c r="C7" s="2858"/>
      <c r="D7" s="2858"/>
      <c r="E7" s="2858"/>
      <c r="F7" s="2858"/>
      <c r="G7" s="2858"/>
      <c r="H7" s="2858"/>
      <c r="I7" s="2859"/>
      <c r="J7" s="2178"/>
      <c r="K7" s="2178"/>
      <c r="L7" s="2178"/>
      <c r="M7" s="2178"/>
      <c r="N7" s="2178"/>
      <c r="O7" s="2178"/>
      <c r="P7" s="2178"/>
      <c r="Q7" s="2178"/>
      <c r="R7" s="2178"/>
      <c r="S7" s="2178"/>
    </row>
    <row r="8" spans="1:19" ht="13.5" customHeight="1">
      <c r="A8" s="2178"/>
      <c r="B8" s="2860" t="s">
        <v>453</v>
      </c>
      <c r="C8" s="2860" t="s">
        <v>6722</v>
      </c>
      <c r="D8" s="2201" t="s">
        <v>6723</v>
      </c>
      <c r="E8" s="2860" t="s">
        <v>6724</v>
      </c>
      <c r="F8" s="2862" t="s">
        <v>6725</v>
      </c>
      <c r="G8" s="2863"/>
      <c r="H8" s="2860" t="s">
        <v>6726</v>
      </c>
      <c r="I8" s="2202"/>
      <c r="J8" s="2178"/>
      <c r="K8" s="2178"/>
      <c r="L8" s="2178"/>
      <c r="M8" s="2178"/>
      <c r="N8" s="2178"/>
      <c r="O8" s="2178"/>
      <c r="P8" s="2178"/>
      <c r="Q8" s="2178"/>
      <c r="R8" s="2178"/>
      <c r="S8" s="2178"/>
    </row>
    <row r="9" spans="1:19" ht="16.2" thickBot="1">
      <c r="A9" s="2178"/>
      <c r="B9" s="2861"/>
      <c r="C9" s="2861"/>
      <c r="D9" s="2203" t="s">
        <v>6727</v>
      </c>
      <c r="E9" s="2861"/>
      <c r="F9" s="2864"/>
      <c r="G9" s="2865"/>
      <c r="H9" s="2861"/>
      <c r="I9" s="2204"/>
      <c r="J9" s="2178"/>
      <c r="K9" s="2178"/>
      <c r="L9" s="2178"/>
      <c r="M9" s="2178"/>
      <c r="N9" s="2178"/>
      <c r="O9" s="2178"/>
      <c r="P9" s="2178"/>
      <c r="Q9" s="2178"/>
      <c r="R9" s="2178"/>
      <c r="S9" s="2178"/>
    </row>
    <row r="10" spans="1:19" ht="24.75" customHeight="1" thickBot="1">
      <c r="A10" s="2178"/>
      <c r="B10" s="2866"/>
      <c r="C10" s="2869" t="str">
        <f>C3</f>
        <v>企业所得税汇算清缴纳税申报鉴证</v>
      </c>
      <c r="D10" s="2870"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869" t="str">
        <f>IF(OR(C3="企业所得税汇算清缴纳税申报鉴证",C3="增值税纳税审核鉴证",C3="企业所得税税前弥补亏损鉴证"),"元/年",IF(C3="企业财产损失所得税前扣除鉴证","元/次","元/项目"))</f>
        <v>元/年</v>
      </c>
      <c r="F10" s="2871"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5"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4"/>
      <c r="J10" s="2178"/>
      <c r="K10" s="2178"/>
      <c r="L10" s="2178"/>
      <c r="M10" s="2178"/>
      <c r="N10" s="2178"/>
      <c r="O10" s="2178"/>
      <c r="P10" s="2178"/>
      <c r="Q10" s="2178"/>
      <c r="R10" s="2178"/>
      <c r="S10" s="2178"/>
    </row>
    <row r="11" spans="1:19" ht="24.75" customHeight="1" thickBot="1">
      <c r="A11" s="2178"/>
      <c r="B11" s="2867"/>
      <c r="C11" s="2869"/>
      <c r="D11" s="2870"/>
      <c r="E11" s="2869"/>
      <c r="F11" s="2872"/>
      <c r="G11" s="2205"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4"/>
      <c r="J11" s="2178"/>
      <c r="K11" s="2178"/>
      <c r="L11" s="2178"/>
      <c r="M11" s="2178"/>
      <c r="N11" s="2178"/>
      <c r="O11" s="2178"/>
      <c r="P11" s="2178"/>
      <c r="Q11" s="2178"/>
      <c r="R11" s="2178"/>
      <c r="S11" s="2178"/>
    </row>
    <row r="12" spans="1:19" ht="33" customHeight="1" thickBot="1">
      <c r="A12" s="2178"/>
      <c r="B12" s="2867"/>
      <c r="C12" s="2869"/>
      <c r="D12" s="2870"/>
      <c r="E12" s="2869"/>
      <c r="F12" s="2872"/>
      <c r="G12" s="2205"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4"/>
      <c r="J12" s="2178"/>
      <c r="K12" s="2178"/>
      <c r="L12" s="2178"/>
      <c r="M12" s="2178"/>
      <c r="N12" s="2178"/>
      <c r="O12" s="2178"/>
      <c r="P12" s="2178"/>
      <c r="Q12" s="2178"/>
      <c r="R12" s="2178"/>
      <c r="S12" s="2178"/>
    </row>
    <row r="13" spans="1:19" ht="30.75" customHeight="1" thickBot="1">
      <c r="A13" s="2178"/>
      <c r="B13" s="2867"/>
      <c r="C13" s="2869"/>
      <c r="D13" s="2870"/>
      <c r="E13" s="2869"/>
      <c r="F13" s="2872"/>
      <c r="G13" s="2205"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4"/>
      <c r="J13" s="2178"/>
      <c r="K13" s="2178"/>
      <c r="L13" s="2178"/>
      <c r="M13" s="2178"/>
      <c r="N13" s="2178"/>
      <c r="O13" s="2178"/>
      <c r="P13" s="2178"/>
      <c r="Q13" s="2178"/>
      <c r="R13" s="2178"/>
      <c r="S13" s="2178"/>
    </row>
    <row r="14" spans="1:19" ht="24.75" customHeight="1" thickBot="1">
      <c r="A14" s="2178"/>
      <c r="B14" s="2867"/>
      <c r="C14" s="2869"/>
      <c r="D14" s="2870"/>
      <c r="E14" s="2869"/>
      <c r="F14" s="2872"/>
      <c r="G14" s="2205"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4"/>
      <c r="J14" s="2178"/>
      <c r="K14" s="2178"/>
      <c r="L14" s="2178"/>
      <c r="M14" s="2178"/>
      <c r="N14" s="2178"/>
      <c r="O14" s="2178"/>
      <c r="P14" s="2178"/>
      <c r="Q14" s="2178"/>
      <c r="R14" s="2178"/>
      <c r="S14" s="2178"/>
    </row>
    <row r="15" spans="1:19" ht="24.75" customHeight="1" thickBot="1">
      <c r="A15" s="2178"/>
      <c r="B15" s="2868"/>
      <c r="C15" s="2869"/>
      <c r="D15" s="2870"/>
      <c r="E15" s="2869"/>
      <c r="F15" s="2873"/>
      <c r="G15" s="2205"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4"/>
      <c r="J15" s="2178"/>
      <c r="K15" s="2178"/>
      <c r="L15" s="2178"/>
      <c r="M15" s="2178"/>
      <c r="N15" s="2178"/>
      <c r="O15" s="2178"/>
      <c r="P15" s="2178"/>
      <c r="Q15" s="2178"/>
      <c r="R15" s="2178"/>
      <c r="S15" s="2178"/>
    </row>
    <row r="16" spans="1:19" s="2190" customFormat="1">
      <c r="A16" s="2204"/>
      <c r="B16" s="2204"/>
      <c r="C16" s="2204"/>
      <c r="D16" s="2204"/>
      <c r="E16" s="2204"/>
      <c r="F16" s="2204"/>
      <c r="G16" s="2204"/>
      <c r="H16" s="2204"/>
      <c r="I16" s="2204"/>
      <c r="J16" s="2204"/>
      <c r="K16" s="2204"/>
      <c r="L16" s="2204"/>
      <c r="M16" s="2204"/>
      <c r="N16" s="2204"/>
      <c r="O16" s="2204"/>
      <c r="P16" s="2204"/>
      <c r="Q16" s="2204"/>
      <c r="R16" s="2204"/>
      <c r="S16" s="2204"/>
    </row>
    <row r="17" spans="1:19" hidden="1">
      <c r="A17" s="2178"/>
      <c r="B17" s="2200"/>
      <c r="C17" s="2200"/>
      <c r="D17" s="2200"/>
      <c r="E17" s="2200"/>
      <c r="F17" s="2200"/>
      <c r="G17" s="2200"/>
      <c r="H17" s="2200"/>
      <c r="I17" s="2200"/>
      <c r="J17" s="2200"/>
      <c r="K17" s="2178"/>
      <c r="L17" s="2178"/>
      <c r="M17" s="2178"/>
      <c r="N17" s="2178"/>
      <c r="O17" s="2178"/>
      <c r="P17" s="2178"/>
      <c r="Q17" s="2178"/>
      <c r="R17" s="2178"/>
      <c r="S17" s="2178"/>
    </row>
    <row r="18" spans="1:19" ht="24" hidden="1" customHeight="1">
      <c r="A18" s="2178"/>
      <c r="B18" s="2200">
        <v>1</v>
      </c>
      <c r="C18" s="2207" t="s">
        <v>6728</v>
      </c>
      <c r="D18" s="2208" t="s">
        <v>6729</v>
      </c>
      <c r="E18" s="2200"/>
      <c r="F18" s="2200"/>
      <c r="G18" s="2200"/>
      <c r="H18" s="2200"/>
      <c r="I18" s="2200"/>
      <c r="J18" s="2200"/>
      <c r="K18" s="2178"/>
      <c r="L18" s="2178"/>
      <c r="M18" s="2178"/>
      <c r="N18" s="2178"/>
      <c r="O18" s="2178"/>
      <c r="P18" s="2178"/>
      <c r="Q18" s="2178"/>
      <c r="R18" s="2178"/>
      <c r="S18" s="2178"/>
    </row>
    <row r="19" spans="1:19" ht="24" hidden="1" customHeight="1">
      <c r="A19" s="2178"/>
      <c r="B19" s="2200">
        <v>2</v>
      </c>
      <c r="C19" s="2207" t="s">
        <v>6730</v>
      </c>
      <c r="D19" s="2208" t="s">
        <v>6731</v>
      </c>
      <c r="E19" s="2200"/>
      <c r="F19" s="2200"/>
      <c r="G19" s="2200"/>
      <c r="H19" s="2200"/>
      <c r="I19" s="2200"/>
      <c r="J19" s="2200"/>
      <c r="K19" s="2178"/>
      <c r="L19" s="2178"/>
      <c r="M19" s="2178"/>
      <c r="N19" s="2178"/>
      <c r="O19" s="2178"/>
      <c r="P19" s="2178"/>
      <c r="Q19" s="2178"/>
      <c r="R19" s="2178"/>
      <c r="S19" s="2178"/>
    </row>
    <row r="20" spans="1:19" ht="31.5" hidden="1" customHeight="1">
      <c r="A20" s="2178"/>
      <c r="B20" s="2200">
        <v>3</v>
      </c>
      <c r="C20" s="2207" t="s">
        <v>6732</v>
      </c>
      <c r="D20" s="2200"/>
      <c r="E20" s="2200"/>
      <c r="F20" s="2200"/>
      <c r="G20" s="2200"/>
      <c r="H20" s="2200"/>
      <c r="I20" s="2200"/>
      <c r="J20" s="2200"/>
      <c r="K20" s="2178"/>
      <c r="L20" s="2178"/>
      <c r="M20" s="2178"/>
      <c r="N20" s="2178"/>
      <c r="O20" s="2178"/>
      <c r="P20" s="2178"/>
      <c r="Q20" s="2178"/>
      <c r="R20" s="2178"/>
      <c r="S20" s="2178"/>
    </row>
    <row r="21" spans="1:19" ht="31.5" hidden="1" customHeight="1">
      <c r="A21" s="2178"/>
      <c r="B21" s="2200">
        <v>4</v>
      </c>
      <c r="C21" s="2207" t="s">
        <v>6733</v>
      </c>
      <c r="D21" s="2200"/>
      <c r="E21" s="2200"/>
      <c r="F21" s="2200"/>
      <c r="G21" s="2200"/>
      <c r="H21" s="2200"/>
      <c r="I21" s="2200"/>
      <c r="J21" s="2200"/>
      <c r="K21" s="2178"/>
      <c r="L21" s="2178"/>
      <c r="M21" s="2178"/>
      <c r="N21" s="2178"/>
      <c r="O21" s="2178"/>
      <c r="P21" s="2178"/>
      <c r="Q21" s="2178"/>
      <c r="R21" s="2178"/>
      <c r="S21" s="2178"/>
    </row>
    <row r="22" spans="1:19" ht="31.5" hidden="1" customHeight="1">
      <c r="A22" s="2178"/>
      <c r="B22" s="2200">
        <v>5</v>
      </c>
      <c r="C22" s="2207" t="s">
        <v>6734</v>
      </c>
      <c r="D22" s="2200"/>
      <c r="E22" s="2200"/>
      <c r="F22" s="2200"/>
      <c r="G22" s="2200"/>
      <c r="H22" s="2200"/>
      <c r="I22" s="2200"/>
      <c r="J22" s="2200"/>
      <c r="K22" s="2178"/>
      <c r="L22" s="2178"/>
      <c r="M22" s="2178"/>
      <c r="N22" s="2178"/>
      <c r="O22" s="2178"/>
      <c r="P22" s="2178"/>
      <c r="Q22" s="2178"/>
      <c r="R22" s="2178"/>
      <c r="S22" s="2178"/>
    </row>
    <row r="23" spans="1:19" ht="31.5" hidden="1" customHeight="1">
      <c r="A23" s="2178"/>
      <c r="B23" s="2200">
        <v>6</v>
      </c>
      <c r="C23" s="2207" t="s">
        <v>6735</v>
      </c>
      <c r="D23" s="2200"/>
      <c r="E23" s="2200"/>
      <c r="F23" s="2200"/>
      <c r="G23" s="2200"/>
      <c r="H23" s="2200"/>
      <c r="I23" s="2200"/>
      <c r="J23" s="2200"/>
      <c r="K23" s="2178"/>
      <c r="L23" s="2178"/>
      <c r="M23" s="2178"/>
      <c r="N23" s="2178"/>
      <c r="O23" s="2178"/>
      <c r="P23" s="2178"/>
      <c r="Q23" s="2178"/>
      <c r="R23" s="2178"/>
      <c r="S23" s="2178"/>
    </row>
    <row r="24" spans="1:19" ht="31.5" hidden="1" customHeight="1">
      <c r="A24" s="2178"/>
      <c r="B24" s="2200">
        <v>7</v>
      </c>
      <c r="C24" s="2207" t="s">
        <v>6736</v>
      </c>
      <c r="D24" s="2200"/>
      <c r="E24" s="2200"/>
      <c r="F24" s="2200"/>
      <c r="G24" s="2200"/>
      <c r="H24" s="2200"/>
      <c r="I24" s="2200"/>
      <c r="J24" s="2200"/>
      <c r="K24" s="2178"/>
      <c r="L24" s="2178"/>
      <c r="M24" s="2178"/>
      <c r="N24" s="2178"/>
      <c r="O24" s="2178"/>
      <c r="P24" s="2178"/>
      <c r="Q24" s="2178"/>
      <c r="R24" s="2178"/>
      <c r="S24" s="2178"/>
    </row>
    <row r="25" spans="1:19" ht="31.5" hidden="1" customHeight="1">
      <c r="A25" s="2178"/>
      <c r="B25" s="2200"/>
      <c r="C25" s="2209"/>
      <c r="D25" s="2200"/>
      <c r="E25" s="2200"/>
      <c r="F25" s="2200"/>
      <c r="G25" s="2200"/>
      <c r="H25" s="2200"/>
      <c r="I25" s="2200"/>
      <c r="J25" s="2200"/>
      <c r="K25" s="2178"/>
      <c r="L25" s="2178"/>
      <c r="M25" s="2178"/>
      <c r="N25" s="2178"/>
      <c r="O25" s="2178"/>
      <c r="P25" s="2178"/>
      <c r="Q25" s="2178"/>
      <c r="R25" s="2178"/>
      <c r="S25" s="2178"/>
    </row>
    <row r="26" spans="1:19" hidden="1">
      <c r="A26" s="2178"/>
      <c r="B26" s="2200"/>
      <c r="C26" s="2200"/>
      <c r="D26" s="2200"/>
      <c r="E26" s="2200"/>
      <c r="F26" s="2200"/>
      <c r="G26" s="2200"/>
      <c r="H26" s="2200"/>
      <c r="I26" s="2200"/>
      <c r="J26" s="2200"/>
      <c r="K26" s="2178"/>
      <c r="L26" s="2178"/>
      <c r="M26" s="2178"/>
      <c r="N26" s="2178"/>
      <c r="O26" s="2178"/>
      <c r="P26" s="2178"/>
      <c r="Q26" s="2178"/>
      <c r="R26" s="2178"/>
      <c r="S26" s="2178"/>
    </row>
    <row r="27" spans="1:19" s="2191" customFormat="1" ht="22.2" hidden="1">
      <c r="A27" s="2210"/>
      <c r="B27" s="2210"/>
      <c r="C27" s="2852" t="s">
        <v>6737</v>
      </c>
      <c r="D27" s="2852"/>
      <c r="E27" s="2852"/>
      <c r="F27" s="2852"/>
      <c r="G27" s="2852"/>
      <c r="H27" s="2852"/>
      <c r="I27" s="2852"/>
      <c r="J27" s="2852"/>
      <c r="K27" s="2210"/>
      <c r="L27" s="2210"/>
      <c r="M27" s="2210"/>
      <c r="N27" s="2210"/>
      <c r="O27" s="2210"/>
      <c r="P27" s="2210"/>
      <c r="Q27" s="2210"/>
      <c r="R27" s="2210"/>
      <c r="S27" s="2210"/>
    </row>
    <row r="28" spans="1:19" s="2191" customFormat="1" ht="22.8" hidden="1" thickBot="1">
      <c r="A28" s="2210"/>
      <c r="B28" s="2210"/>
      <c r="C28" s="2874"/>
      <c r="D28" s="2874"/>
      <c r="E28" s="2874"/>
      <c r="F28" s="2874"/>
      <c r="G28" s="2874"/>
      <c r="H28" s="2874"/>
      <c r="I28" s="2874"/>
      <c r="J28" s="2874"/>
      <c r="K28" s="2210"/>
      <c r="L28" s="2210"/>
      <c r="M28" s="2210"/>
      <c r="N28" s="2210"/>
      <c r="O28" s="2210"/>
      <c r="P28" s="2210"/>
      <c r="Q28" s="2210"/>
      <c r="R28" s="2210"/>
      <c r="S28" s="2210"/>
    </row>
    <row r="29" spans="1:19" s="2191" customFormat="1" hidden="1">
      <c r="A29" s="2210"/>
      <c r="B29" s="2210"/>
      <c r="C29" s="2875" t="s">
        <v>453</v>
      </c>
      <c r="D29" s="2875" t="s">
        <v>6722</v>
      </c>
      <c r="E29" s="2211" t="s">
        <v>6723</v>
      </c>
      <c r="F29" s="2875" t="s">
        <v>6724</v>
      </c>
      <c r="G29" s="2877" t="s">
        <v>6725</v>
      </c>
      <c r="H29" s="2878"/>
      <c r="I29" s="2879"/>
      <c r="J29" s="2875" t="s">
        <v>6726</v>
      </c>
      <c r="K29" s="2210"/>
      <c r="L29" s="2210"/>
      <c r="M29" s="2210"/>
      <c r="N29" s="2210"/>
      <c r="O29" s="2210"/>
      <c r="P29" s="2210"/>
      <c r="Q29" s="2210"/>
      <c r="R29" s="2210"/>
      <c r="S29" s="2210"/>
    </row>
    <row r="30" spans="1:19" s="2191" customFormat="1" ht="16.2" hidden="1" thickBot="1">
      <c r="A30" s="2210"/>
      <c r="B30" s="2210"/>
      <c r="C30" s="2876"/>
      <c r="D30" s="2876"/>
      <c r="E30" s="2212" t="s">
        <v>6727</v>
      </c>
      <c r="F30" s="2876"/>
      <c r="G30" s="2880"/>
      <c r="H30" s="2881"/>
      <c r="I30" s="2882"/>
      <c r="J30" s="2876"/>
      <c r="K30" s="2210"/>
      <c r="L30" s="2210"/>
      <c r="M30" s="2210"/>
      <c r="N30" s="2210"/>
      <c r="O30" s="2210"/>
      <c r="P30" s="2210"/>
      <c r="Q30" s="2210"/>
      <c r="R30" s="2210"/>
      <c r="S30" s="2210"/>
    </row>
    <row r="31" spans="1:19" s="2191" customFormat="1" ht="16.2" hidden="1" thickBot="1">
      <c r="A31" s="2210"/>
      <c r="B31" s="2210"/>
      <c r="C31" s="2883">
        <v>1</v>
      </c>
      <c r="D31" s="2883" t="s">
        <v>6738</v>
      </c>
      <c r="E31" s="2883" t="s">
        <v>6739</v>
      </c>
      <c r="F31" s="2213" t="s">
        <v>6740</v>
      </c>
      <c r="G31" s="2883" t="s">
        <v>6741</v>
      </c>
      <c r="H31" s="2886" t="s">
        <v>6742</v>
      </c>
      <c r="I31" s="2887"/>
      <c r="J31" s="2214" t="s">
        <v>6743</v>
      </c>
      <c r="K31" s="2210"/>
      <c r="L31" s="2210"/>
      <c r="M31" s="2210"/>
      <c r="N31" s="2210"/>
      <c r="O31" s="2210"/>
      <c r="P31" s="2210"/>
      <c r="Q31" s="2210"/>
      <c r="R31" s="2210"/>
      <c r="S31" s="2210"/>
    </row>
    <row r="32" spans="1:19" s="2191" customFormat="1" ht="16.2" hidden="1" thickBot="1">
      <c r="A32" s="2210"/>
      <c r="B32" s="2210"/>
      <c r="C32" s="2884"/>
      <c r="D32" s="2884"/>
      <c r="E32" s="2884"/>
      <c r="F32" s="2215"/>
      <c r="G32" s="2884"/>
      <c r="H32" s="2886" t="s">
        <v>6744</v>
      </c>
      <c r="I32" s="2887"/>
      <c r="J32" s="2214">
        <f>0.7/1000</f>
        <v>6.9999999999999999E-4</v>
      </c>
      <c r="K32" s="2210"/>
      <c r="L32" s="2210"/>
      <c r="M32" s="2210"/>
      <c r="N32" s="2210"/>
      <c r="O32" s="2210"/>
      <c r="P32" s="2210"/>
      <c r="Q32" s="2210"/>
      <c r="R32" s="2210"/>
      <c r="S32" s="2210"/>
    </row>
    <row r="33" spans="1:19" s="2191" customFormat="1" ht="16.2" hidden="1" thickBot="1">
      <c r="A33" s="2210"/>
      <c r="B33" s="2210"/>
      <c r="C33" s="2884"/>
      <c r="D33" s="2884"/>
      <c r="E33" s="2884"/>
      <c r="F33" s="2215"/>
      <c r="G33" s="2884"/>
      <c r="H33" s="2886" t="s">
        <v>6745</v>
      </c>
      <c r="I33" s="2887"/>
      <c r="J33" s="2214" t="s">
        <v>199</v>
      </c>
      <c r="K33" s="2210"/>
      <c r="L33" s="2210"/>
      <c r="M33" s="2210"/>
      <c r="N33" s="2210"/>
      <c r="O33" s="2210"/>
      <c r="P33" s="2210"/>
      <c r="Q33" s="2210"/>
      <c r="R33" s="2210"/>
      <c r="S33" s="2210"/>
    </row>
    <row r="34" spans="1:19" s="2191" customFormat="1" ht="16.2" hidden="1" thickBot="1">
      <c r="A34" s="2210"/>
      <c r="B34" s="2210"/>
      <c r="C34" s="2884"/>
      <c r="D34" s="2884"/>
      <c r="E34" s="2884"/>
      <c r="F34" s="2215"/>
      <c r="G34" s="2884"/>
      <c r="H34" s="2886" t="s">
        <v>6746</v>
      </c>
      <c r="I34" s="2887"/>
      <c r="J34" s="2216">
        <f>0.4/1000</f>
        <v>4.0000000000000002E-4</v>
      </c>
      <c r="K34" s="2210"/>
      <c r="L34" s="2210"/>
      <c r="M34" s="2210"/>
      <c r="N34" s="2210"/>
      <c r="O34" s="2210"/>
      <c r="P34" s="2210"/>
      <c r="Q34" s="2210"/>
      <c r="R34" s="2210"/>
      <c r="S34" s="2210"/>
    </row>
    <row r="35" spans="1:19" s="2191" customFormat="1" ht="16.2" hidden="1" thickBot="1">
      <c r="A35" s="2210"/>
      <c r="B35" s="2210"/>
      <c r="C35" s="2884"/>
      <c r="D35" s="2884"/>
      <c r="E35" s="2884"/>
      <c r="F35" s="2217"/>
      <c r="G35" s="2885"/>
      <c r="H35" s="2886" t="s">
        <v>6747</v>
      </c>
      <c r="I35" s="2887"/>
      <c r="J35" s="2216" t="s">
        <v>191</v>
      </c>
      <c r="K35" s="2210"/>
      <c r="L35" s="2210"/>
      <c r="M35" s="2210"/>
      <c r="N35" s="2210"/>
      <c r="O35" s="2210"/>
      <c r="P35" s="2210"/>
      <c r="Q35" s="2210"/>
      <c r="R35" s="2210"/>
      <c r="S35" s="2210"/>
    </row>
    <row r="36" spans="1:19" s="2191" customFormat="1" ht="29.4" hidden="1" thickBot="1">
      <c r="A36" s="2210"/>
      <c r="B36" s="2210"/>
      <c r="C36" s="2885"/>
      <c r="D36" s="2885"/>
      <c r="E36" s="2885"/>
      <c r="F36" s="2218"/>
      <c r="G36" s="2218"/>
      <c r="H36" s="2219" t="s">
        <v>6748</v>
      </c>
      <c r="I36" s="2220"/>
      <c r="J36" s="2216" t="s">
        <v>6749</v>
      </c>
      <c r="K36" s="2210"/>
      <c r="L36" s="2210"/>
      <c r="M36" s="2210"/>
      <c r="N36" s="2210"/>
      <c r="O36" s="2210"/>
      <c r="P36" s="2210"/>
      <c r="Q36" s="2210"/>
      <c r="R36" s="2210"/>
      <c r="S36" s="2210"/>
    </row>
    <row r="37" spans="1:19" s="2191" customFormat="1" ht="16.2" hidden="1" thickBot="1">
      <c r="A37" s="2210"/>
      <c r="B37" s="2210"/>
      <c r="C37" s="2883">
        <v>2</v>
      </c>
      <c r="D37" s="2883" t="s">
        <v>6730</v>
      </c>
      <c r="E37" s="2883" t="s">
        <v>6750</v>
      </c>
      <c r="F37" s="2883" t="s">
        <v>6751</v>
      </c>
      <c r="G37" s="2883" t="s">
        <v>6752</v>
      </c>
      <c r="H37" s="2886" t="s">
        <v>6742</v>
      </c>
      <c r="I37" s="2887"/>
      <c r="J37" s="2216">
        <v>1.2E-2</v>
      </c>
      <c r="K37" s="2210"/>
      <c r="L37" s="2210"/>
      <c r="M37" s="2210"/>
      <c r="N37" s="2210"/>
      <c r="O37" s="2210"/>
      <c r="P37" s="2210"/>
      <c r="Q37" s="2210"/>
      <c r="R37" s="2210"/>
      <c r="S37" s="2210"/>
    </row>
    <row r="38" spans="1:19" s="2191" customFormat="1" ht="16.2" hidden="1" thickBot="1">
      <c r="A38" s="2210"/>
      <c r="B38" s="2210"/>
      <c r="C38" s="2884"/>
      <c r="D38" s="2884"/>
      <c r="E38" s="2884"/>
      <c r="F38" s="2884"/>
      <c r="G38" s="2884"/>
      <c r="H38" s="2896" t="s">
        <v>6744</v>
      </c>
      <c r="I38" s="2897"/>
      <c r="J38" s="2216">
        <v>5.0000000000000001E-3</v>
      </c>
      <c r="K38" s="2210"/>
      <c r="L38" s="2210"/>
      <c r="M38" s="2210"/>
      <c r="N38" s="2210"/>
      <c r="O38" s="2210"/>
      <c r="P38" s="2210"/>
      <c r="Q38" s="2210"/>
      <c r="R38" s="2210"/>
      <c r="S38" s="2210"/>
    </row>
    <row r="39" spans="1:19" s="2191" customFormat="1" ht="16.2" hidden="1" thickBot="1">
      <c r="A39" s="2210"/>
      <c r="B39" s="2210"/>
      <c r="C39" s="2884"/>
      <c r="D39" s="2884"/>
      <c r="E39" s="2884"/>
      <c r="F39" s="2884"/>
      <c r="G39" s="2884"/>
      <c r="H39" s="2886" t="s">
        <v>6745</v>
      </c>
      <c r="I39" s="2887"/>
      <c r="J39" s="2214">
        <v>4.0000000000000001E-3</v>
      </c>
      <c r="K39" s="2210"/>
      <c r="L39" s="2210"/>
      <c r="M39" s="2210"/>
      <c r="N39" s="2210"/>
      <c r="O39" s="2210"/>
      <c r="P39" s="2210"/>
      <c r="Q39" s="2210"/>
      <c r="R39" s="2210"/>
      <c r="S39" s="2210"/>
    </row>
    <row r="40" spans="1:19" s="2191" customFormat="1" ht="16.2" hidden="1" thickBot="1">
      <c r="A40" s="2210"/>
      <c r="B40" s="2210"/>
      <c r="C40" s="2885"/>
      <c r="D40" s="2885"/>
      <c r="E40" s="2885"/>
      <c r="F40" s="2885"/>
      <c r="G40" s="2885"/>
      <c r="H40" s="2886" t="s">
        <v>6753</v>
      </c>
      <c r="I40" s="2887"/>
      <c r="J40" s="2214">
        <v>2E-3</v>
      </c>
      <c r="K40" s="2210"/>
      <c r="L40" s="2210"/>
      <c r="M40" s="2210"/>
      <c r="N40" s="2210"/>
      <c r="O40" s="2210"/>
      <c r="P40" s="2210"/>
      <c r="Q40" s="2210"/>
      <c r="R40" s="2210"/>
      <c r="S40" s="2210"/>
    </row>
    <row r="41" spans="1:19" s="2191" customFormat="1" ht="14.25" hidden="1" customHeight="1">
      <c r="A41" s="2210"/>
      <c r="B41" s="2210"/>
      <c r="C41" s="2883">
        <v>3</v>
      </c>
      <c r="D41" s="2888" t="s">
        <v>6754</v>
      </c>
      <c r="E41" s="2890" t="s">
        <v>6755</v>
      </c>
      <c r="F41" s="2891"/>
      <c r="G41" s="2891"/>
      <c r="H41" s="2891"/>
      <c r="I41" s="2892"/>
      <c r="J41" s="2883" t="s">
        <v>6756</v>
      </c>
      <c r="K41" s="2210"/>
      <c r="L41" s="2210"/>
      <c r="M41" s="2210"/>
      <c r="N41" s="2210"/>
      <c r="O41" s="2210"/>
      <c r="P41" s="2210"/>
      <c r="Q41" s="2210"/>
      <c r="R41" s="2210"/>
      <c r="S41" s="2210"/>
    </row>
    <row r="42" spans="1:19" s="2191" customFormat="1" ht="16.2" hidden="1" thickBot="1">
      <c r="A42" s="2210"/>
      <c r="B42" s="2210"/>
      <c r="C42" s="2885"/>
      <c r="D42" s="2889"/>
      <c r="E42" s="2893"/>
      <c r="F42" s="2894"/>
      <c r="G42" s="2894"/>
      <c r="H42" s="2894"/>
      <c r="I42" s="2895"/>
      <c r="J42" s="2885"/>
      <c r="K42" s="2210"/>
      <c r="L42" s="2210"/>
      <c r="M42" s="2210"/>
      <c r="N42" s="2210"/>
      <c r="O42" s="2210"/>
      <c r="P42" s="2210"/>
      <c r="Q42" s="2210"/>
      <c r="R42" s="2210"/>
      <c r="S42" s="2210"/>
    </row>
    <row r="43" spans="1:19" s="2191" customFormat="1" ht="16.2" hidden="1" thickBot="1">
      <c r="A43" s="2210"/>
      <c r="B43" s="2210"/>
      <c r="C43" s="2883">
        <v>4</v>
      </c>
      <c r="D43" s="2883" t="s">
        <v>6733</v>
      </c>
      <c r="E43" s="2883" t="s">
        <v>6757</v>
      </c>
      <c r="F43" s="2883" t="s">
        <v>6758</v>
      </c>
      <c r="G43" s="2883" t="s">
        <v>6759</v>
      </c>
      <c r="H43" s="2886" t="s">
        <v>6760</v>
      </c>
      <c r="I43" s="2887"/>
      <c r="J43" s="2221" t="s">
        <v>195</v>
      </c>
      <c r="K43" s="2210"/>
      <c r="L43" s="2210"/>
      <c r="M43" s="2210"/>
      <c r="N43" s="2210"/>
      <c r="O43" s="2210"/>
      <c r="P43" s="2210"/>
      <c r="Q43" s="2210"/>
      <c r="R43" s="2210"/>
      <c r="S43" s="2210"/>
    </row>
    <row r="44" spans="1:19" s="2191" customFormat="1" ht="16.2" hidden="1" thickBot="1">
      <c r="A44" s="2210"/>
      <c r="B44" s="2210"/>
      <c r="C44" s="2884"/>
      <c r="D44" s="2884"/>
      <c r="E44" s="2884"/>
      <c r="F44" s="2884"/>
      <c r="G44" s="2884"/>
      <c r="H44" s="2886" t="s">
        <v>6761</v>
      </c>
      <c r="I44" s="2887"/>
      <c r="J44" s="2221" t="s">
        <v>6762</v>
      </c>
      <c r="K44" s="2210"/>
      <c r="L44" s="2210"/>
      <c r="M44" s="2210"/>
      <c r="N44" s="2210"/>
      <c r="O44" s="2210"/>
      <c r="P44" s="2210"/>
      <c r="Q44" s="2210"/>
      <c r="R44" s="2210"/>
      <c r="S44" s="2210"/>
    </row>
    <row r="45" spans="1:19" s="2191" customFormat="1" ht="16.2" hidden="1" thickBot="1">
      <c r="A45" s="2210"/>
      <c r="B45" s="2210"/>
      <c r="C45" s="2884"/>
      <c r="D45" s="2884"/>
      <c r="E45" s="2884"/>
      <c r="F45" s="2884"/>
      <c r="G45" s="2884"/>
      <c r="H45" s="2886" t="s">
        <v>6763</v>
      </c>
      <c r="I45" s="2887"/>
      <c r="J45" s="2221" t="s">
        <v>6764</v>
      </c>
      <c r="K45" s="2210"/>
      <c r="L45" s="2210"/>
      <c r="M45" s="2210"/>
      <c r="N45" s="2210"/>
      <c r="O45" s="2210"/>
      <c r="P45" s="2210"/>
      <c r="Q45" s="2210"/>
      <c r="R45" s="2210"/>
      <c r="S45" s="2210"/>
    </row>
    <row r="46" spans="1:19" s="2191" customFormat="1" ht="29.4" hidden="1" thickBot="1">
      <c r="A46" s="2210"/>
      <c r="B46" s="2210"/>
      <c r="C46" s="2885"/>
      <c r="D46" s="2885"/>
      <c r="E46" s="2885"/>
      <c r="F46" s="2885"/>
      <c r="G46" s="2885"/>
      <c r="H46" s="2886" t="s">
        <v>6765</v>
      </c>
      <c r="I46" s="2887"/>
      <c r="J46" s="2221" t="s">
        <v>6749</v>
      </c>
      <c r="K46" s="2210"/>
      <c r="L46" s="2210"/>
      <c r="M46" s="2210"/>
      <c r="N46" s="2210"/>
      <c r="O46" s="2210"/>
      <c r="P46" s="2210"/>
      <c r="Q46" s="2210"/>
      <c r="R46" s="2210"/>
      <c r="S46" s="2210"/>
    </row>
    <row r="47" spans="1:19" s="2191" customFormat="1" ht="16.2" hidden="1" thickBot="1">
      <c r="A47" s="2210"/>
      <c r="B47" s="2210"/>
      <c r="C47" s="2218"/>
      <c r="D47" s="2883" t="s">
        <v>6734</v>
      </c>
      <c r="E47" s="2883" t="s">
        <v>6766</v>
      </c>
      <c r="F47" s="2883" t="s">
        <v>6767</v>
      </c>
      <c r="G47" s="2883" t="s">
        <v>6768</v>
      </c>
      <c r="H47" s="2886" t="s">
        <v>6742</v>
      </c>
      <c r="I47" s="2887"/>
      <c r="J47" s="2221" t="s">
        <v>6743</v>
      </c>
      <c r="K47" s="2210"/>
      <c r="L47" s="2210"/>
      <c r="M47" s="2210"/>
      <c r="N47" s="2210"/>
      <c r="O47" s="2210"/>
      <c r="P47" s="2210"/>
      <c r="Q47" s="2210"/>
      <c r="R47" s="2210"/>
      <c r="S47" s="2210"/>
    </row>
    <row r="48" spans="1:19" s="2191" customFormat="1" ht="16.2" hidden="1" thickBot="1">
      <c r="A48" s="2210"/>
      <c r="B48" s="2210"/>
      <c r="C48" s="2218"/>
      <c r="D48" s="2884"/>
      <c r="E48" s="2884"/>
      <c r="F48" s="2884"/>
      <c r="G48" s="2884"/>
      <c r="H48" s="2886" t="s">
        <v>6744</v>
      </c>
      <c r="I48" s="2887"/>
      <c r="J48" s="2221" t="s">
        <v>6762</v>
      </c>
      <c r="K48" s="2210"/>
      <c r="L48" s="2210"/>
      <c r="M48" s="2210"/>
      <c r="N48" s="2210"/>
      <c r="O48" s="2210"/>
      <c r="P48" s="2210"/>
      <c r="Q48" s="2210"/>
      <c r="R48" s="2210"/>
      <c r="S48" s="2210"/>
    </row>
    <row r="49" spans="1:19" s="2191" customFormat="1" ht="16.2" hidden="1" thickBot="1">
      <c r="A49" s="2210"/>
      <c r="B49" s="2210"/>
      <c r="C49" s="2218"/>
      <c r="D49" s="2884"/>
      <c r="E49" s="2884"/>
      <c r="F49" s="2884"/>
      <c r="G49" s="2884"/>
      <c r="H49" s="2886" t="s">
        <v>6745</v>
      </c>
      <c r="I49" s="2887"/>
      <c r="J49" s="2221" t="s">
        <v>199</v>
      </c>
      <c r="K49" s="2210"/>
      <c r="L49" s="2210"/>
      <c r="M49" s="2210"/>
      <c r="N49" s="2210"/>
      <c r="O49" s="2210"/>
      <c r="P49" s="2210"/>
      <c r="Q49" s="2210"/>
      <c r="R49" s="2210"/>
      <c r="S49" s="2210"/>
    </row>
    <row r="50" spans="1:19" s="2191" customFormat="1" ht="16.2" hidden="1" thickBot="1">
      <c r="A50" s="2210"/>
      <c r="B50" s="2210"/>
      <c r="C50" s="2218"/>
      <c r="D50" s="2884"/>
      <c r="E50" s="2884"/>
      <c r="F50" s="2884"/>
      <c r="G50" s="2884"/>
      <c r="H50" s="2890" t="s">
        <v>6746</v>
      </c>
      <c r="I50" s="2898"/>
      <c r="J50" s="2221" t="s">
        <v>6769</v>
      </c>
      <c r="K50" s="2210"/>
      <c r="L50" s="2210"/>
      <c r="M50" s="2210"/>
      <c r="N50" s="2210"/>
      <c r="O50" s="2210"/>
      <c r="P50" s="2210"/>
      <c r="Q50" s="2210"/>
      <c r="R50" s="2210"/>
      <c r="S50" s="2210"/>
    </row>
    <row r="51" spans="1:19" s="2191" customFormat="1" ht="16.2" hidden="1" thickBot="1">
      <c r="A51" s="2210"/>
      <c r="B51" s="2210"/>
      <c r="C51" s="2218">
        <v>5</v>
      </c>
      <c r="D51" s="2884"/>
      <c r="E51" s="2884"/>
      <c r="F51" s="2884"/>
      <c r="G51" s="2901"/>
      <c r="H51" s="2899" t="s">
        <v>6770</v>
      </c>
      <c r="I51" s="2900"/>
      <c r="J51" s="2222" t="s">
        <v>191</v>
      </c>
      <c r="K51" s="2210"/>
      <c r="L51" s="2210"/>
      <c r="M51" s="2210"/>
      <c r="N51" s="2210"/>
      <c r="O51" s="2210"/>
      <c r="P51" s="2210"/>
      <c r="Q51" s="2210"/>
      <c r="R51" s="2210"/>
      <c r="S51" s="2210"/>
    </row>
    <row r="52" spans="1:19" s="2191" customFormat="1" ht="16.2" hidden="1" thickBot="1">
      <c r="A52" s="2210"/>
      <c r="B52" s="2210"/>
      <c r="C52" s="2883">
        <v>6</v>
      </c>
      <c r="D52" s="2903" t="s">
        <v>6771</v>
      </c>
      <c r="E52" s="2906" t="s">
        <v>6772</v>
      </c>
      <c r="F52" s="2883" t="s">
        <v>6773</v>
      </c>
      <c r="G52" s="2883" t="s">
        <v>6759</v>
      </c>
      <c r="H52" s="2221" t="s">
        <v>6760</v>
      </c>
      <c r="I52" s="2902" t="s">
        <v>195</v>
      </c>
      <c r="J52" s="2887"/>
      <c r="K52" s="2210"/>
      <c r="L52" s="2210"/>
      <c r="M52" s="2210"/>
      <c r="N52" s="2210"/>
      <c r="O52" s="2210"/>
      <c r="P52" s="2210"/>
      <c r="Q52" s="2210"/>
      <c r="R52" s="2210"/>
      <c r="S52" s="2210"/>
    </row>
    <row r="53" spans="1:19" s="2191" customFormat="1" ht="16.2" hidden="1" thickBot="1">
      <c r="A53" s="2210"/>
      <c r="B53" s="2210"/>
      <c r="C53" s="2884"/>
      <c r="D53" s="2904"/>
      <c r="E53" s="2907"/>
      <c r="F53" s="2884"/>
      <c r="G53" s="2884"/>
      <c r="H53" s="2221" t="s">
        <v>6761</v>
      </c>
      <c r="I53" s="2886" t="s">
        <v>6762</v>
      </c>
      <c r="J53" s="2887"/>
      <c r="K53" s="2210"/>
      <c r="L53" s="2210"/>
      <c r="M53" s="2210"/>
      <c r="N53" s="2210"/>
      <c r="O53" s="2210"/>
      <c r="P53" s="2210"/>
      <c r="Q53" s="2210"/>
      <c r="R53" s="2210"/>
      <c r="S53" s="2210"/>
    </row>
    <row r="54" spans="1:19" s="2191" customFormat="1" ht="16.2" hidden="1" thickBot="1">
      <c r="A54" s="2210"/>
      <c r="B54" s="2210"/>
      <c r="C54" s="2884"/>
      <c r="D54" s="2904"/>
      <c r="E54" s="2907"/>
      <c r="F54" s="2884"/>
      <c r="G54" s="2884"/>
      <c r="H54" s="2221" t="s">
        <v>6763</v>
      </c>
      <c r="I54" s="2886" t="s">
        <v>6774</v>
      </c>
      <c r="J54" s="2887"/>
      <c r="K54" s="2210"/>
      <c r="L54" s="2210"/>
      <c r="M54" s="2210"/>
      <c r="N54" s="2210"/>
      <c r="O54" s="2210"/>
      <c r="P54" s="2210"/>
      <c r="Q54" s="2210"/>
      <c r="R54" s="2210"/>
      <c r="S54" s="2210"/>
    </row>
    <row r="55" spans="1:19" s="2191" customFormat="1" ht="16.2" hidden="1" thickBot="1">
      <c r="A55" s="2210"/>
      <c r="B55" s="2210"/>
      <c r="C55" s="2885"/>
      <c r="D55" s="2905"/>
      <c r="E55" s="2908"/>
      <c r="F55" s="2885"/>
      <c r="G55" s="2885"/>
      <c r="H55" s="2221" t="s">
        <v>6765</v>
      </c>
      <c r="I55" s="2886" t="s">
        <v>6775</v>
      </c>
      <c r="J55" s="2887"/>
      <c r="K55" s="2210"/>
      <c r="L55" s="2210"/>
      <c r="M55" s="2210"/>
      <c r="N55" s="2210"/>
      <c r="O55" s="2210"/>
      <c r="P55" s="2210"/>
      <c r="Q55" s="2210"/>
      <c r="R55" s="2210"/>
      <c r="S55" s="2210"/>
    </row>
    <row r="56" spans="1:19" s="2191" customFormat="1" ht="16.2" hidden="1" thickBot="1">
      <c r="A56" s="2210"/>
      <c r="B56" s="2210"/>
      <c r="C56" s="2883">
        <v>7</v>
      </c>
      <c r="D56" s="2883" t="s">
        <v>6776</v>
      </c>
      <c r="E56" s="2883" t="s">
        <v>6777</v>
      </c>
      <c r="F56" s="2883" t="s">
        <v>6773</v>
      </c>
      <c r="G56" s="2883" t="s">
        <v>6778</v>
      </c>
      <c r="H56" s="2221" t="s">
        <v>6742</v>
      </c>
      <c r="I56" s="2886" t="s">
        <v>6779</v>
      </c>
      <c r="J56" s="2887"/>
      <c r="K56" s="2210"/>
      <c r="L56" s="2210"/>
      <c r="M56" s="2210"/>
      <c r="N56" s="2210"/>
      <c r="O56" s="2210"/>
      <c r="P56" s="2210"/>
      <c r="Q56" s="2210"/>
      <c r="R56" s="2210"/>
      <c r="S56" s="2210"/>
    </row>
    <row r="57" spans="1:19" s="2191" customFormat="1" ht="29.4" hidden="1" thickBot="1">
      <c r="A57" s="2210"/>
      <c r="B57" s="2210"/>
      <c r="C57" s="2884"/>
      <c r="D57" s="2884"/>
      <c r="E57" s="2884"/>
      <c r="F57" s="2884"/>
      <c r="G57" s="2884"/>
      <c r="H57" s="2221" t="s">
        <v>6744</v>
      </c>
      <c r="I57" s="2886" t="s">
        <v>6743</v>
      </c>
      <c r="J57" s="2887"/>
      <c r="K57" s="2210"/>
      <c r="L57" s="2210"/>
      <c r="M57" s="2210"/>
      <c r="N57" s="2210"/>
      <c r="O57" s="2210"/>
      <c r="P57" s="2210"/>
      <c r="Q57" s="2210"/>
      <c r="R57" s="2210"/>
      <c r="S57" s="2210"/>
    </row>
    <row r="58" spans="1:19" s="2191" customFormat="1" ht="29.4" hidden="1" thickBot="1">
      <c r="A58" s="2210"/>
      <c r="B58" s="2210"/>
      <c r="C58" s="2884"/>
      <c r="D58" s="2884"/>
      <c r="E58" s="2884"/>
      <c r="F58" s="2884"/>
      <c r="G58" s="2884"/>
      <c r="H58" s="2221" t="s">
        <v>6745</v>
      </c>
      <c r="I58" s="2886" t="s">
        <v>6780</v>
      </c>
      <c r="J58" s="2887"/>
      <c r="K58" s="2210"/>
      <c r="L58" s="2210"/>
      <c r="M58" s="2210"/>
      <c r="N58" s="2210"/>
      <c r="O58" s="2210"/>
      <c r="P58" s="2210"/>
      <c r="Q58" s="2210"/>
      <c r="R58" s="2210"/>
      <c r="S58" s="2210"/>
    </row>
    <row r="59" spans="1:19" s="2191" customFormat="1" ht="29.4" hidden="1" thickBot="1">
      <c r="A59" s="2210"/>
      <c r="B59" s="2210"/>
      <c r="C59" s="2884"/>
      <c r="D59" s="2884"/>
      <c r="E59" s="2884"/>
      <c r="F59" s="2884"/>
      <c r="G59" s="2884"/>
      <c r="H59" s="2221" t="s">
        <v>6746</v>
      </c>
      <c r="I59" s="2886" t="s">
        <v>195</v>
      </c>
      <c r="J59" s="2887"/>
      <c r="K59" s="2210"/>
      <c r="L59" s="2210"/>
      <c r="M59" s="2210"/>
      <c r="N59" s="2210"/>
      <c r="O59" s="2210"/>
      <c r="P59" s="2210"/>
      <c r="Q59" s="2210"/>
      <c r="R59" s="2210"/>
      <c r="S59" s="2210"/>
    </row>
    <row r="60" spans="1:19" s="2191" customFormat="1" ht="16.2" hidden="1" thickBot="1">
      <c r="A60" s="2210"/>
      <c r="B60" s="2210"/>
      <c r="C60" s="2885"/>
      <c r="D60" s="2885"/>
      <c r="E60" s="2885"/>
      <c r="F60" s="2885"/>
      <c r="G60" s="2885"/>
      <c r="H60" s="2221" t="s">
        <v>6770</v>
      </c>
      <c r="I60" s="2886" t="s">
        <v>6781</v>
      </c>
      <c r="J60" s="2887"/>
      <c r="K60" s="2210"/>
      <c r="L60" s="2210"/>
      <c r="M60" s="2210"/>
      <c r="N60" s="2210"/>
      <c r="O60" s="2210"/>
      <c r="P60" s="2210"/>
      <c r="Q60" s="2210"/>
      <c r="R60" s="2210"/>
      <c r="S60" s="2210"/>
    </row>
    <row r="61" spans="1:19" s="2191" customFormat="1" hidden="1">
      <c r="A61" s="2210"/>
      <c r="B61" s="2210"/>
      <c r="C61" s="2210"/>
      <c r="D61" s="2210"/>
      <c r="E61" s="2210"/>
      <c r="F61" s="2210"/>
      <c r="G61" s="2210"/>
      <c r="H61" s="2210"/>
      <c r="I61" s="2210"/>
      <c r="J61" s="2210"/>
      <c r="K61" s="2210"/>
      <c r="L61" s="2210"/>
      <c r="M61" s="2210"/>
      <c r="N61" s="2210"/>
      <c r="O61" s="2210"/>
      <c r="P61" s="2210"/>
      <c r="Q61" s="2210"/>
      <c r="R61" s="2210"/>
      <c r="S61" s="2210"/>
    </row>
    <row r="62" spans="1:19" s="2191" customFormat="1" hidden="1">
      <c r="A62" s="2210"/>
      <c r="B62" s="2910" t="s">
        <v>6782</v>
      </c>
      <c r="C62" s="2910"/>
      <c r="D62" s="2910"/>
      <c r="E62" s="2910"/>
      <c r="F62" s="2910"/>
      <c r="G62" s="2910"/>
      <c r="H62" s="2910"/>
      <c r="I62" s="2910"/>
      <c r="J62" s="2910"/>
      <c r="K62" s="2210"/>
      <c r="L62" s="2210"/>
      <c r="M62" s="2210"/>
      <c r="N62" s="2210"/>
      <c r="O62" s="2210"/>
      <c r="P62" s="2210"/>
      <c r="Q62" s="2210"/>
      <c r="R62" s="2210"/>
      <c r="S62" s="2210"/>
    </row>
    <row r="63" spans="1:19" s="2191" customFormat="1" hidden="1">
      <c r="A63" s="2210"/>
      <c r="B63" s="2911" t="s">
        <v>6783</v>
      </c>
      <c r="C63" s="2911"/>
      <c r="D63" s="2911"/>
      <c r="E63" s="2911"/>
      <c r="F63" s="2911"/>
      <c r="G63" s="2911"/>
      <c r="H63" s="2911"/>
      <c r="I63" s="2911"/>
      <c r="J63" s="2911"/>
      <c r="K63" s="2210"/>
      <c r="L63" s="2210"/>
      <c r="M63" s="2210"/>
      <c r="N63" s="2210"/>
      <c r="O63" s="2210"/>
      <c r="P63" s="2210"/>
      <c r="Q63" s="2210"/>
      <c r="R63" s="2210"/>
      <c r="S63" s="2210"/>
    </row>
    <row r="64" spans="1:19" s="2191" customFormat="1" ht="17.399999999999999" hidden="1">
      <c r="A64" s="2210"/>
      <c r="B64" s="2223"/>
      <c r="C64" s="2210"/>
      <c r="D64" s="2210"/>
      <c r="E64" s="2210"/>
      <c r="F64" s="2210"/>
      <c r="G64" s="2210"/>
      <c r="H64" s="2210"/>
      <c r="I64" s="2210"/>
      <c r="J64" s="2210"/>
      <c r="K64" s="2210"/>
      <c r="L64" s="2210"/>
      <c r="M64" s="2210"/>
      <c r="N64" s="2210"/>
      <c r="O64" s="2210"/>
      <c r="P64" s="2210"/>
      <c r="Q64" s="2210"/>
      <c r="R64" s="2210"/>
      <c r="S64" s="2210"/>
    </row>
    <row r="65" spans="1:19" s="2191" customFormat="1" ht="17.399999999999999" hidden="1">
      <c r="A65" s="2210"/>
      <c r="B65" s="2912" t="s">
        <v>6784</v>
      </c>
      <c r="C65" s="2912"/>
      <c r="D65" s="2912"/>
      <c r="E65" s="2912"/>
      <c r="F65" s="2912"/>
      <c r="G65" s="2912"/>
      <c r="H65" s="2912"/>
      <c r="I65" s="2912"/>
      <c r="J65" s="2912"/>
      <c r="K65" s="2210"/>
      <c r="L65" s="2210"/>
      <c r="M65" s="2210"/>
      <c r="N65" s="2210"/>
      <c r="O65" s="2210"/>
      <c r="P65" s="2210"/>
      <c r="Q65" s="2210"/>
      <c r="R65" s="2210"/>
      <c r="S65" s="2210"/>
    </row>
    <row r="66" spans="1:19" s="2191" customFormat="1" ht="18" hidden="1">
      <c r="A66" s="2210"/>
      <c r="B66" s="2913" t="s">
        <v>6785</v>
      </c>
      <c r="C66" s="2913"/>
      <c r="D66" s="2913"/>
      <c r="E66" s="2913"/>
      <c r="F66" s="2913"/>
      <c r="G66" s="2913"/>
      <c r="H66" s="2913"/>
      <c r="I66" s="2913"/>
      <c r="J66" s="2913"/>
      <c r="K66" s="2210"/>
      <c r="L66" s="2210"/>
      <c r="M66" s="2210"/>
      <c r="N66" s="2210"/>
      <c r="O66" s="2210"/>
      <c r="P66" s="2210"/>
      <c r="Q66" s="2210"/>
      <c r="R66" s="2210"/>
      <c r="S66" s="2210"/>
    </row>
    <row r="67" spans="1:19" s="2191" customFormat="1" ht="18" hidden="1">
      <c r="A67" s="2210"/>
      <c r="B67" s="2913" t="s">
        <v>6786</v>
      </c>
      <c r="C67" s="2913"/>
      <c r="D67" s="2913"/>
      <c r="E67" s="2913"/>
      <c r="F67" s="2913"/>
      <c r="G67" s="2913"/>
      <c r="H67" s="2913"/>
      <c r="I67" s="2913"/>
      <c r="J67" s="2913"/>
      <c r="K67" s="2210"/>
      <c r="L67" s="2210"/>
      <c r="M67" s="2210"/>
      <c r="N67" s="2210"/>
      <c r="O67" s="2210"/>
      <c r="P67" s="2210"/>
      <c r="Q67" s="2210"/>
      <c r="R67" s="2210"/>
      <c r="S67" s="2210"/>
    </row>
    <row r="68" spans="1:19" s="2191" customFormat="1" ht="18" hidden="1">
      <c r="A68" s="2210"/>
      <c r="B68" s="2909" t="s">
        <v>6787</v>
      </c>
      <c r="C68" s="2909"/>
      <c r="D68" s="2909"/>
      <c r="E68" s="2909"/>
      <c r="F68" s="2909"/>
      <c r="G68" s="2909"/>
      <c r="H68" s="2909"/>
      <c r="I68" s="2909"/>
      <c r="J68" s="2909"/>
      <c r="K68" s="2210"/>
      <c r="L68" s="2210"/>
      <c r="M68" s="2210"/>
      <c r="N68" s="2210"/>
      <c r="O68" s="2210"/>
      <c r="P68" s="2210"/>
      <c r="Q68" s="2210"/>
      <c r="R68" s="2210"/>
      <c r="S68" s="2210"/>
    </row>
    <row r="69" spans="1:19" s="2190" customFormat="1">
      <c r="A69" s="2204"/>
      <c r="B69" s="2204"/>
      <c r="C69" s="2204"/>
      <c r="D69" s="2204"/>
      <c r="E69" s="2204"/>
      <c r="F69" s="2204"/>
      <c r="G69" s="2204"/>
      <c r="H69" s="2204"/>
      <c r="I69" s="2204"/>
      <c r="J69" s="2204"/>
      <c r="K69" s="2204"/>
      <c r="L69" s="2204"/>
      <c r="M69" s="2204"/>
      <c r="N69" s="2204"/>
      <c r="O69" s="2204"/>
      <c r="P69" s="2204"/>
      <c r="Q69" s="2204"/>
      <c r="R69" s="2204"/>
      <c r="S69" s="2204"/>
    </row>
    <row r="70" spans="1:19">
      <c r="A70" s="2178"/>
      <c r="B70" s="2200"/>
      <c r="C70" s="2200"/>
      <c r="D70" s="2200"/>
      <c r="E70" s="2200"/>
      <c r="F70" s="2200"/>
      <c r="G70" s="2200"/>
      <c r="H70" s="2200"/>
      <c r="I70" s="2200"/>
      <c r="J70" s="2200"/>
      <c r="K70" s="2178"/>
      <c r="L70" s="2178"/>
      <c r="M70" s="2178"/>
      <c r="N70" s="2178"/>
      <c r="O70" s="2178"/>
      <c r="P70" s="2178"/>
      <c r="Q70" s="2178"/>
      <c r="R70" s="2178"/>
      <c r="S70" s="2178"/>
    </row>
    <row r="71" spans="1:19">
      <c r="A71" s="2178"/>
      <c r="B71" s="2178"/>
      <c r="C71" s="2178"/>
      <c r="D71" s="2178"/>
      <c r="E71" s="2178"/>
      <c r="F71" s="2178"/>
      <c r="G71" s="2178"/>
      <c r="H71" s="2178"/>
      <c r="I71" s="2178"/>
      <c r="J71" s="2178"/>
      <c r="K71" s="2178"/>
      <c r="L71" s="2178"/>
      <c r="M71" s="2178"/>
      <c r="N71" s="2178"/>
      <c r="O71" s="2178"/>
      <c r="P71" s="2178"/>
      <c r="Q71" s="2178"/>
      <c r="R71" s="2178"/>
      <c r="S71" s="2178"/>
    </row>
    <row r="72" spans="1:19">
      <c r="A72" s="2178"/>
      <c r="B72" s="2178"/>
      <c r="C72" s="2178"/>
      <c r="D72" s="2178"/>
      <c r="E72" s="2178"/>
      <c r="F72" s="2178"/>
      <c r="G72" s="2178"/>
      <c r="H72" s="2178"/>
      <c r="I72" s="2178"/>
      <c r="J72" s="2178"/>
      <c r="K72" s="2178"/>
      <c r="L72" s="2178"/>
      <c r="M72" s="2178"/>
      <c r="N72" s="2178"/>
      <c r="O72" s="2178"/>
      <c r="P72" s="2178"/>
      <c r="Q72" s="2178"/>
      <c r="R72" s="2178"/>
      <c r="S72" s="2178"/>
    </row>
    <row r="73" spans="1:19">
      <c r="A73" s="2178"/>
      <c r="B73" s="2178"/>
      <c r="C73" s="2178"/>
      <c r="D73" s="2178"/>
      <c r="E73" s="2178"/>
      <c r="F73" s="2178"/>
      <c r="G73" s="2178"/>
      <c r="H73" s="2178"/>
      <c r="I73" s="2178"/>
      <c r="J73" s="2178"/>
      <c r="K73" s="2178"/>
      <c r="L73" s="2178"/>
      <c r="M73" s="2178"/>
      <c r="N73" s="2178"/>
      <c r="O73" s="2178"/>
      <c r="P73" s="2178"/>
      <c r="Q73" s="2178"/>
      <c r="R73" s="2178"/>
      <c r="S73" s="2178"/>
    </row>
    <row r="74" spans="1:19">
      <c r="A74" s="2178"/>
      <c r="B74" s="2178"/>
      <c r="C74" s="2178"/>
      <c r="D74" s="2178"/>
      <c r="E74" s="2178"/>
      <c r="F74" s="2178"/>
      <c r="G74" s="2178"/>
      <c r="H74" s="2178"/>
      <c r="I74" s="2178"/>
      <c r="J74" s="2178"/>
      <c r="K74" s="2178"/>
      <c r="L74" s="2178"/>
      <c r="M74" s="2178"/>
      <c r="N74" s="2178"/>
      <c r="O74" s="2178"/>
      <c r="P74" s="2178"/>
      <c r="Q74" s="2178"/>
      <c r="R74" s="2178"/>
      <c r="S74" s="2178"/>
    </row>
    <row r="75" spans="1:19">
      <c r="A75" s="2178"/>
      <c r="B75" s="2178"/>
      <c r="C75" s="2178"/>
      <c r="D75" s="2178"/>
      <c r="E75" s="2178"/>
      <c r="F75" s="2178"/>
      <c r="G75" s="2178"/>
      <c r="H75" s="2178"/>
      <c r="I75" s="2178"/>
      <c r="J75" s="2178"/>
      <c r="K75" s="2178"/>
      <c r="L75" s="2178"/>
      <c r="M75" s="2178"/>
      <c r="N75" s="2178"/>
      <c r="O75" s="2178"/>
      <c r="P75" s="2178"/>
      <c r="Q75" s="2178"/>
      <c r="R75" s="2178"/>
      <c r="S75" s="2178"/>
    </row>
  </sheetData>
  <sheetProtection selectLockedCells="1"/>
  <mergeCells count="87">
    <mergeCell ref="B68:J68"/>
    <mergeCell ref="I60:J60"/>
    <mergeCell ref="B62:J62"/>
    <mergeCell ref="B63:J63"/>
    <mergeCell ref="B65:J65"/>
    <mergeCell ref="B66:J66"/>
    <mergeCell ref="B67:J67"/>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F52:F55"/>
    <mergeCell ref="G52:G55"/>
    <mergeCell ref="D47:D51"/>
    <mergeCell ref="E47:E51"/>
    <mergeCell ref="F47:F51"/>
    <mergeCell ref="G47:G51"/>
    <mergeCell ref="H47:I47"/>
    <mergeCell ref="H48:I48"/>
    <mergeCell ref="H49:I49"/>
    <mergeCell ref="H50:I50"/>
    <mergeCell ref="H51:I51"/>
    <mergeCell ref="J41:J42"/>
    <mergeCell ref="C43:C46"/>
    <mergeCell ref="D43:D46"/>
    <mergeCell ref="E43:E46"/>
    <mergeCell ref="F43:F46"/>
    <mergeCell ref="G43:G46"/>
    <mergeCell ref="H43:I43"/>
    <mergeCell ref="H44:I44"/>
    <mergeCell ref="H45:I45"/>
    <mergeCell ref="H46:I46"/>
    <mergeCell ref="F37:F40"/>
    <mergeCell ref="G37:G40"/>
    <mergeCell ref="C41:C42"/>
    <mergeCell ref="D41:D42"/>
    <mergeCell ref="E41:I42"/>
    <mergeCell ref="H37:I37"/>
    <mergeCell ref="H38:I38"/>
    <mergeCell ref="H39:I39"/>
    <mergeCell ref="H40:I40"/>
    <mergeCell ref="C37:C40"/>
    <mergeCell ref="D37:D40"/>
    <mergeCell ref="E37:E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09765625" style="120" customWidth="1"/>
    <col min="2" max="2" width="9" style="120"/>
    <col min="3" max="3" width="4.09765625" style="120" customWidth="1"/>
    <col min="4" max="4" width="14.59765625" style="120" customWidth="1"/>
    <col min="5" max="5" width="16.69921875" style="120" customWidth="1"/>
    <col min="6" max="6" width="9" style="120"/>
    <col min="7" max="7" width="18.3984375" style="120" customWidth="1"/>
    <col min="8" max="8" width="9.09765625" style="120" customWidth="1"/>
    <col min="9" max="16384" width="9" style="120"/>
  </cols>
  <sheetData>
    <row r="1" spans="1:8" ht="24" customHeight="1">
      <c r="A1" s="2806" t="s">
        <v>306</v>
      </c>
      <c r="B1" s="2806"/>
      <c r="C1" s="2806"/>
      <c r="D1" s="2806"/>
      <c r="E1" s="2806"/>
      <c r="F1" s="2806"/>
      <c r="G1" s="2806"/>
      <c r="H1" s="121"/>
    </row>
    <row r="2" spans="1:8" ht="50.25" customHeight="1">
      <c r="A2" s="122"/>
      <c r="B2" s="122"/>
      <c r="C2" s="122"/>
      <c r="D2" s="122"/>
      <c r="E2" s="122"/>
      <c r="F2" s="123" t="s">
        <v>1028</v>
      </c>
      <c r="G2" s="124" t="str">
        <f>档案索引!A25</f>
        <v>2A-5</v>
      </c>
      <c r="H2" s="125"/>
    </row>
    <row r="3" spans="1:8" ht="29.25" customHeight="1">
      <c r="A3" s="126" t="str">
        <f>基本情况!B8&amp;"："</f>
        <v>中汇百邦（厦门）税务师事务所有限公司：</v>
      </c>
      <c r="B3" s="122"/>
      <c r="C3" s="122"/>
      <c r="D3" s="122"/>
      <c r="E3" s="122"/>
      <c r="F3" s="122"/>
      <c r="G3" s="122"/>
    </row>
    <row r="4" spans="1:8" ht="24" customHeight="1">
      <c r="A4" s="122" t="s">
        <v>1029</v>
      </c>
      <c r="B4" s="122" t="s">
        <v>1030</v>
      </c>
      <c r="C4" s="122"/>
      <c r="D4" s="2914" t="str">
        <f>IF(OR(基本情况!B6&lt;&gt;"12月31日",基本情况!F5&lt;&gt;"01",基本情况!G5&lt;&gt;"01"),基本情况!B7,基本情况!B4&amp;"年度")&amp;基本情况!B3&amp;"，"</f>
        <v>2016年度企业所得税年度纳税申报审核，</v>
      </c>
      <c r="E4" s="2914"/>
      <c r="F4" s="2914"/>
      <c r="G4" s="2914"/>
    </row>
    <row r="5" spans="1:8" ht="24" customHeight="1">
      <c r="A5" s="122" t="s">
        <v>1031</v>
      </c>
      <c r="B5" s="122"/>
      <c r="C5" s="122"/>
      <c r="D5" s="122"/>
      <c r="E5" s="122"/>
      <c r="F5" s="122"/>
      <c r="G5" s="122"/>
    </row>
    <row r="6" spans="1:8" ht="24" customHeight="1">
      <c r="A6" s="122" t="s">
        <v>1032</v>
      </c>
      <c r="B6" s="122"/>
      <c r="C6" s="122"/>
      <c r="D6" s="122"/>
      <c r="E6" s="122"/>
      <c r="F6" s="122"/>
      <c r="G6" s="122"/>
    </row>
    <row r="7" spans="1:8" ht="24" customHeight="1">
      <c r="A7" s="122" t="s">
        <v>1033</v>
      </c>
      <c r="B7" s="122"/>
      <c r="C7" s="122"/>
      <c r="D7" s="122"/>
      <c r="E7" s="122"/>
      <c r="F7" s="122"/>
      <c r="G7" s="122"/>
    </row>
    <row r="8" spans="1:8" ht="24" customHeight="1">
      <c r="A8" s="122" t="s">
        <v>1034</v>
      </c>
      <c r="B8" s="122"/>
      <c r="C8" s="122"/>
      <c r="D8" s="122"/>
      <c r="E8" s="122"/>
      <c r="F8" s="122"/>
      <c r="G8" s="122"/>
    </row>
    <row r="9" spans="1:8" ht="24" customHeight="1">
      <c r="A9" s="122" t="s">
        <v>1035</v>
      </c>
      <c r="B9" s="122"/>
      <c r="C9" s="122"/>
      <c r="D9" s="122"/>
      <c r="E9" s="122"/>
      <c r="F9" s="122"/>
      <c r="G9" s="122"/>
    </row>
    <row r="10" spans="1:8" ht="24" customHeight="1">
      <c r="A10" s="122" t="s">
        <v>1036</v>
      </c>
      <c r="B10" s="122"/>
      <c r="C10" s="122"/>
      <c r="D10" s="122"/>
      <c r="E10" s="122"/>
      <c r="F10" s="122"/>
      <c r="G10" s="122"/>
    </row>
    <row r="11" spans="1:8" ht="24" customHeight="1">
      <c r="A11" s="122" t="s">
        <v>1037</v>
      </c>
      <c r="B11" s="122"/>
      <c r="C11" s="122"/>
      <c r="D11" s="122"/>
      <c r="E11" s="122"/>
      <c r="F11" s="122"/>
      <c r="G11" s="122"/>
    </row>
    <row r="12" spans="1:8" ht="24" customHeight="1">
      <c r="A12" s="122" t="s">
        <v>1038</v>
      </c>
      <c r="B12" s="122"/>
      <c r="C12" s="122"/>
      <c r="D12" s="122"/>
      <c r="E12" s="122"/>
      <c r="F12" s="122"/>
      <c r="G12" s="122"/>
    </row>
    <row r="13" spans="1:8" ht="24" customHeight="1">
      <c r="A13" s="122" t="s">
        <v>1039</v>
      </c>
      <c r="B13" s="122"/>
      <c r="C13" s="122"/>
      <c r="D13" s="122"/>
      <c r="E13" s="122"/>
      <c r="F13" s="122"/>
      <c r="G13" s="122"/>
    </row>
    <row r="14" spans="1:8" ht="24" customHeight="1">
      <c r="A14" s="122" t="s">
        <v>1040</v>
      </c>
      <c r="B14" s="122"/>
      <c r="C14" s="122"/>
      <c r="D14" s="122"/>
      <c r="E14" s="122"/>
      <c r="F14" s="122"/>
      <c r="G14" s="122"/>
    </row>
    <row r="15" spans="1:8" ht="24" customHeight="1">
      <c r="A15" s="122" t="s">
        <v>1041</v>
      </c>
      <c r="B15" s="122"/>
      <c r="C15" s="122"/>
      <c r="D15" s="122"/>
      <c r="E15" s="122"/>
      <c r="F15" s="122"/>
      <c r="G15" s="122"/>
    </row>
    <row r="16" spans="1:8" ht="24" customHeight="1">
      <c r="A16" s="122" t="s">
        <v>1042</v>
      </c>
      <c r="B16" s="122" t="s">
        <v>1043</v>
      </c>
      <c r="C16" s="122"/>
      <c r="D16" s="122"/>
      <c r="E16" s="122"/>
      <c r="F16" s="122"/>
      <c r="G16" s="122"/>
    </row>
    <row r="17" spans="1:8" ht="24" customHeight="1">
      <c r="A17" s="122" t="s">
        <v>1044</v>
      </c>
      <c r="B17" s="122"/>
      <c r="C17" s="122"/>
      <c r="D17" s="122"/>
      <c r="E17" s="122"/>
      <c r="F17" s="122"/>
      <c r="G17" s="122"/>
    </row>
    <row r="18" spans="1:8" ht="24" customHeight="1">
      <c r="A18" s="122" t="s">
        <v>1045</v>
      </c>
      <c r="B18" s="122"/>
      <c r="C18" s="122"/>
      <c r="D18" s="122"/>
      <c r="E18" s="122"/>
      <c r="F18" s="122"/>
      <c r="G18" s="122"/>
    </row>
    <row r="19" spans="1:8" ht="24" customHeight="1">
      <c r="A19" s="122" t="s">
        <v>1046</v>
      </c>
      <c r="B19" s="122"/>
      <c r="C19" s="122"/>
      <c r="D19" s="122"/>
      <c r="E19" s="122"/>
      <c r="F19" s="122"/>
      <c r="G19" s="122"/>
    </row>
    <row r="20" spans="1:8" ht="24" customHeight="1">
      <c r="A20" s="122" t="s">
        <v>1047</v>
      </c>
      <c r="B20" s="122"/>
      <c r="C20" s="122"/>
      <c r="D20" s="122"/>
      <c r="E20" s="122"/>
      <c r="F20" s="122"/>
      <c r="G20" s="122"/>
    </row>
    <row r="21" spans="1:8" ht="24" customHeight="1">
      <c r="A21" s="2915" t="s">
        <v>1048</v>
      </c>
      <c r="B21" s="2915"/>
      <c r="C21" s="2915"/>
      <c r="D21" s="2915"/>
      <c r="E21" s="2915"/>
      <c r="F21" s="2915"/>
      <c r="G21" s="2915"/>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1049</v>
      </c>
      <c r="B24" s="122"/>
      <c r="C24" s="122"/>
      <c r="D24" s="128"/>
      <c r="E24" s="122"/>
      <c r="F24" s="122" t="s">
        <v>1050</v>
      </c>
      <c r="G24" s="122"/>
    </row>
    <row r="25" spans="1:8" ht="24" customHeight="1">
      <c r="A25" s="122"/>
      <c r="B25" s="122"/>
      <c r="C25" s="122"/>
      <c r="D25" s="128"/>
      <c r="E25" s="122"/>
      <c r="F25" s="122"/>
      <c r="G25" s="122"/>
    </row>
    <row r="26" spans="1:8" ht="24" customHeight="1">
      <c r="A26" s="122" t="s">
        <v>1051</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5.6"/>
  <cols>
    <col min="1" max="1" width="1.09765625" customWidth="1"/>
    <col min="2" max="2" width="10.8984375" style="130" customWidth="1"/>
    <col min="3" max="3" width="14.3984375" style="130" customWidth="1"/>
    <col min="4" max="4" width="12.3984375" style="130" customWidth="1"/>
    <col min="5" max="5" width="4.69921875" style="130" customWidth="1"/>
    <col min="6" max="6" width="12.3984375" style="130" customWidth="1"/>
    <col min="7" max="7" width="4.09765625" style="130" customWidth="1"/>
    <col min="8" max="8" width="3.59765625" style="130" customWidth="1"/>
    <col min="9" max="9" width="3.5" style="130" customWidth="1"/>
    <col min="10" max="10" width="4.19921875" style="130" customWidth="1"/>
    <col min="11" max="11" width="12.69921875" style="130" customWidth="1"/>
    <col min="12" max="12" width="13.09765625" customWidth="1"/>
  </cols>
  <sheetData>
    <row r="1" spans="1:17" ht="29.25" customHeight="1">
      <c r="A1" s="131"/>
      <c r="B1" s="2764" t="s">
        <v>310</v>
      </c>
      <c r="C1" s="2764"/>
      <c r="D1" s="2764"/>
      <c r="E1" s="2764"/>
      <c r="F1" s="2764"/>
      <c r="G1" s="2764"/>
      <c r="H1" s="2764"/>
      <c r="I1" s="2764"/>
      <c r="J1" s="2764"/>
      <c r="K1" s="2764"/>
      <c r="L1" s="84"/>
      <c r="M1" s="84"/>
      <c r="N1" s="84"/>
      <c r="O1" s="84"/>
      <c r="P1" s="84"/>
      <c r="Q1" s="84"/>
    </row>
    <row r="2" spans="1:17" ht="15.75" customHeight="1">
      <c r="A2" s="131"/>
      <c r="B2" s="132"/>
      <c r="C2" s="132"/>
      <c r="D2" s="132"/>
      <c r="E2" s="132"/>
      <c r="F2" s="132"/>
      <c r="G2" s="133" t="s">
        <v>1052</v>
      </c>
      <c r="H2" s="133"/>
      <c r="I2" s="133"/>
      <c r="J2" s="133"/>
      <c r="K2" s="134" t="str">
        <f>档案索引!A26</f>
        <v>2A-6</v>
      </c>
      <c r="L2" s="84"/>
      <c r="M2" s="84"/>
      <c r="N2" s="84"/>
      <c r="O2" s="84"/>
      <c r="P2" s="84"/>
      <c r="Q2" s="84"/>
    </row>
    <row r="3" spans="1:17" ht="22.5" customHeight="1">
      <c r="B3" s="135" t="s">
        <v>447</v>
      </c>
      <c r="C3" s="2919">
        <f>基本情况!B2</f>
        <v>0</v>
      </c>
      <c r="D3" s="2919"/>
      <c r="E3" s="2919"/>
      <c r="F3" s="2919"/>
      <c r="G3" s="2920" t="s">
        <v>450</v>
      </c>
      <c r="H3" s="2920"/>
      <c r="I3" s="2920"/>
      <c r="J3" s="2920"/>
      <c r="K3" s="137">
        <f>基本情况!B11</f>
        <v>0</v>
      </c>
      <c r="L3" s="84"/>
      <c r="M3" s="84"/>
      <c r="N3" s="84"/>
      <c r="O3" s="84"/>
      <c r="P3" s="84"/>
      <c r="Q3" s="84"/>
    </row>
    <row r="4" spans="1:17" ht="22.5" customHeight="1">
      <c r="B4" s="138" t="s">
        <v>451</v>
      </c>
      <c r="C4" s="2921" t="str">
        <f>基本情况!B7</f>
        <v>2016年01月01日至2016年12月31日</v>
      </c>
      <c r="D4" s="2921"/>
      <c r="E4" s="2921"/>
      <c r="F4" s="2921"/>
      <c r="G4" s="2922" t="s">
        <v>1053</v>
      </c>
      <c r="H4" s="2922"/>
      <c r="I4" s="2922"/>
      <c r="J4" s="2922"/>
      <c r="K4" s="141">
        <f>基本情况!B19+1</f>
        <v>42811</v>
      </c>
      <c r="L4" s="84"/>
      <c r="M4" s="84"/>
      <c r="N4" s="84"/>
      <c r="O4" s="84"/>
      <c r="P4" s="84"/>
      <c r="Q4" s="84"/>
    </row>
    <row r="5" spans="1:17" ht="7.5" customHeight="1">
      <c r="B5" s="2916"/>
      <c r="C5" s="2916"/>
      <c r="D5" s="2916"/>
      <c r="E5" s="2916"/>
      <c r="F5" s="2916"/>
      <c r="G5" s="2916"/>
      <c r="H5" s="2916"/>
      <c r="I5" s="2916"/>
      <c r="J5" s="2916"/>
      <c r="K5" s="2916"/>
      <c r="L5" s="84"/>
      <c r="M5" s="84"/>
      <c r="N5" s="84"/>
      <c r="O5" s="84"/>
      <c r="P5" s="84"/>
      <c r="Q5" s="84"/>
    </row>
    <row r="6" spans="1:17" ht="22.5" customHeight="1">
      <c r="B6" s="2917" t="s">
        <v>1054</v>
      </c>
      <c r="C6" s="2917"/>
      <c r="D6" s="2917"/>
      <c r="E6" s="2917"/>
      <c r="F6" s="2917"/>
      <c r="G6" s="2917"/>
      <c r="H6" s="2917"/>
      <c r="I6" s="2917"/>
      <c r="J6" s="2917"/>
      <c r="K6" s="2917"/>
      <c r="L6" s="84"/>
      <c r="M6" s="84"/>
      <c r="N6" s="84"/>
      <c r="O6" s="84"/>
      <c r="P6" s="84"/>
      <c r="Q6" s="84"/>
    </row>
    <row r="7" spans="1:17" ht="44.25" customHeight="1">
      <c r="B7" s="2918" t="str">
        <f>IF(OR(基本情况!B6&lt;&gt;"12月31日",基本情况!F5&lt;&gt;"01",基本情况!G5&lt;&gt;"01"),基本情况!B7,基本情况!B4&amp;"年")&amp;"企业所得税年度纳税申报审核"</f>
        <v>2016年企业所得税年度纳税申报审核</v>
      </c>
      <c r="C7" s="2918"/>
      <c r="D7" s="2918"/>
      <c r="E7" s="2918"/>
      <c r="F7" s="2918"/>
      <c r="G7" s="2918"/>
      <c r="H7" s="2918"/>
      <c r="I7" s="2918"/>
      <c r="J7" s="2918"/>
      <c r="K7" s="2918"/>
      <c r="L7" s="84"/>
      <c r="M7" s="84"/>
      <c r="N7" s="84"/>
      <c r="O7" s="84"/>
      <c r="P7" s="84"/>
      <c r="Q7" s="84"/>
    </row>
    <row r="8" spans="1:17" ht="22.5" customHeight="1">
      <c r="B8" s="2917" t="s">
        <v>1055</v>
      </c>
      <c r="C8" s="2917"/>
      <c r="D8" s="2917"/>
      <c r="E8" s="2917"/>
      <c r="F8" s="2917"/>
      <c r="G8" s="2917"/>
      <c r="H8" s="2917"/>
      <c r="I8" s="2917"/>
      <c r="J8" s="2917"/>
      <c r="K8" s="2917"/>
      <c r="L8" s="84"/>
      <c r="M8" s="84"/>
      <c r="N8" s="84"/>
      <c r="O8" s="84"/>
      <c r="P8" s="84"/>
      <c r="Q8" s="84"/>
    </row>
    <row r="9" spans="1:17" ht="22.5" customHeight="1">
      <c r="B9" s="2923"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2016年企业所得税年度纳税申报进行审核。</v>
      </c>
      <c r="C9" s="2923"/>
      <c r="D9" s="2923"/>
      <c r="E9" s="2923"/>
      <c r="F9" s="2923"/>
      <c r="G9" s="2923"/>
      <c r="H9" s="2923"/>
      <c r="I9" s="2923"/>
      <c r="J9" s="2923"/>
      <c r="K9" s="2923"/>
      <c r="L9" s="84"/>
      <c r="M9" s="84"/>
      <c r="N9" s="84"/>
      <c r="O9" s="84"/>
      <c r="P9" s="84"/>
      <c r="Q9" s="84"/>
    </row>
    <row r="10" spans="1:17" ht="22.5" customHeight="1">
      <c r="B10" s="2923"/>
      <c r="C10" s="2923"/>
      <c r="D10" s="2923"/>
      <c r="E10" s="2923"/>
      <c r="F10" s="2923"/>
      <c r="G10" s="2923"/>
      <c r="H10" s="2923"/>
      <c r="I10" s="2923"/>
      <c r="J10" s="2923"/>
      <c r="K10" s="2923"/>
      <c r="L10" s="84"/>
      <c r="M10" s="84"/>
      <c r="N10" s="84"/>
      <c r="O10" s="84"/>
      <c r="P10" s="84"/>
      <c r="Q10" s="84"/>
    </row>
    <row r="11" spans="1:17" ht="22.5" customHeight="1">
      <c r="A11" s="142"/>
      <c r="B11" s="2917" t="s">
        <v>1056</v>
      </c>
      <c r="C11" s="2917"/>
      <c r="D11" s="2917"/>
      <c r="E11" s="2917"/>
      <c r="F11" s="2917"/>
      <c r="G11" s="2917"/>
      <c r="H11" s="2917"/>
      <c r="I11" s="2917"/>
      <c r="J11" s="2917"/>
      <c r="K11" s="2917"/>
      <c r="L11" s="84"/>
    </row>
    <row r="12" spans="1:17" ht="22.5" customHeight="1">
      <c r="B12" s="2925" t="s">
        <v>1057</v>
      </c>
      <c r="C12" s="2925"/>
      <c r="D12" s="2929">
        <f>基本情况!B19+1</f>
        <v>42811</v>
      </c>
      <c r="E12" s="2929"/>
      <c r="F12" s="2929"/>
      <c r="G12" s="2929"/>
      <c r="H12" s="2929"/>
      <c r="I12" s="2929"/>
      <c r="J12" s="2929"/>
      <c r="K12" s="2929"/>
      <c r="L12" s="144"/>
    </row>
    <row r="13" spans="1:17" ht="22.5" customHeight="1">
      <c r="B13" s="2925" t="s">
        <v>1058</v>
      </c>
      <c r="C13" s="2925"/>
      <c r="D13" s="145">
        <f>基本情况!B19+1</f>
        <v>42811</v>
      </c>
      <c r="E13" s="146" t="s">
        <v>1059</v>
      </c>
      <c r="F13" s="147">
        <f>D13+H13</f>
        <v>42814</v>
      </c>
      <c r="G13" s="148" t="s">
        <v>1060</v>
      </c>
      <c r="H13" s="149">
        <v>3</v>
      </c>
      <c r="I13" s="150" t="s">
        <v>1061</v>
      </c>
      <c r="J13" s="151">
        <f>COUNTA(B18:B25)*H13</f>
        <v>0</v>
      </c>
      <c r="K13" s="152" t="s">
        <v>1062</v>
      </c>
      <c r="L13" s="84"/>
    </row>
    <row r="14" spans="1:17" ht="22.5" customHeight="1">
      <c r="B14" s="2925" t="s">
        <v>1063</v>
      </c>
      <c r="C14" s="2925"/>
      <c r="D14" s="145">
        <f>F13+1</f>
        <v>42815</v>
      </c>
      <c r="E14" s="146" t="s">
        <v>1059</v>
      </c>
      <c r="F14" s="153" t="str">
        <f>基本情况!B20</f>
        <v>2017年5月4日</v>
      </c>
      <c r="G14" s="154"/>
      <c r="H14" s="155"/>
      <c r="I14" s="155"/>
      <c r="J14" s="155"/>
      <c r="K14" s="156"/>
      <c r="L14" s="84"/>
    </row>
    <row r="15" spans="1:17" ht="22.5" customHeight="1">
      <c r="B15" s="2926" t="s">
        <v>1064</v>
      </c>
      <c r="C15" s="2926"/>
      <c r="D15" s="2927" t="str">
        <f>基本情况!B20</f>
        <v>2017年5月4日</v>
      </c>
      <c r="E15" s="2927"/>
      <c r="F15" s="2927"/>
      <c r="G15" s="2927"/>
      <c r="H15" s="2927"/>
      <c r="I15" s="2927"/>
      <c r="J15" s="2927"/>
      <c r="K15" s="2927"/>
      <c r="L15" s="84"/>
      <c r="M15" s="84"/>
      <c r="N15" s="84"/>
      <c r="O15" s="84"/>
      <c r="P15" s="84"/>
      <c r="Q15" s="84"/>
    </row>
    <row r="16" spans="1:17" ht="22.5" customHeight="1">
      <c r="B16" s="2917" t="s">
        <v>1065</v>
      </c>
      <c r="C16" s="2917"/>
      <c r="D16" s="2917"/>
      <c r="E16" s="2917"/>
      <c r="F16" s="2917"/>
      <c r="G16" s="2917"/>
      <c r="H16" s="2917"/>
      <c r="I16" s="2917"/>
      <c r="J16" s="2917"/>
      <c r="K16" s="2917"/>
      <c r="L16" s="84"/>
      <c r="M16" s="84"/>
      <c r="N16" s="84"/>
      <c r="O16" s="84"/>
      <c r="P16" s="84"/>
      <c r="Q16" s="84"/>
    </row>
    <row r="17" spans="2:17" s="157" customFormat="1" ht="22.5" customHeight="1">
      <c r="B17" s="143" t="s">
        <v>1066</v>
      </c>
      <c r="C17" s="158" t="s">
        <v>1067</v>
      </c>
      <c r="D17" s="2928" t="s">
        <v>1068</v>
      </c>
      <c r="E17" s="2928"/>
      <c r="F17" s="2928"/>
      <c r="G17" s="2928"/>
      <c r="H17" s="2928"/>
      <c r="I17" s="2928"/>
      <c r="J17" s="2928"/>
      <c r="K17" s="159" t="s">
        <v>1069</v>
      </c>
      <c r="L17" s="160"/>
      <c r="M17" s="160"/>
      <c r="N17" s="160"/>
      <c r="O17" s="160"/>
      <c r="P17" s="160"/>
      <c r="Q17" s="160"/>
    </row>
    <row r="18" spans="2:17" ht="22.5" customHeight="1">
      <c r="B18" s="161"/>
      <c r="C18" s="162" t="s">
        <v>396</v>
      </c>
      <c r="D18" s="2924" t="s">
        <v>1071</v>
      </c>
      <c r="E18" s="2924"/>
      <c r="F18" s="2924"/>
      <c r="G18" s="2924"/>
      <c r="H18" s="2924"/>
      <c r="I18" s="2924"/>
      <c r="J18" s="2924"/>
      <c r="K18" s="164"/>
      <c r="L18" s="84"/>
      <c r="M18" s="84"/>
      <c r="N18" s="84"/>
      <c r="O18" s="84"/>
      <c r="P18" s="84"/>
      <c r="Q18" s="84"/>
    </row>
    <row r="19" spans="2:17" ht="22.5" customHeight="1">
      <c r="B19" s="161"/>
      <c r="C19" s="162" t="s">
        <v>1070</v>
      </c>
      <c r="D19" s="2924" t="s">
        <v>1071</v>
      </c>
      <c r="E19" s="2924"/>
      <c r="F19" s="2924"/>
      <c r="G19" s="2924"/>
      <c r="H19" s="2924"/>
      <c r="I19" s="2924"/>
      <c r="J19" s="2924"/>
      <c r="K19" s="164"/>
      <c r="L19" s="84"/>
      <c r="M19" s="84"/>
      <c r="N19" s="84"/>
      <c r="O19" s="84"/>
      <c r="P19" s="84"/>
      <c r="Q19" s="84"/>
    </row>
    <row r="20" spans="2:17" ht="22.5" customHeight="1">
      <c r="B20" s="161"/>
      <c r="C20" s="162" t="s">
        <v>1072</v>
      </c>
      <c r="D20" s="2924" t="s">
        <v>400</v>
      </c>
      <c r="E20" s="2924"/>
      <c r="F20" s="2924"/>
      <c r="G20" s="2924"/>
      <c r="H20" s="2924"/>
      <c r="I20" s="2924"/>
      <c r="J20" s="2924"/>
      <c r="K20" s="164"/>
      <c r="L20" s="84"/>
      <c r="M20" s="84"/>
      <c r="N20" s="84"/>
      <c r="O20" s="84"/>
      <c r="P20" s="84"/>
      <c r="Q20" s="84"/>
    </row>
    <row r="21" spans="2:17" ht="22.5" customHeight="1">
      <c r="B21" s="161"/>
      <c r="C21" s="162"/>
      <c r="D21" s="2924"/>
      <c r="E21" s="2924"/>
      <c r="F21" s="2924"/>
      <c r="G21" s="2924"/>
      <c r="H21" s="2924"/>
      <c r="I21" s="2924"/>
      <c r="J21" s="2924"/>
      <c r="K21" s="164"/>
      <c r="L21" s="84"/>
      <c r="M21" s="84"/>
      <c r="N21" s="84"/>
      <c r="O21" s="84"/>
      <c r="P21" s="84"/>
      <c r="Q21" s="84"/>
    </row>
    <row r="22" spans="2:17" ht="22.5" customHeight="1">
      <c r="B22" s="161"/>
      <c r="C22" s="162"/>
      <c r="D22" s="2924"/>
      <c r="E22" s="2924"/>
      <c r="F22" s="2924"/>
      <c r="G22" s="2924"/>
      <c r="H22" s="2924"/>
      <c r="I22" s="2924"/>
      <c r="J22" s="2924"/>
      <c r="K22" s="164"/>
      <c r="L22" s="84"/>
      <c r="M22" s="84"/>
      <c r="N22" s="84"/>
      <c r="O22" s="84"/>
      <c r="P22" s="84"/>
      <c r="Q22" s="84"/>
    </row>
    <row r="23" spans="2:17" ht="22.5" customHeight="1">
      <c r="B23" s="161"/>
      <c r="C23" s="162"/>
      <c r="D23" s="2924"/>
      <c r="E23" s="2924"/>
      <c r="F23" s="2924"/>
      <c r="G23" s="2924"/>
      <c r="H23" s="2924"/>
      <c r="I23" s="2924"/>
      <c r="J23" s="2924"/>
      <c r="K23" s="164"/>
      <c r="L23" s="84"/>
      <c r="M23" s="84"/>
      <c r="N23" s="84"/>
      <c r="O23" s="84"/>
      <c r="P23" s="84"/>
      <c r="Q23" s="84"/>
    </row>
    <row r="24" spans="2:17" ht="22.5" customHeight="1">
      <c r="B24" s="161"/>
      <c r="C24" s="162"/>
      <c r="D24" s="2924"/>
      <c r="E24" s="2924"/>
      <c r="F24" s="2924"/>
      <c r="G24" s="2924"/>
      <c r="H24" s="2924"/>
      <c r="I24" s="2924"/>
      <c r="J24" s="2924"/>
      <c r="K24" s="164"/>
      <c r="L24" s="84"/>
      <c r="M24" s="84"/>
      <c r="N24" s="84"/>
      <c r="O24" s="84"/>
      <c r="P24" s="84"/>
      <c r="Q24" s="84"/>
    </row>
    <row r="25" spans="2:17" ht="22.5" customHeight="1">
      <c r="B25" s="165"/>
      <c r="C25" s="166"/>
      <c r="D25" s="2924"/>
      <c r="E25" s="2924"/>
      <c r="F25" s="2924"/>
      <c r="G25" s="2924"/>
      <c r="H25" s="2924"/>
      <c r="I25" s="2924"/>
      <c r="J25" s="2924"/>
      <c r="K25" s="167"/>
      <c r="L25" s="84"/>
      <c r="M25" s="84"/>
      <c r="N25" s="84"/>
      <c r="O25" s="84"/>
      <c r="P25" s="84"/>
      <c r="Q25" s="84"/>
    </row>
    <row r="26" spans="2:17" ht="22.5" customHeight="1">
      <c r="B26" s="2917" t="s">
        <v>1073</v>
      </c>
      <c r="C26" s="2917"/>
      <c r="D26" s="2917"/>
      <c r="E26" s="2917"/>
      <c r="F26" s="2917"/>
      <c r="G26" s="2917"/>
      <c r="H26" s="2917"/>
      <c r="I26" s="2917"/>
      <c r="J26" s="2917"/>
      <c r="K26" s="2917"/>
      <c r="L26" s="84"/>
      <c r="M26" s="84"/>
      <c r="N26" s="84"/>
      <c r="O26" s="84"/>
      <c r="P26" s="84"/>
      <c r="Q26" s="84"/>
    </row>
    <row r="27" spans="2:17" ht="18" customHeight="1">
      <c r="B27" s="2931"/>
      <c r="C27" s="2931"/>
      <c r="D27" s="2931"/>
      <c r="E27" s="2931"/>
      <c r="F27" s="2931"/>
      <c r="G27" s="2931"/>
      <c r="H27" s="2931"/>
      <c r="I27" s="2931"/>
      <c r="J27" s="2931"/>
      <c r="K27" s="2931"/>
      <c r="L27" s="84"/>
      <c r="M27" s="84"/>
      <c r="N27" s="84"/>
      <c r="O27" s="84"/>
      <c r="P27" s="84"/>
      <c r="Q27" s="84"/>
    </row>
    <row r="28" spans="2:17" ht="32.25" customHeight="1">
      <c r="B28" s="2931"/>
      <c r="C28" s="2931"/>
      <c r="D28" s="2931"/>
      <c r="E28" s="2931"/>
      <c r="F28" s="2931"/>
      <c r="G28" s="2931"/>
      <c r="H28" s="2931"/>
      <c r="I28" s="2931"/>
      <c r="J28" s="2931"/>
      <c r="K28" s="2931"/>
      <c r="L28" s="84"/>
      <c r="M28" s="84"/>
      <c r="N28" s="84"/>
      <c r="O28" s="84"/>
      <c r="P28" s="84"/>
      <c r="Q28" s="84"/>
    </row>
    <row r="29" spans="2:17" ht="27.75" customHeight="1">
      <c r="B29" s="2931"/>
      <c r="C29" s="2931"/>
      <c r="D29" s="2931"/>
      <c r="E29" s="2931"/>
      <c r="F29" s="2931"/>
      <c r="G29" s="2931"/>
      <c r="H29" s="2931"/>
      <c r="I29" s="2931"/>
      <c r="J29" s="2931"/>
      <c r="K29" s="2931"/>
      <c r="L29" s="84"/>
      <c r="M29" s="84"/>
      <c r="N29" s="84"/>
      <c r="O29" s="84"/>
      <c r="P29" s="84"/>
      <c r="Q29" s="84"/>
    </row>
    <row r="30" spans="2:17" ht="26.25" customHeight="1">
      <c r="B30" s="2931"/>
      <c r="C30" s="2931"/>
      <c r="D30" s="2931"/>
      <c r="E30" s="2931"/>
      <c r="F30" s="2931"/>
      <c r="G30" s="2931"/>
      <c r="H30" s="2931"/>
      <c r="I30" s="2931"/>
      <c r="J30" s="2931"/>
      <c r="K30" s="2931"/>
      <c r="L30" s="84"/>
      <c r="M30" s="84"/>
      <c r="N30" s="84"/>
      <c r="O30" s="84"/>
      <c r="P30" s="84"/>
      <c r="Q30" s="84"/>
    </row>
    <row r="31" spans="2:17" ht="22.5" customHeight="1">
      <c r="B31" s="2931"/>
      <c r="C31" s="2931"/>
      <c r="D31" s="2931"/>
      <c r="E31" s="2931"/>
      <c r="F31" s="2931"/>
      <c r="G31" s="2931"/>
      <c r="H31" s="2931"/>
      <c r="I31" s="2931"/>
      <c r="J31" s="2931"/>
      <c r="K31" s="2931"/>
      <c r="L31" s="84"/>
      <c r="M31" s="84"/>
      <c r="N31" s="84"/>
      <c r="O31" s="84"/>
      <c r="P31" s="84"/>
      <c r="Q31" s="84"/>
    </row>
    <row r="32" spans="2:17" ht="18.75" customHeight="1"/>
    <row r="33" spans="2:11">
      <c r="B33" s="2930"/>
      <c r="C33" s="2930"/>
      <c r="D33" s="2930"/>
      <c r="E33" s="2930"/>
      <c r="F33" s="2930"/>
      <c r="G33" s="2930"/>
      <c r="H33" s="2930"/>
      <c r="I33" s="2930"/>
      <c r="J33" s="2930"/>
      <c r="K33" s="2930"/>
    </row>
  </sheetData>
  <sheetProtection selectLockedCells="1" selectUnlockedCells="1"/>
  <mergeCells count="30">
    <mergeCell ref="B33:K33"/>
    <mergeCell ref="D18:J18"/>
    <mergeCell ref="D19:J19"/>
    <mergeCell ref="D20:J20"/>
    <mergeCell ref="D21:J21"/>
    <mergeCell ref="D22:J22"/>
    <mergeCell ref="D24:J24"/>
    <mergeCell ref="D25:J25"/>
    <mergeCell ref="B26:K26"/>
    <mergeCell ref="B27:K31"/>
    <mergeCell ref="B8:K8"/>
    <mergeCell ref="B9:K10"/>
    <mergeCell ref="B11:K11"/>
    <mergeCell ref="D23:J23"/>
    <mergeCell ref="B13:C13"/>
    <mergeCell ref="B14:C14"/>
    <mergeCell ref="B15:C15"/>
    <mergeCell ref="D15:K15"/>
    <mergeCell ref="B16:K16"/>
    <mergeCell ref="D17:J17"/>
    <mergeCell ref="B12:C12"/>
    <mergeCell ref="D12:K12"/>
    <mergeCell ref="B5:K5"/>
    <mergeCell ref="B6:K6"/>
    <mergeCell ref="B7:K7"/>
    <mergeCell ref="B1:K1"/>
    <mergeCell ref="C3:F3"/>
    <mergeCell ref="G3:J3"/>
    <mergeCell ref="C4:F4"/>
    <mergeCell ref="G4:J4"/>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5.6"/>
  <cols>
    <col min="1" max="1" width="10.19921875" style="168" customWidth="1"/>
    <col min="2" max="2" width="30.3984375" style="168" customWidth="1"/>
    <col min="3" max="3" width="6.5" style="168" customWidth="1"/>
    <col min="4" max="4" width="0.59765625" style="168" customWidth="1"/>
    <col min="5" max="5" width="7.09765625" style="168" customWidth="1"/>
    <col min="6" max="6" width="0" style="168" hidden="1" customWidth="1"/>
    <col min="7" max="8" width="7.09765625" style="168" customWidth="1"/>
    <col min="9" max="9" width="4.09765625" style="168" customWidth="1"/>
    <col min="10" max="10" width="3" style="168" customWidth="1"/>
    <col min="11" max="11" width="7.09765625" style="168" customWidth="1"/>
    <col min="12" max="16384" width="9" style="168"/>
  </cols>
  <sheetData>
    <row r="1" spans="1:18" ht="22.2">
      <c r="A1" s="2706" t="s">
        <v>314</v>
      </c>
      <c r="B1" s="2706"/>
      <c r="C1" s="2706"/>
      <c r="D1" s="2706"/>
      <c r="E1" s="2706"/>
      <c r="F1" s="2706"/>
      <c r="G1" s="2706"/>
      <c r="H1" s="2706"/>
      <c r="I1" s="2706"/>
      <c r="J1" s="2706"/>
      <c r="K1" s="2706"/>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707" t="s">
        <v>447</v>
      </c>
      <c r="B3" s="2933">
        <f>基本情况!B2</f>
        <v>0</v>
      </c>
      <c r="C3" s="2934"/>
      <c r="D3" s="2934"/>
      <c r="E3" s="2709" t="s">
        <v>448</v>
      </c>
      <c r="F3" s="2709"/>
      <c r="G3" s="2709"/>
      <c r="H3" s="2709" t="s">
        <v>449</v>
      </c>
      <c r="I3" s="2709"/>
      <c r="J3" s="2709"/>
      <c r="K3" s="86" t="s">
        <v>283</v>
      </c>
      <c r="L3" s="171"/>
      <c r="M3" s="171"/>
      <c r="N3" s="171"/>
      <c r="O3" s="171"/>
      <c r="P3" s="171"/>
      <c r="Q3" s="171"/>
      <c r="R3" s="171"/>
    </row>
    <row r="4" spans="1:18" s="172" customFormat="1" ht="22.5" customHeight="1">
      <c r="A4" s="2707"/>
      <c r="B4" s="2933"/>
      <c r="C4" s="2710" t="s">
        <v>450</v>
      </c>
      <c r="D4" s="2710"/>
      <c r="E4" s="2935">
        <f>基本情况!B12</f>
        <v>0</v>
      </c>
      <c r="F4" s="2935"/>
      <c r="G4" s="2935"/>
      <c r="H4" s="2936" t="str">
        <f>基本情况!B21</f>
        <v>2017年3月16日</v>
      </c>
      <c r="I4" s="2936"/>
      <c r="J4" s="2936"/>
      <c r="K4" s="2937" t="str">
        <f>档案索引!A27</f>
        <v>2A-7</v>
      </c>
      <c r="L4" s="171"/>
      <c r="M4" s="171"/>
      <c r="N4" s="171"/>
      <c r="O4" s="171"/>
      <c r="P4" s="171"/>
      <c r="Q4" s="171"/>
      <c r="R4" s="171"/>
    </row>
    <row r="5" spans="1:18" s="172" customFormat="1" ht="22.5" customHeight="1">
      <c r="A5" s="87" t="s">
        <v>451</v>
      </c>
      <c r="B5" s="88" t="str">
        <f>基本情况!B7</f>
        <v>2016年01月01日至2016年12月31日</v>
      </c>
      <c r="C5" s="2715" t="s">
        <v>452</v>
      </c>
      <c r="D5" s="2715"/>
      <c r="E5" s="2938">
        <f>基本情况!B11</f>
        <v>0</v>
      </c>
      <c r="F5" s="2938"/>
      <c r="G5" s="2938"/>
      <c r="H5" s="2939" t="str">
        <f>基本情况!B22</f>
        <v>2017年5月4日</v>
      </c>
      <c r="I5" s="2939"/>
      <c r="J5" s="2939"/>
      <c r="K5" s="2937"/>
      <c r="L5" s="171"/>
      <c r="M5" s="171"/>
      <c r="N5" s="171"/>
      <c r="O5" s="171"/>
      <c r="P5" s="171"/>
      <c r="Q5" s="171"/>
      <c r="R5" s="171"/>
    </row>
    <row r="6" spans="1:18" s="172" customFormat="1" ht="7.5" customHeight="1">
      <c r="A6" s="2932"/>
      <c r="B6" s="2932"/>
      <c r="C6" s="2932"/>
      <c r="D6" s="2932"/>
      <c r="E6" s="2932"/>
      <c r="F6" s="2932"/>
      <c r="G6" s="2932"/>
      <c r="H6" s="2932"/>
      <c r="I6" s="2932"/>
      <c r="J6" s="2932"/>
      <c r="K6" s="2932"/>
      <c r="L6" s="171"/>
      <c r="M6" s="171"/>
      <c r="N6" s="171"/>
      <c r="O6" s="171"/>
      <c r="P6" s="171"/>
      <c r="Q6" s="171"/>
      <c r="R6" s="171"/>
    </row>
    <row r="7" spans="1:18" s="172" customFormat="1" ht="22.5" customHeight="1">
      <c r="A7" s="2942" t="s">
        <v>1074</v>
      </c>
      <c r="B7" s="2942"/>
      <c r="C7" s="2709" t="s">
        <v>1075</v>
      </c>
      <c r="D7" s="2709"/>
      <c r="E7" s="2709"/>
      <c r="F7" s="2709"/>
      <c r="G7" s="2709"/>
      <c r="H7" s="2943" t="s">
        <v>1076</v>
      </c>
      <c r="I7" s="2943"/>
      <c r="J7" s="2943"/>
      <c r="K7" s="2943"/>
      <c r="L7" s="171"/>
      <c r="M7" s="171"/>
      <c r="N7" s="171"/>
      <c r="O7" s="171"/>
      <c r="P7" s="171"/>
      <c r="Q7" s="171"/>
      <c r="R7" s="171"/>
    </row>
    <row r="8" spans="1:18" s="172" customFormat="1" ht="22.5" customHeight="1">
      <c r="A8" s="2942"/>
      <c r="B8" s="2942"/>
      <c r="C8" s="2715" t="s">
        <v>1077</v>
      </c>
      <c r="D8" s="2715"/>
      <c r="E8" s="2715" t="s">
        <v>413</v>
      </c>
      <c r="F8" s="2715"/>
      <c r="G8" s="89" t="s">
        <v>1078</v>
      </c>
      <c r="H8" s="89" t="s">
        <v>1079</v>
      </c>
      <c r="I8" s="2715" t="s">
        <v>1080</v>
      </c>
      <c r="J8" s="2715"/>
      <c r="K8" s="173" t="s">
        <v>1081</v>
      </c>
      <c r="L8" s="171"/>
      <c r="M8" s="171"/>
      <c r="N8" s="171"/>
      <c r="O8" s="171"/>
      <c r="P8" s="171"/>
      <c r="Q8" s="171"/>
      <c r="R8" s="171"/>
    </row>
    <row r="9" spans="1:18" s="172" customFormat="1" ht="22.5" customHeight="1">
      <c r="A9" s="2940" t="s">
        <v>1082</v>
      </c>
      <c r="B9" s="2940"/>
      <c r="C9" s="2941"/>
      <c r="D9" s="2941"/>
      <c r="E9" s="2941"/>
      <c r="F9" s="2941"/>
      <c r="G9" s="174"/>
      <c r="H9" s="174"/>
      <c r="I9" s="2941"/>
      <c r="J9" s="2941"/>
      <c r="K9" s="175"/>
      <c r="L9" s="171"/>
      <c r="M9" s="171"/>
      <c r="N9" s="171"/>
      <c r="O9" s="171"/>
      <c r="P9" s="171"/>
      <c r="Q9" s="171"/>
      <c r="R9" s="171"/>
    </row>
    <row r="10" spans="1:18" s="172" customFormat="1" ht="22.5" customHeight="1">
      <c r="A10" s="2944" t="s">
        <v>1083</v>
      </c>
      <c r="B10" s="2944"/>
      <c r="C10" s="2945"/>
      <c r="D10" s="2945"/>
      <c r="E10" s="2945"/>
      <c r="F10" s="2945"/>
      <c r="G10" s="176"/>
      <c r="H10" s="176"/>
      <c r="I10" s="2945"/>
      <c r="J10" s="2945"/>
      <c r="K10" s="177"/>
      <c r="L10" s="171"/>
      <c r="M10" s="171"/>
      <c r="N10" s="178"/>
      <c r="O10" s="171"/>
      <c r="P10" s="171"/>
      <c r="Q10" s="171"/>
      <c r="R10" s="171"/>
    </row>
    <row r="11" spans="1:18" s="172" customFormat="1" ht="22.5" customHeight="1">
      <c r="A11" s="2944" t="s">
        <v>1084</v>
      </c>
      <c r="B11" s="2944"/>
      <c r="C11" s="2945"/>
      <c r="D11" s="2945"/>
      <c r="E11" s="2945"/>
      <c r="F11" s="2945"/>
      <c r="G11" s="176"/>
      <c r="H11" s="176"/>
      <c r="I11" s="2945"/>
      <c r="J11" s="2945"/>
      <c r="K11" s="177"/>
      <c r="L11" s="171"/>
      <c r="M11" s="171"/>
      <c r="N11" s="178"/>
      <c r="O11" s="171"/>
      <c r="P11" s="171"/>
      <c r="Q11" s="171"/>
      <c r="R11" s="171"/>
    </row>
    <row r="12" spans="1:18" s="172" customFormat="1" ht="22.5" customHeight="1">
      <c r="A12" s="2944" t="s">
        <v>1085</v>
      </c>
      <c r="B12" s="2944"/>
      <c r="C12" s="2945"/>
      <c r="D12" s="2945"/>
      <c r="E12" s="2945"/>
      <c r="F12" s="2945"/>
      <c r="G12" s="176"/>
      <c r="H12" s="176"/>
      <c r="I12" s="2945"/>
      <c r="J12" s="2945"/>
      <c r="K12" s="177"/>
      <c r="L12" s="171"/>
      <c r="M12" s="171"/>
      <c r="N12" s="178"/>
      <c r="O12" s="171"/>
      <c r="P12" s="171"/>
      <c r="Q12" s="171"/>
      <c r="R12" s="171"/>
    </row>
    <row r="13" spans="1:18" s="172" customFormat="1" ht="22.5" customHeight="1">
      <c r="A13" s="2944" t="s">
        <v>1086</v>
      </c>
      <c r="B13" s="2944"/>
      <c r="C13" s="2945"/>
      <c r="D13" s="2945"/>
      <c r="E13" s="2945"/>
      <c r="F13" s="2945"/>
      <c r="G13" s="176"/>
      <c r="H13" s="176"/>
      <c r="I13" s="2945"/>
      <c r="J13" s="2945"/>
      <c r="K13" s="177"/>
      <c r="L13" s="171"/>
      <c r="M13" s="171"/>
      <c r="N13" s="178"/>
      <c r="O13" s="171"/>
      <c r="P13" s="171"/>
      <c r="Q13" s="171"/>
      <c r="R13" s="171"/>
    </row>
    <row r="14" spans="1:18" s="172" customFormat="1" ht="22.5" customHeight="1">
      <c r="A14" s="2944" t="s">
        <v>1087</v>
      </c>
      <c r="B14" s="2944"/>
      <c r="C14" s="2945"/>
      <c r="D14" s="2945"/>
      <c r="E14" s="2945"/>
      <c r="F14" s="2945"/>
      <c r="G14" s="176"/>
      <c r="H14" s="176"/>
      <c r="I14" s="2945"/>
      <c r="J14" s="2945"/>
      <c r="K14" s="177"/>
      <c r="L14" s="171"/>
      <c r="M14" s="171"/>
      <c r="N14" s="178"/>
      <c r="O14" s="171"/>
      <c r="P14" s="171"/>
      <c r="Q14" s="171"/>
      <c r="R14" s="171"/>
    </row>
    <row r="15" spans="1:18" s="172" customFormat="1" ht="22.5" customHeight="1">
      <c r="A15" s="2944" t="s">
        <v>1088</v>
      </c>
      <c r="B15" s="2944"/>
      <c r="C15" s="2945"/>
      <c r="D15" s="2945"/>
      <c r="E15" s="2945"/>
      <c r="F15" s="2945"/>
      <c r="G15" s="176"/>
      <c r="H15" s="176"/>
      <c r="I15" s="2945"/>
      <c r="J15" s="2945"/>
      <c r="K15" s="177"/>
      <c r="L15" s="171"/>
      <c r="M15" s="171"/>
      <c r="N15" s="178"/>
      <c r="O15" s="171"/>
      <c r="P15" s="171"/>
      <c r="Q15" s="171"/>
      <c r="R15" s="171"/>
    </row>
    <row r="16" spans="1:18" s="172" customFormat="1" ht="22.5" customHeight="1">
      <c r="A16" s="2944" t="s">
        <v>1089</v>
      </c>
      <c r="B16" s="2944"/>
      <c r="C16" s="2945"/>
      <c r="D16" s="2945"/>
      <c r="E16" s="2945"/>
      <c r="F16" s="2945"/>
      <c r="G16" s="176"/>
      <c r="H16" s="176"/>
      <c r="I16" s="2945"/>
      <c r="J16" s="2945"/>
      <c r="K16" s="177"/>
      <c r="L16" s="171"/>
      <c r="M16" s="171"/>
      <c r="N16" s="178"/>
      <c r="O16" s="171"/>
      <c r="P16" s="171"/>
      <c r="Q16" s="171"/>
      <c r="R16" s="171"/>
    </row>
    <row r="17" spans="1:18" s="172" customFormat="1" ht="22.5" customHeight="1">
      <c r="A17" s="2944" t="s">
        <v>1090</v>
      </c>
      <c r="B17" s="2944"/>
      <c r="C17" s="2945"/>
      <c r="D17" s="2945"/>
      <c r="E17" s="2945"/>
      <c r="F17" s="2945"/>
      <c r="G17" s="176"/>
      <c r="H17" s="176"/>
      <c r="I17" s="2945"/>
      <c r="J17" s="2945"/>
      <c r="K17" s="177"/>
      <c r="L17" s="171"/>
      <c r="M17" s="171"/>
      <c r="N17" s="171"/>
      <c r="O17" s="171"/>
      <c r="P17" s="171"/>
      <c r="Q17" s="171"/>
      <c r="R17" s="171"/>
    </row>
    <row r="18" spans="1:18" s="172" customFormat="1" ht="22.5" customHeight="1">
      <c r="A18" s="2944" t="s">
        <v>1091</v>
      </c>
      <c r="B18" s="2944"/>
      <c r="C18" s="2945"/>
      <c r="D18" s="2945"/>
      <c r="E18" s="2945"/>
      <c r="F18" s="2945"/>
      <c r="G18" s="176"/>
      <c r="H18" s="176"/>
      <c r="I18" s="2945"/>
      <c r="J18" s="2945"/>
      <c r="K18" s="177"/>
      <c r="L18" s="171"/>
      <c r="M18" s="171"/>
      <c r="N18" s="171"/>
      <c r="O18" s="171"/>
      <c r="P18" s="171"/>
      <c r="Q18" s="171"/>
      <c r="R18" s="171"/>
    </row>
    <row r="19" spans="1:18" s="172" customFormat="1" ht="22.5" customHeight="1">
      <c r="A19" s="2944" t="s">
        <v>1092</v>
      </c>
      <c r="B19" s="2944"/>
      <c r="C19" s="2945"/>
      <c r="D19" s="2945"/>
      <c r="E19" s="2945"/>
      <c r="F19" s="2945"/>
      <c r="G19" s="176"/>
      <c r="H19" s="176"/>
      <c r="I19" s="2945"/>
      <c r="J19" s="2945"/>
      <c r="K19" s="177"/>
      <c r="L19" s="171"/>
      <c r="M19" s="171"/>
      <c r="N19" s="171"/>
      <c r="O19" s="171"/>
      <c r="P19" s="171"/>
      <c r="Q19" s="171"/>
      <c r="R19" s="171"/>
    </row>
    <row r="20" spans="1:18" s="172" customFormat="1" ht="22.5" customHeight="1">
      <c r="A20" s="2944" t="s">
        <v>1093</v>
      </c>
      <c r="B20" s="2944"/>
      <c r="C20" s="2945"/>
      <c r="D20" s="2945"/>
      <c r="E20" s="2945"/>
      <c r="F20" s="2945"/>
      <c r="G20" s="176"/>
      <c r="H20" s="176"/>
      <c r="I20" s="2945"/>
      <c r="J20" s="2945"/>
      <c r="K20" s="177"/>
      <c r="L20" s="171"/>
      <c r="M20" s="171"/>
      <c r="N20" s="171"/>
      <c r="O20" s="171"/>
      <c r="P20" s="171"/>
      <c r="Q20" s="171"/>
      <c r="R20" s="171"/>
    </row>
    <row r="21" spans="1:18" s="172" customFormat="1" ht="22.5" customHeight="1">
      <c r="A21" s="2944" t="s">
        <v>1094</v>
      </c>
      <c r="B21" s="2944"/>
      <c r="C21" s="2945"/>
      <c r="D21" s="2945"/>
      <c r="E21" s="2945"/>
      <c r="F21" s="2945"/>
      <c r="G21" s="176"/>
      <c r="H21" s="176"/>
      <c r="I21" s="2945"/>
      <c r="J21" s="2945"/>
      <c r="K21" s="177"/>
      <c r="L21" s="171"/>
      <c r="M21" s="171"/>
      <c r="N21" s="171"/>
      <c r="O21" s="171"/>
      <c r="P21" s="171"/>
      <c r="Q21" s="171"/>
      <c r="R21" s="171"/>
    </row>
    <row r="22" spans="1:18" s="172" customFormat="1" ht="22.5" customHeight="1">
      <c r="A22" s="2946" t="s">
        <v>1095</v>
      </c>
      <c r="B22" s="2946"/>
      <c r="C22" s="2947"/>
      <c r="D22" s="2947"/>
      <c r="E22" s="2947"/>
      <c r="F22" s="2947"/>
      <c r="G22" s="179"/>
      <c r="H22" s="179"/>
      <c r="I22" s="2947"/>
      <c r="J22" s="2947"/>
      <c r="K22" s="180"/>
      <c r="L22" s="171"/>
      <c r="M22" s="171"/>
      <c r="N22" s="171"/>
      <c r="O22" s="171"/>
      <c r="P22" s="171"/>
      <c r="Q22" s="171"/>
      <c r="R22" s="171"/>
    </row>
    <row r="23" spans="1:18" s="172" customFormat="1" ht="22.5" customHeight="1">
      <c r="A23" s="2950" t="s">
        <v>1096</v>
      </c>
      <c r="B23" s="2950"/>
      <c r="C23" s="2951" t="s">
        <v>1097</v>
      </c>
      <c r="D23" s="2951"/>
      <c r="E23" s="2951"/>
      <c r="F23" s="2951"/>
      <c r="G23" s="2951"/>
      <c r="H23" s="2951"/>
      <c r="I23" s="2951"/>
      <c r="J23" s="2951"/>
      <c r="K23" s="2951"/>
      <c r="L23" s="171"/>
      <c r="M23" s="171"/>
      <c r="N23" s="171"/>
      <c r="O23" s="171"/>
      <c r="P23" s="171"/>
      <c r="Q23" s="171"/>
      <c r="R23" s="171"/>
    </row>
    <row r="24" spans="1:18" s="172" customFormat="1" ht="22.5" customHeight="1">
      <c r="A24" s="2940" t="s">
        <v>1098</v>
      </c>
      <c r="B24" s="2940"/>
      <c r="C24" s="2952"/>
      <c r="D24" s="2952"/>
      <c r="E24" s="2952"/>
      <c r="F24" s="2952"/>
      <c r="G24" s="2952"/>
      <c r="H24" s="2952"/>
      <c r="I24" s="2952"/>
      <c r="J24" s="2952"/>
      <c r="K24" s="2952"/>
      <c r="L24" s="171"/>
      <c r="M24" s="171"/>
      <c r="N24" s="171"/>
      <c r="O24" s="171"/>
      <c r="P24" s="171"/>
      <c r="Q24" s="171"/>
      <c r="R24" s="171"/>
    </row>
    <row r="25" spans="1:18" s="172" customFormat="1" ht="22.5" customHeight="1">
      <c r="A25" s="2948" t="s">
        <v>1099</v>
      </c>
      <c r="B25" s="2948"/>
      <c r="C25" s="2949"/>
      <c r="D25" s="2949"/>
      <c r="E25" s="2949"/>
      <c r="F25" s="2949"/>
      <c r="G25" s="2949"/>
      <c r="H25" s="2949"/>
      <c r="I25" s="2949"/>
      <c r="J25" s="2949"/>
      <c r="K25" s="2949"/>
      <c r="L25" s="171"/>
      <c r="M25" s="171"/>
      <c r="N25" s="171"/>
      <c r="O25" s="171"/>
      <c r="P25" s="171"/>
      <c r="Q25" s="171"/>
      <c r="R25" s="171"/>
    </row>
    <row r="26" spans="1:18" s="172" customFormat="1" ht="22.5" customHeight="1">
      <c r="A26" s="2944" t="s">
        <v>1100</v>
      </c>
      <c r="B26" s="2944"/>
      <c r="C26" s="2949"/>
      <c r="D26" s="2949"/>
      <c r="E26" s="2949"/>
      <c r="F26" s="2949"/>
      <c r="G26" s="2949"/>
      <c r="H26" s="2949"/>
      <c r="I26" s="2949"/>
      <c r="J26" s="2949"/>
      <c r="K26" s="2949"/>
      <c r="L26" s="171"/>
      <c r="M26" s="171"/>
      <c r="N26" s="171"/>
      <c r="O26" s="171"/>
      <c r="P26" s="171"/>
      <c r="Q26" s="171"/>
      <c r="R26" s="171"/>
    </row>
    <row r="27" spans="1:18" s="172" customFormat="1" ht="22.5" customHeight="1">
      <c r="A27" s="2948" t="s">
        <v>1101</v>
      </c>
      <c r="B27" s="2948"/>
      <c r="C27" s="2949"/>
      <c r="D27" s="2949"/>
      <c r="E27" s="2949"/>
      <c r="F27" s="2949"/>
      <c r="G27" s="2949"/>
      <c r="H27" s="2949"/>
      <c r="I27" s="2949"/>
      <c r="J27" s="2949"/>
      <c r="K27" s="2949"/>
      <c r="L27" s="171"/>
      <c r="M27" s="171"/>
      <c r="N27" s="171"/>
      <c r="O27" s="171"/>
      <c r="P27" s="171"/>
      <c r="Q27" s="171"/>
      <c r="R27" s="171"/>
    </row>
    <row r="28" spans="1:18" s="172" customFormat="1" ht="22.5" customHeight="1">
      <c r="A28" s="2948" t="s">
        <v>1102</v>
      </c>
      <c r="B28" s="2948"/>
      <c r="C28" s="2949"/>
      <c r="D28" s="2949"/>
      <c r="E28" s="2949"/>
      <c r="F28" s="2949"/>
      <c r="G28" s="2949"/>
      <c r="H28" s="2949"/>
      <c r="I28" s="2949"/>
      <c r="J28" s="2949"/>
      <c r="K28" s="2949"/>
      <c r="L28" s="171"/>
      <c r="M28" s="171"/>
      <c r="N28" s="171"/>
      <c r="O28" s="171"/>
      <c r="P28" s="171"/>
      <c r="Q28" s="171"/>
      <c r="R28" s="171"/>
    </row>
    <row r="29" spans="1:18" s="172" customFormat="1" ht="22.5" customHeight="1">
      <c r="A29" s="2948" t="s">
        <v>1103</v>
      </c>
      <c r="B29" s="2948"/>
      <c r="C29" s="2949"/>
      <c r="D29" s="2949"/>
      <c r="E29" s="2949"/>
      <c r="F29" s="2949"/>
      <c r="G29" s="2949"/>
      <c r="H29" s="2949"/>
      <c r="I29" s="2949"/>
      <c r="J29" s="2949"/>
      <c r="K29" s="2949"/>
      <c r="L29" s="171"/>
      <c r="M29" s="171"/>
      <c r="N29" s="171"/>
      <c r="O29" s="171"/>
      <c r="P29" s="171"/>
      <c r="Q29" s="171"/>
      <c r="R29" s="171"/>
    </row>
    <row r="30" spans="1:18" s="172" customFormat="1" ht="22.5" customHeight="1">
      <c r="A30" s="2948"/>
      <c r="B30" s="2948"/>
      <c r="C30" s="2949"/>
      <c r="D30" s="2949"/>
      <c r="E30" s="2949"/>
      <c r="F30" s="2949"/>
      <c r="G30" s="2949"/>
      <c r="H30" s="2949"/>
      <c r="I30" s="2949"/>
      <c r="J30" s="2949"/>
      <c r="K30" s="2949"/>
      <c r="L30" s="171"/>
      <c r="M30" s="171"/>
      <c r="N30" s="171"/>
      <c r="O30" s="171"/>
      <c r="P30" s="171"/>
      <c r="Q30" s="171"/>
      <c r="R30" s="171"/>
    </row>
    <row r="31" spans="1:18" s="172" customFormat="1" ht="22.5" customHeight="1">
      <c r="A31" s="2948"/>
      <c r="B31" s="2948"/>
      <c r="C31" s="2949"/>
      <c r="D31" s="2949"/>
      <c r="E31" s="2949"/>
      <c r="F31" s="2949"/>
      <c r="G31" s="2949"/>
      <c r="H31" s="2949"/>
      <c r="I31" s="2949"/>
      <c r="J31" s="2949"/>
      <c r="K31" s="2949"/>
      <c r="L31" s="171"/>
      <c r="M31" s="171"/>
      <c r="N31" s="171"/>
      <c r="O31" s="171"/>
      <c r="P31" s="171"/>
      <c r="Q31" s="171"/>
      <c r="R31" s="171"/>
    </row>
    <row r="32" spans="1:18" s="172" customFormat="1" ht="22.5" customHeight="1">
      <c r="A32" s="2948"/>
      <c r="B32" s="2948"/>
      <c r="C32" s="2949"/>
      <c r="D32" s="2949"/>
      <c r="E32" s="2949"/>
      <c r="F32" s="2949"/>
      <c r="G32" s="2949"/>
      <c r="H32" s="2949"/>
      <c r="I32" s="2949"/>
      <c r="J32" s="2949"/>
      <c r="K32" s="2949"/>
      <c r="L32" s="171"/>
      <c r="M32" s="171"/>
      <c r="N32" s="171"/>
      <c r="O32" s="171"/>
      <c r="P32" s="171"/>
      <c r="Q32" s="171"/>
      <c r="R32" s="171"/>
    </row>
    <row r="33" spans="1:18" s="172" customFormat="1" ht="22.5" customHeight="1">
      <c r="A33" s="2948"/>
      <c r="B33" s="2948"/>
      <c r="C33" s="2725"/>
      <c r="D33" s="2725"/>
      <c r="E33" s="2725"/>
      <c r="F33" s="2725"/>
      <c r="G33" s="2725"/>
      <c r="H33" s="2725"/>
      <c r="I33" s="2725"/>
      <c r="J33" s="2725"/>
      <c r="K33" s="2725"/>
      <c r="L33" s="171"/>
      <c r="M33" s="171"/>
      <c r="N33" s="171"/>
      <c r="O33" s="171"/>
      <c r="P33" s="171"/>
      <c r="Q33" s="171"/>
      <c r="R33" s="171"/>
    </row>
    <row r="34" spans="1:18" ht="22.5" customHeight="1">
      <c r="A34" s="169" t="s">
        <v>1104</v>
      </c>
      <c r="B34" s="169"/>
      <c r="C34" s="169"/>
      <c r="D34" s="169"/>
      <c r="E34" s="169"/>
      <c r="F34" s="169"/>
      <c r="G34" s="169"/>
      <c r="H34" s="169"/>
      <c r="I34" s="169"/>
      <c r="J34" s="169"/>
      <c r="K34" s="169"/>
    </row>
  </sheetData>
  <sheetProtection selectLockedCells="1" selectUnlockedCells="1"/>
  <mergeCells count="98">
    <mergeCell ref="A33:B33"/>
    <mergeCell ref="C33:K33"/>
    <mergeCell ref="A30:B30"/>
    <mergeCell ref="C30:K30"/>
    <mergeCell ref="A32:B32"/>
    <mergeCell ref="C32:K32"/>
    <mergeCell ref="A31:B31"/>
    <mergeCell ref="C31:K3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9:B9"/>
    <mergeCell ref="C9:D9"/>
    <mergeCell ref="E9:F9"/>
    <mergeCell ref="I9:J9"/>
    <mergeCell ref="A7:B8"/>
    <mergeCell ref="C7:G7"/>
    <mergeCell ref="H7:K7"/>
    <mergeCell ref="C8:D8"/>
    <mergeCell ref="E8:F8"/>
    <mergeCell ref="I8:J8"/>
    <mergeCell ref="A6:K6"/>
    <mergeCell ref="A1:K1"/>
    <mergeCell ref="A3:A4"/>
    <mergeCell ref="B3:B4"/>
    <mergeCell ref="C3:D3"/>
    <mergeCell ref="E3:G3"/>
    <mergeCell ref="H3:J3"/>
    <mergeCell ref="C4:D4"/>
    <mergeCell ref="E4:G4"/>
    <mergeCell ref="H4:J4"/>
    <mergeCell ref="K4:K5"/>
    <mergeCell ref="C5:D5"/>
    <mergeCell ref="E5:G5"/>
    <mergeCell ref="H5:J5"/>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5.6"/>
  <cols>
    <col min="1" max="1" width="4.8984375" customWidth="1"/>
    <col min="2" max="2" width="7.69921875" customWidth="1"/>
    <col min="6" max="6" width="9.5" customWidth="1"/>
    <col min="7" max="7" width="9.19921875" customWidth="1"/>
    <col min="8" max="8" width="3.5" customWidth="1"/>
    <col min="9" max="9" width="4.09765625" customWidth="1"/>
    <col min="10" max="10" width="3.8984375" customWidth="1"/>
    <col min="11" max="11" width="6.09765625" customWidth="1"/>
    <col min="12" max="12" width="3.5" customWidth="1"/>
    <col min="13" max="13" width="2.19921875" customWidth="1"/>
    <col min="14" max="14" width="4.8984375" customWidth="1"/>
  </cols>
  <sheetData>
    <row r="1" spans="1:21" ht="14.25" customHeight="1">
      <c r="A1" s="2953" t="s">
        <v>1105</v>
      </c>
      <c r="B1" s="2953"/>
      <c r="C1" s="2953"/>
      <c r="D1" s="2953"/>
      <c r="E1" s="2953"/>
      <c r="F1" s="2953"/>
      <c r="G1" s="2953"/>
      <c r="H1" s="2953"/>
      <c r="I1" s="2953"/>
      <c r="J1" s="2953"/>
      <c r="K1" s="2953"/>
      <c r="L1" s="2953"/>
      <c r="M1" s="2953"/>
      <c r="N1" s="2953"/>
      <c r="O1" s="84"/>
      <c r="P1" s="84"/>
      <c r="Q1" s="84"/>
      <c r="R1" s="84"/>
      <c r="S1" s="84"/>
      <c r="T1" s="84"/>
      <c r="U1" s="84"/>
    </row>
    <row r="2" spans="1:21" ht="14.25" customHeight="1">
      <c r="A2" s="2953"/>
      <c r="B2" s="2953"/>
      <c r="C2" s="2953"/>
      <c r="D2" s="2953"/>
      <c r="E2" s="2953"/>
      <c r="F2" s="2953"/>
      <c r="G2" s="2953"/>
      <c r="H2" s="2953"/>
      <c r="I2" s="2953"/>
      <c r="J2" s="2953"/>
      <c r="K2" s="2953"/>
      <c r="L2" s="2953"/>
      <c r="M2" s="2953"/>
      <c r="N2" s="2953"/>
      <c r="O2" s="84"/>
      <c r="P2" s="84"/>
      <c r="Q2" s="84"/>
      <c r="R2" s="84"/>
      <c r="S2" s="84"/>
      <c r="T2" s="84"/>
      <c r="U2" s="84"/>
    </row>
    <row r="3" spans="1:21">
      <c r="A3" s="2954"/>
      <c r="B3" s="2954"/>
      <c r="C3" s="2954"/>
      <c r="D3" s="2954"/>
      <c r="E3" s="2954"/>
      <c r="F3" s="2954"/>
      <c r="G3" s="2954"/>
      <c r="H3" s="181"/>
      <c r="I3" s="181"/>
      <c r="J3" s="181"/>
      <c r="K3" s="2955" t="s">
        <v>283</v>
      </c>
      <c r="L3" s="2955"/>
      <c r="M3" s="2956" t="str">
        <f>档案索引!A28</f>
        <v>2A-8</v>
      </c>
      <c r="N3" s="2956"/>
      <c r="O3" s="84"/>
      <c r="P3" s="84"/>
      <c r="Q3" s="84"/>
      <c r="R3" s="84"/>
      <c r="S3" s="84"/>
      <c r="T3" s="84"/>
      <c r="U3" s="84"/>
    </row>
    <row r="4" spans="1:21">
      <c r="A4" s="2970" t="str">
        <f>"委托单位名称："&amp;基本情况!B2</f>
        <v>委托单位名称：0</v>
      </c>
      <c r="B4" s="2970"/>
      <c r="C4" s="2970"/>
      <c r="D4" s="2970"/>
      <c r="E4" s="2970"/>
      <c r="F4" s="2966" t="str">
        <f>"会计期间："&amp;IF(OR(基本情况!B6&lt;&gt;"12月31日",基本情况!F5&lt;&gt;"01",基本情况!G5&lt;&gt;"01"),基本情况!B7,基本情况!B4&amp;"年度")</f>
        <v>会计期间：2016年度</v>
      </c>
      <c r="G4" s="2966"/>
      <c r="H4" s="2966"/>
      <c r="I4" s="2966"/>
      <c r="J4" s="2966"/>
      <c r="K4" s="2966"/>
      <c r="L4" s="2966"/>
      <c r="M4" s="2966"/>
      <c r="N4" s="2967" t="s">
        <v>455</v>
      </c>
      <c r="O4" s="84"/>
      <c r="P4" s="84"/>
      <c r="Q4" s="84"/>
      <c r="R4" s="84"/>
      <c r="S4" s="84"/>
      <c r="T4" s="84"/>
      <c r="U4" s="84"/>
    </row>
    <row r="5" spans="1:21">
      <c r="A5" s="2958" t="s">
        <v>1106</v>
      </c>
      <c r="B5" s="2958"/>
      <c r="C5" s="2958"/>
      <c r="D5" s="2958"/>
      <c r="E5" s="2958"/>
      <c r="F5" s="2958"/>
      <c r="G5" s="2960" t="s">
        <v>1107</v>
      </c>
      <c r="H5" s="2960"/>
      <c r="I5" s="2960"/>
      <c r="J5" s="2960"/>
      <c r="K5" s="2960"/>
      <c r="L5" s="2960"/>
      <c r="M5" s="2960"/>
      <c r="N5" s="2967"/>
      <c r="O5" s="84"/>
      <c r="P5" s="84"/>
      <c r="Q5" s="84"/>
      <c r="R5" s="84"/>
      <c r="S5" s="84"/>
      <c r="T5" s="84"/>
      <c r="U5" s="84"/>
    </row>
    <row r="6" spans="1:21" ht="14.25" customHeight="1">
      <c r="A6" s="2971" t="s">
        <v>1108</v>
      </c>
      <c r="B6" s="2968" t="s">
        <v>1109</v>
      </c>
      <c r="C6" s="2968"/>
      <c r="D6" s="2968"/>
      <c r="E6" s="2968"/>
      <c r="F6" s="2968"/>
      <c r="G6" s="182" t="s">
        <v>1110</v>
      </c>
      <c r="H6" s="183"/>
      <c r="I6" s="2965" t="s">
        <v>1111</v>
      </c>
      <c r="J6" s="2965"/>
      <c r="K6" s="2965"/>
      <c r="L6" s="2965"/>
      <c r="M6" s="2965"/>
      <c r="N6" s="185"/>
      <c r="O6" s="84"/>
      <c r="P6" s="84"/>
      <c r="Q6" s="84"/>
      <c r="R6" s="84"/>
      <c r="S6" s="84"/>
      <c r="T6" s="84"/>
      <c r="U6" s="84"/>
    </row>
    <row r="7" spans="1:21" ht="14.25" customHeight="1">
      <c r="A7" s="2971"/>
      <c r="B7" s="2968"/>
      <c r="C7" s="2968"/>
      <c r="D7" s="2968"/>
      <c r="E7" s="2968"/>
      <c r="F7" s="2968"/>
      <c r="G7" s="186" t="s">
        <v>1112</v>
      </c>
      <c r="H7" s="187"/>
      <c r="I7" s="188"/>
      <c r="J7" s="2969" t="s">
        <v>1111</v>
      </c>
      <c r="K7" s="2969"/>
      <c r="L7" s="2969"/>
      <c r="M7" s="2969"/>
      <c r="N7" s="185"/>
      <c r="O7" s="84"/>
      <c r="P7" s="84"/>
      <c r="Q7" s="84"/>
      <c r="R7" s="84"/>
      <c r="S7" s="84"/>
      <c r="T7" s="84"/>
      <c r="U7" s="84"/>
    </row>
    <row r="8" spans="1:21">
      <c r="A8" s="2971"/>
      <c r="B8" s="2974" t="s">
        <v>1113</v>
      </c>
      <c r="C8" s="2974"/>
      <c r="D8" s="2974"/>
      <c r="E8" s="2974"/>
      <c r="F8" s="2974"/>
      <c r="G8" s="189" t="s">
        <v>1114</v>
      </c>
      <c r="H8" s="190"/>
      <c r="I8" s="2962" t="s">
        <v>1111</v>
      </c>
      <c r="J8" s="2962"/>
      <c r="K8" s="191" t="s">
        <v>1115</v>
      </c>
      <c r="L8" s="190"/>
      <c r="M8" s="191" t="s">
        <v>1111</v>
      </c>
      <c r="N8" s="185"/>
      <c r="O8" s="84"/>
      <c r="P8" s="84"/>
      <c r="Q8" s="84"/>
      <c r="R8" s="84"/>
      <c r="S8" s="84"/>
      <c r="T8" s="84"/>
      <c r="U8" s="84"/>
    </row>
    <row r="9" spans="1:21">
      <c r="A9" s="2971"/>
      <c r="B9" s="2961" t="s">
        <v>1116</v>
      </c>
      <c r="C9" s="2961"/>
      <c r="D9" s="2961"/>
      <c r="E9" s="2961"/>
      <c r="F9" s="2961"/>
      <c r="G9" s="189" t="s">
        <v>1117</v>
      </c>
      <c r="H9" s="190"/>
      <c r="I9" s="2962" t="s">
        <v>1111</v>
      </c>
      <c r="J9" s="2962"/>
      <c r="K9" s="191" t="s">
        <v>1118</v>
      </c>
      <c r="L9" s="190"/>
      <c r="M9" s="191" t="s">
        <v>1111</v>
      </c>
      <c r="N9" s="185"/>
      <c r="O9" s="84"/>
      <c r="P9" s="178"/>
      <c r="Q9" s="84"/>
      <c r="R9" s="84"/>
      <c r="S9" s="84"/>
      <c r="T9" s="84"/>
      <c r="U9" s="84"/>
    </row>
    <row r="10" spans="1:21" ht="15.15" customHeight="1">
      <c r="A10" s="2971"/>
      <c r="B10" s="2964" t="s">
        <v>1119</v>
      </c>
      <c r="C10" s="2964"/>
      <c r="D10" s="2964"/>
      <c r="E10" s="2964"/>
      <c r="F10" s="2964"/>
      <c r="G10" s="192" t="s">
        <v>1120</v>
      </c>
      <c r="H10" s="193"/>
      <c r="I10" s="2963" t="s">
        <v>1111</v>
      </c>
      <c r="J10" s="2963"/>
      <c r="K10" s="194" t="s">
        <v>1121</v>
      </c>
      <c r="L10" s="183"/>
      <c r="M10" s="184" t="s">
        <v>1111</v>
      </c>
      <c r="N10" s="185"/>
      <c r="O10" s="84"/>
      <c r="P10" s="178"/>
      <c r="Q10" s="84"/>
      <c r="R10" s="84"/>
      <c r="S10" s="84"/>
      <c r="T10" s="84"/>
      <c r="U10" s="84"/>
    </row>
    <row r="11" spans="1:21">
      <c r="A11" s="2971"/>
      <c r="B11" s="2964"/>
      <c r="C11" s="2964"/>
      <c r="D11" s="2964"/>
      <c r="E11" s="2964"/>
      <c r="F11" s="2964"/>
      <c r="G11" s="192" t="s">
        <v>1122</v>
      </c>
      <c r="H11" s="195"/>
      <c r="I11" s="195"/>
      <c r="J11" s="195"/>
      <c r="K11" s="193"/>
      <c r="L11" s="2959" t="s">
        <v>1111</v>
      </c>
      <c r="M11" s="2959"/>
      <c r="N11" s="185"/>
      <c r="O11" s="84"/>
      <c r="P11" s="178"/>
      <c r="Q11" s="84"/>
      <c r="R11" s="84"/>
      <c r="S11" s="84"/>
      <c r="T11" s="84"/>
      <c r="U11" s="84"/>
    </row>
    <row r="12" spans="1:21">
      <c r="A12" s="2971"/>
      <c r="B12" s="2964"/>
      <c r="C12" s="2964"/>
      <c r="D12" s="2964"/>
      <c r="E12" s="2964"/>
      <c r="F12" s="2964"/>
      <c r="G12" s="186" t="s">
        <v>1123</v>
      </c>
      <c r="H12" s="187"/>
      <c r="I12" s="187"/>
      <c r="J12" s="187"/>
      <c r="K12" s="188"/>
      <c r="L12" s="2969" t="s">
        <v>1111</v>
      </c>
      <c r="M12" s="2969"/>
      <c r="N12" s="185"/>
      <c r="O12" s="84"/>
      <c r="P12" s="178"/>
      <c r="Q12" s="84"/>
      <c r="R12" s="84"/>
      <c r="S12" s="84"/>
      <c r="T12" s="84"/>
      <c r="U12" s="84"/>
    </row>
    <row r="13" spans="1:21" ht="23.85" customHeight="1">
      <c r="A13" s="2971"/>
      <c r="B13" s="2973" t="s">
        <v>1124</v>
      </c>
      <c r="C13" s="2973"/>
      <c r="D13" s="2973"/>
      <c r="E13" s="2973"/>
      <c r="F13" s="2973"/>
      <c r="G13" s="189" t="s">
        <v>1114</v>
      </c>
      <c r="H13" s="190"/>
      <c r="I13" s="2962" t="s">
        <v>1111</v>
      </c>
      <c r="J13" s="2962"/>
      <c r="K13" s="191" t="s">
        <v>1115</v>
      </c>
      <c r="L13" s="190"/>
      <c r="M13" s="191" t="s">
        <v>1111</v>
      </c>
      <c r="N13" s="185"/>
      <c r="O13" s="84"/>
      <c r="P13" s="178"/>
      <c r="Q13" s="84"/>
      <c r="R13" s="84"/>
      <c r="S13" s="84"/>
      <c r="T13" s="84"/>
      <c r="U13" s="84"/>
    </row>
    <row r="14" spans="1:21" ht="14.25" customHeight="1">
      <c r="A14" s="2971"/>
      <c r="B14" s="2964" t="s">
        <v>1125</v>
      </c>
      <c r="C14" s="2964"/>
      <c r="D14" s="2964"/>
      <c r="E14" s="2964"/>
      <c r="F14" s="2964"/>
      <c r="G14" s="182" t="s">
        <v>1117</v>
      </c>
      <c r="H14" s="183"/>
      <c r="I14" s="2965" t="s">
        <v>1111</v>
      </c>
      <c r="J14" s="2965"/>
      <c r="K14" s="2965"/>
      <c r="L14" s="2965"/>
      <c r="M14" s="2965"/>
      <c r="N14" s="185"/>
      <c r="O14" s="84"/>
      <c r="P14" s="178"/>
      <c r="Q14" s="84"/>
      <c r="R14" s="84"/>
      <c r="S14" s="84"/>
      <c r="T14" s="84"/>
      <c r="U14" s="84"/>
    </row>
    <row r="15" spans="1:21" ht="14.25" customHeight="1">
      <c r="A15" s="2971"/>
      <c r="B15" s="2964"/>
      <c r="C15" s="2964"/>
      <c r="D15" s="2964"/>
      <c r="E15" s="2964"/>
      <c r="F15" s="2964"/>
      <c r="G15" s="2976"/>
      <c r="H15" s="2976"/>
      <c r="I15" s="2976"/>
      <c r="J15" s="2976"/>
      <c r="K15" s="2976"/>
      <c r="L15" s="2976"/>
      <c r="M15" s="2976"/>
      <c r="N15" s="185"/>
      <c r="O15" s="84"/>
      <c r="P15" s="178"/>
      <c r="Q15" s="84"/>
      <c r="R15" s="84"/>
      <c r="S15" s="84"/>
      <c r="T15" s="84"/>
      <c r="U15" s="84"/>
    </row>
    <row r="16" spans="1:21">
      <c r="A16" s="2971"/>
      <c r="B16" s="2964"/>
      <c r="C16" s="2964"/>
      <c r="D16" s="2964"/>
      <c r="E16" s="2964"/>
      <c r="F16" s="2964"/>
      <c r="G16" s="192" t="s">
        <v>1115</v>
      </c>
      <c r="H16" s="193"/>
      <c r="I16" s="2959" t="s">
        <v>1111</v>
      </c>
      <c r="J16" s="2959"/>
      <c r="K16" s="2959"/>
      <c r="L16" s="2959"/>
      <c r="M16" s="2959"/>
      <c r="N16" s="185"/>
      <c r="O16" s="84"/>
      <c r="P16" s="84"/>
      <c r="Q16" s="84"/>
      <c r="R16" s="84"/>
      <c r="S16" s="84"/>
      <c r="T16" s="84"/>
      <c r="U16" s="84"/>
    </row>
    <row r="17" spans="1:21" ht="14.25" customHeight="1">
      <c r="A17" s="2971"/>
      <c r="B17" s="2964"/>
      <c r="C17" s="2964"/>
      <c r="D17" s="2964"/>
      <c r="E17" s="2964"/>
      <c r="F17" s="2964"/>
      <c r="G17" s="2977"/>
      <c r="H17" s="2977"/>
      <c r="I17" s="2977"/>
      <c r="J17" s="2977"/>
      <c r="K17" s="2977"/>
      <c r="L17" s="2977"/>
      <c r="M17" s="2977"/>
      <c r="N17" s="185"/>
      <c r="O17" s="84"/>
      <c r="P17" s="84"/>
      <c r="Q17" s="84"/>
      <c r="R17" s="84"/>
      <c r="S17" s="84"/>
      <c r="T17" s="84"/>
      <c r="U17" s="84"/>
    </row>
    <row r="18" spans="1:21" ht="15.15" customHeight="1">
      <c r="A18" s="2971"/>
      <c r="B18" s="2964" t="s">
        <v>1126</v>
      </c>
      <c r="C18" s="2964"/>
      <c r="D18" s="2964"/>
      <c r="E18" s="2964"/>
      <c r="F18" s="2964"/>
      <c r="G18" s="197" t="s">
        <v>1127</v>
      </c>
      <c r="H18" s="198"/>
      <c r="I18" s="199"/>
      <c r="J18" s="198" t="s">
        <v>1128</v>
      </c>
      <c r="K18" s="198"/>
      <c r="L18" s="199"/>
      <c r="M18" s="200" t="s">
        <v>1111</v>
      </c>
      <c r="N18" s="201"/>
      <c r="O18" s="84"/>
      <c r="P18" s="84"/>
      <c r="Q18" s="84"/>
      <c r="R18" s="84"/>
      <c r="S18" s="84"/>
      <c r="T18" s="84"/>
      <c r="U18" s="84"/>
    </row>
    <row r="19" spans="1:21">
      <c r="A19" s="2971"/>
      <c r="B19" s="2964"/>
      <c r="C19" s="2964"/>
      <c r="D19" s="2964"/>
      <c r="E19" s="2964"/>
      <c r="F19" s="2964"/>
      <c r="G19" s="2975"/>
      <c r="H19" s="2975"/>
      <c r="I19" s="2975"/>
      <c r="J19" s="203" t="s">
        <v>1129</v>
      </c>
      <c r="K19" s="203"/>
      <c r="L19" s="204"/>
      <c r="M19" s="200" t="s">
        <v>1111</v>
      </c>
      <c r="N19" s="201"/>
      <c r="O19" s="84"/>
      <c r="P19" s="84"/>
      <c r="Q19" s="84"/>
      <c r="R19" s="84"/>
      <c r="S19" s="84"/>
      <c r="T19" s="84"/>
      <c r="U19" s="84"/>
    </row>
    <row r="20" spans="1:21">
      <c r="A20" s="2971"/>
      <c r="B20" s="2964"/>
      <c r="C20" s="2964"/>
      <c r="D20" s="2964"/>
      <c r="E20" s="2964"/>
      <c r="F20" s="2964"/>
      <c r="G20" s="186" t="s">
        <v>1130</v>
      </c>
      <c r="H20" s="187"/>
      <c r="I20" s="204"/>
      <c r="J20" s="2969" t="s">
        <v>1111</v>
      </c>
      <c r="K20" s="2969"/>
      <c r="L20" s="2969"/>
      <c r="M20" s="2969"/>
      <c r="N20" s="185"/>
      <c r="O20" s="84"/>
      <c r="P20" s="84"/>
      <c r="Q20" s="84"/>
      <c r="R20" s="84"/>
      <c r="S20" s="84"/>
      <c r="T20" s="84"/>
      <c r="U20" s="84"/>
    </row>
    <row r="21" spans="1:21" ht="27.75" customHeight="1">
      <c r="A21" s="2971"/>
      <c r="B21" s="2972" t="s">
        <v>125</v>
      </c>
      <c r="C21" s="2972"/>
      <c r="D21" s="2972"/>
      <c r="E21" s="2972"/>
      <c r="F21" s="2972"/>
      <c r="G21" s="205" t="s">
        <v>126</v>
      </c>
      <c r="H21" s="206"/>
      <c r="I21" s="2957" t="s">
        <v>1111</v>
      </c>
      <c r="J21" s="2957"/>
      <c r="K21" s="207" t="s">
        <v>1118</v>
      </c>
      <c r="L21" s="206"/>
      <c r="M21" s="208" t="s">
        <v>1111</v>
      </c>
      <c r="N21" s="185"/>
      <c r="O21" s="84"/>
      <c r="P21" s="84"/>
      <c r="Q21" s="84"/>
      <c r="R21" s="84"/>
      <c r="S21" s="84"/>
      <c r="T21" s="84"/>
      <c r="U21" s="84"/>
    </row>
    <row r="22" spans="1:21" ht="15.15" customHeight="1">
      <c r="A22" s="2981" t="s">
        <v>127</v>
      </c>
      <c r="B22" s="2982" t="s">
        <v>128</v>
      </c>
      <c r="C22" s="2982"/>
      <c r="D22" s="2982"/>
      <c r="E22" s="2982"/>
      <c r="F22" s="2982"/>
      <c r="G22" s="189" t="s">
        <v>126</v>
      </c>
      <c r="H22" s="190"/>
      <c r="I22" s="2962" t="s">
        <v>1111</v>
      </c>
      <c r="J22" s="2962"/>
      <c r="K22" s="191" t="s">
        <v>1118</v>
      </c>
      <c r="L22" s="190"/>
      <c r="M22" s="184" t="s">
        <v>1111</v>
      </c>
      <c r="N22" s="185"/>
      <c r="O22" s="84"/>
      <c r="P22" s="84"/>
      <c r="Q22" s="84"/>
      <c r="R22" s="84"/>
      <c r="S22" s="84"/>
      <c r="T22" s="84"/>
      <c r="U22" s="84"/>
    </row>
    <row r="23" spans="1:21">
      <c r="A23" s="2981"/>
      <c r="B23" s="2983" t="s">
        <v>129</v>
      </c>
      <c r="C23" s="2983"/>
      <c r="D23" s="2983"/>
      <c r="E23" s="2983"/>
      <c r="F23" s="2983"/>
      <c r="G23" s="189" t="s">
        <v>126</v>
      </c>
      <c r="H23" s="190"/>
      <c r="I23" s="2962" t="s">
        <v>1111</v>
      </c>
      <c r="J23" s="2962"/>
      <c r="K23" s="191" t="s">
        <v>1118</v>
      </c>
      <c r="L23" s="190"/>
      <c r="M23" s="184" t="s">
        <v>1111</v>
      </c>
      <c r="N23" s="185"/>
      <c r="O23" s="84"/>
      <c r="P23" s="84"/>
      <c r="Q23" s="84"/>
      <c r="R23" s="84"/>
      <c r="S23" s="84"/>
      <c r="T23" s="84"/>
      <c r="U23" s="84"/>
    </row>
    <row r="24" spans="1:21">
      <c r="A24" s="2981"/>
      <c r="B24" s="2974" t="s">
        <v>130</v>
      </c>
      <c r="C24" s="2974"/>
      <c r="D24" s="2974"/>
      <c r="E24" s="2974"/>
      <c r="F24" s="2974"/>
      <c r="G24" s="189" t="s">
        <v>126</v>
      </c>
      <c r="H24" s="190"/>
      <c r="I24" s="2962" t="s">
        <v>1111</v>
      </c>
      <c r="J24" s="2962"/>
      <c r="K24" s="191" t="s">
        <v>1118</v>
      </c>
      <c r="L24" s="190"/>
      <c r="M24" s="184" t="s">
        <v>1111</v>
      </c>
      <c r="N24" s="185"/>
      <c r="O24" s="84"/>
      <c r="P24" s="84"/>
      <c r="Q24" s="84"/>
      <c r="R24" s="84"/>
      <c r="S24" s="84"/>
      <c r="T24" s="84"/>
      <c r="U24" s="84"/>
    </row>
    <row r="25" spans="1:21" ht="15.15" customHeight="1">
      <c r="A25" s="2971" t="s">
        <v>131</v>
      </c>
      <c r="B25" s="2972" t="s">
        <v>132</v>
      </c>
      <c r="C25" s="2972"/>
      <c r="D25" s="2972"/>
      <c r="E25" s="2972"/>
      <c r="F25" s="2972"/>
      <c r="G25" s="209" t="s">
        <v>133</v>
      </c>
      <c r="H25" s="190"/>
      <c r="I25" s="210" t="s">
        <v>1111</v>
      </c>
      <c r="J25" s="210" t="s">
        <v>134</v>
      </c>
      <c r="K25" s="210"/>
      <c r="L25" s="190"/>
      <c r="M25" s="184" t="s">
        <v>1111</v>
      </c>
      <c r="N25" s="201"/>
      <c r="O25" s="84"/>
      <c r="P25" s="84"/>
      <c r="Q25" s="84"/>
      <c r="R25" s="84"/>
      <c r="S25" s="84"/>
      <c r="T25" s="84"/>
      <c r="U25" s="84"/>
    </row>
    <row r="26" spans="1:21">
      <c r="A26" s="2971"/>
      <c r="B26" s="2961" t="s">
        <v>135</v>
      </c>
      <c r="C26" s="2961"/>
      <c r="D26" s="2961"/>
      <c r="E26" s="2961"/>
      <c r="F26" s="2961"/>
      <c r="G26" s="209" t="s">
        <v>133</v>
      </c>
      <c r="H26" s="190"/>
      <c r="I26" s="210" t="s">
        <v>1111</v>
      </c>
      <c r="J26" s="210" t="s">
        <v>134</v>
      </c>
      <c r="K26" s="191"/>
      <c r="L26" s="190"/>
      <c r="M26" s="184" t="s">
        <v>1111</v>
      </c>
      <c r="N26" s="185"/>
      <c r="O26" s="84"/>
      <c r="P26" s="84"/>
      <c r="Q26" s="84"/>
      <c r="R26" s="84"/>
      <c r="S26" s="84"/>
      <c r="T26" s="84"/>
      <c r="U26" s="84"/>
    </row>
    <row r="27" spans="1:21">
      <c r="A27" s="2971"/>
      <c r="B27" s="2974" t="s">
        <v>136</v>
      </c>
      <c r="C27" s="2974"/>
      <c r="D27" s="2974"/>
      <c r="E27" s="2974"/>
      <c r="F27" s="2974"/>
      <c r="G27" s="189" t="s">
        <v>126</v>
      </c>
      <c r="H27" s="190"/>
      <c r="I27" s="2962" t="s">
        <v>1111</v>
      </c>
      <c r="J27" s="2962"/>
      <c r="K27" s="191" t="s">
        <v>1118</v>
      </c>
      <c r="L27" s="190"/>
      <c r="M27" s="184" t="s">
        <v>1111</v>
      </c>
      <c r="N27" s="185"/>
      <c r="O27" s="84"/>
      <c r="P27" s="84"/>
      <c r="Q27" s="84"/>
      <c r="R27" s="84"/>
      <c r="S27" s="84"/>
      <c r="T27" s="84"/>
      <c r="U27" s="84"/>
    </row>
    <row r="28" spans="1:21" ht="15.15" customHeight="1">
      <c r="A28" s="2971"/>
      <c r="B28" s="2968" t="s">
        <v>137</v>
      </c>
      <c r="C28" s="2968"/>
      <c r="D28" s="2968"/>
      <c r="E28" s="2968"/>
      <c r="F28" s="2968"/>
      <c r="G28" s="182" t="s">
        <v>138</v>
      </c>
      <c r="H28" s="194"/>
      <c r="I28" s="194"/>
      <c r="J28" s="183"/>
      <c r="K28" s="2965" t="s">
        <v>1111</v>
      </c>
      <c r="L28" s="2965"/>
      <c r="M28" s="2965"/>
      <c r="N28" s="185"/>
      <c r="O28" s="84"/>
      <c r="P28" s="84"/>
      <c r="Q28" s="84"/>
      <c r="R28" s="84"/>
      <c r="S28" s="84"/>
      <c r="T28" s="84"/>
      <c r="U28" s="84"/>
    </row>
    <row r="29" spans="1:21">
      <c r="A29" s="2971"/>
      <c r="B29" s="2968"/>
      <c r="C29" s="2968"/>
      <c r="D29" s="2968"/>
      <c r="E29" s="2968"/>
      <c r="F29" s="2968"/>
      <c r="G29" s="186" t="s">
        <v>139</v>
      </c>
      <c r="H29" s="187"/>
      <c r="I29" s="187"/>
      <c r="J29" s="188"/>
      <c r="K29" s="2969" t="s">
        <v>1111</v>
      </c>
      <c r="L29" s="2969"/>
      <c r="M29" s="2969"/>
      <c r="N29" s="185"/>
      <c r="O29" s="84"/>
      <c r="P29" s="84"/>
      <c r="Q29" s="84"/>
      <c r="R29" s="84"/>
      <c r="S29" s="84"/>
      <c r="T29" s="84"/>
      <c r="U29" s="84"/>
    </row>
    <row r="30" spans="1:21" ht="15.15" customHeight="1">
      <c r="A30" s="2971"/>
      <c r="B30" s="2968" t="s">
        <v>140</v>
      </c>
      <c r="C30" s="2968"/>
      <c r="D30" s="2968"/>
      <c r="E30" s="2968"/>
      <c r="F30" s="2968"/>
      <c r="G30" s="197" t="s">
        <v>141</v>
      </c>
      <c r="H30" s="198"/>
      <c r="I30" s="198"/>
      <c r="J30" s="183"/>
      <c r="K30" s="2979" t="s">
        <v>1111</v>
      </c>
      <c r="L30" s="2979"/>
      <c r="M30" s="2979"/>
      <c r="N30" s="201"/>
      <c r="O30" s="84"/>
      <c r="P30" s="84"/>
      <c r="Q30" s="84"/>
      <c r="R30" s="84"/>
      <c r="S30" s="84"/>
      <c r="T30" s="84"/>
      <c r="U30" s="84"/>
    </row>
    <row r="31" spans="1:21">
      <c r="A31" s="2971"/>
      <c r="B31" s="2968"/>
      <c r="C31" s="2968"/>
      <c r="D31" s="2968"/>
      <c r="E31" s="2968"/>
      <c r="F31" s="2968"/>
      <c r="G31" s="202" t="s">
        <v>142</v>
      </c>
      <c r="H31" s="193"/>
      <c r="I31" s="195" t="s">
        <v>143</v>
      </c>
      <c r="J31" s="203"/>
      <c r="K31" s="204"/>
      <c r="L31" s="2980" t="s">
        <v>1111</v>
      </c>
      <c r="M31" s="2980"/>
      <c r="N31" s="201"/>
      <c r="O31" s="84"/>
      <c r="P31" s="84"/>
      <c r="Q31" s="84"/>
      <c r="R31" s="84"/>
      <c r="S31" s="84"/>
      <c r="T31" s="84"/>
      <c r="U31" s="84"/>
    </row>
    <row r="32" spans="1:21">
      <c r="A32" s="2971"/>
      <c r="B32" s="2968"/>
      <c r="C32" s="2968"/>
      <c r="D32" s="2968"/>
      <c r="E32" s="2968"/>
      <c r="F32" s="2968"/>
      <c r="G32" s="186" t="s">
        <v>144</v>
      </c>
      <c r="H32" s="188"/>
      <c r="I32" s="2969" t="s">
        <v>1111</v>
      </c>
      <c r="J32" s="2969"/>
      <c r="K32" s="2969"/>
      <c r="L32" s="2969"/>
      <c r="M32" s="2969"/>
      <c r="N32" s="185"/>
      <c r="O32" s="84"/>
      <c r="P32" s="84"/>
      <c r="Q32" s="84"/>
      <c r="R32" s="84"/>
      <c r="S32" s="84"/>
      <c r="T32" s="84"/>
      <c r="U32" s="84"/>
    </row>
    <row r="33" spans="1:21" ht="26.25" customHeight="1">
      <c r="A33" s="2981" t="s">
        <v>145</v>
      </c>
      <c r="B33" s="2990" t="s">
        <v>146</v>
      </c>
      <c r="C33" s="2990"/>
      <c r="D33" s="2990"/>
      <c r="E33" s="2990"/>
      <c r="F33" s="2990"/>
      <c r="G33" s="205" t="s">
        <v>147</v>
      </c>
      <c r="H33" s="211"/>
      <c r="I33" s="207" t="s">
        <v>148</v>
      </c>
      <c r="J33" s="207"/>
      <c r="K33" s="211"/>
      <c r="L33" s="2991" t="s">
        <v>1111</v>
      </c>
      <c r="M33" s="2991"/>
      <c r="N33" s="185"/>
      <c r="O33" s="84"/>
      <c r="P33" s="84"/>
      <c r="Q33" s="84"/>
      <c r="R33" s="84"/>
      <c r="S33" s="84"/>
      <c r="T33" s="84"/>
      <c r="U33" s="84"/>
    </row>
    <row r="34" spans="1:21" ht="12.75" customHeight="1">
      <c r="A34" s="2981"/>
      <c r="B34" s="2964" t="s">
        <v>149</v>
      </c>
      <c r="C34" s="2964"/>
      <c r="D34" s="2964"/>
      <c r="E34" s="2964"/>
      <c r="F34" s="2964"/>
      <c r="G34" s="212" t="s">
        <v>150</v>
      </c>
      <c r="H34" s="213"/>
      <c r="I34" s="183"/>
      <c r="J34" s="2985" t="s">
        <v>1111</v>
      </c>
      <c r="K34" s="2985"/>
      <c r="L34" s="2985"/>
      <c r="M34" s="2985"/>
      <c r="N34" s="214"/>
      <c r="O34" s="84"/>
      <c r="P34" s="84"/>
      <c r="Q34" s="84"/>
      <c r="R34" s="84"/>
      <c r="S34" s="84"/>
      <c r="T34" s="84"/>
      <c r="U34" s="84"/>
    </row>
    <row r="35" spans="1:21" ht="12.75" customHeight="1">
      <c r="A35" s="2981"/>
      <c r="B35" s="2964"/>
      <c r="C35" s="2964"/>
      <c r="D35" s="2964"/>
      <c r="E35" s="2964"/>
      <c r="F35" s="2964"/>
      <c r="G35" s="212"/>
      <c r="H35" s="215" t="s">
        <v>151</v>
      </c>
      <c r="I35" s="215"/>
      <c r="J35" s="215"/>
      <c r="K35" s="193"/>
      <c r="L35" s="2986" t="s">
        <v>1111</v>
      </c>
      <c r="M35" s="2986"/>
      <c r="N35" s="214"/>
      <c r="O35" s="84"/>
      <c r="P35" s="84"/>
      <c r="Q35" s="84"/>
      <c r="R35" s="84"/>
      <c r="S35" s="84"/>
      <c r="T35" s="84"/>
      <c r="U35" s="84"/>
    </row>
    <row r="36" spans="1:21">
      <c r="A36" s="2981"/>
      <c r="B36" s="2964"/>
      <c r="C36" s="2964"/>
      <c r="D36" s="2964"/>
      <c r="E36" s="2964"/>
      <c r="F36" s="2964"/>
      <c r="G36" s="212" t="s">
        <v>152</v>
      </c>
      <c r="H36" s="193"/>
      <c r="I36" s="215" t="s">
        <v>153</v>
      </c>
      <c r="J36" s="215"/>
      <c r="K36" s="193"/>
      <c r="L36" s="2986" t="s">
        <v>1111</v>
      </c>
      <c r="M36" s="2986"/>
      <c r="N36" s="217"/>
      <c r="O36" s="84"/>
      <c r="P36" s="84"/>
      <c r="Q36" s="84"/>
      <c r="R36" s="84"/>
      <c r="S36" s="84"/>
      <c r="T36" s="84"/>
      <c r="U36" s="84"/>
    </row>
    <row r="37" spans="1:21" ht="19.5" customHeight="1">
      <c r="A37" s="2981"/>
      <c r="B37" s="2964"/>
      <c r="C37" s="2964"/>
      <c r="D37" s="2964"/>
      <c r="E37" s="2964"/>
      <c r="F37" s="2964"/>
      <c r="G37" s="212"/>
      <c r="H37" s="215" t="s">
        <v>154</v>
      </c>
      <c r="I37" s="215"/>
      <c r="J37" s="215"/>
      <c r="K37" s="193"/>
      <c r="L37" s="2986" t="s">
        <v>1111</v>
      </c>
      <c r="M37" s="2986"/>
      <c r="N37" s="217"/>
      <c r="O37" s="84"/>
      <c r="P37" s="84"/>
      <c r="Q37" s="84"/>
      <c r="R37" s="84"/>
      <c r="S37" s="84"/>
      <c r="T37" s="84"/>
      <c r="U37" s="84"/>
    </row>
    <row r="38" spans="1:21">
      <c r="A38" s="2981"/>
      <c r="B38" s="2964"/>
      <c r="C38" s="2964"/>
      <c r="D38" s="2964"/>
      <c r="E38" s="2964"/>
      <c r="F38" s="2964"/>
      <c r="G38" s="218" t="s">
        <v>155</v>
      </c>
      <c r="H38" s="219"/>
      <c r="I38" s="188"/>
      <c r="J38" s="2978" t="s">
        <v>1111</v>
      </c>
      <c r="K38" s="2978"/>
      <c r="L38" s="2978"/>
      <c r="M38" s="2978"/>
      <c r="N38" s="217"/>
      <c r="O38" s="84"/>
      <c r="P38" s="84"/>
      <c r="Q38" s="84"/>
      <c r="R38" s="84"/>
      <c r="S38" s="84"/>
      <c r="T38" s="84"/>
      <c r="U38" s="84"/>
    </row>
    <row r="39" spans="1:21" ht="15.15" customHeight="1">
      <c r="A39" s="2981"/>
      <c r="B39" s="2990" t="s">
        <v>1523</v>
      </c>
      <c r="C39" s="2987" t="s">
        <v>1524</v>
      </c>
      <c r="D39" s="2987"/>
      <c r="E39" s="2987"/>
      <c r="F39" s="2987"/>
      <c r="G39" s="182" t="s">
        <v>1525</v>
      </c>
      <c r="H39" s="193"/>
      <c r="I39" s="194" t="s">
        <v>1526</v>
      </c>
      <c r="J39" s="194"/>
      <c r="K39" s="194"/>
      <c r="L39" s="193"/>
      <c r="M39" s="215" t="s">
        <v>1111</v>
      </c>
      <c r="N39" s="185"/>
      <c r="O39" s="84"/>
      <c r="P39" s="84"/>
      <c r="Q39" s="84"/>
      <c r="R39" s="84"/>
      <c r="S39" s="84"/>
      <c r="T39" s="84"/>
      <c r="U39" s="84"/>
    </row>
    <row r="40" spans="1:21">
      <c r="A40" s="2981"/>
      <c r="B40" s="2990"/>
      <c r="C40" s="2995" t="s">
        <v>1527</v>
      </c>
      <c r="D40" s="2995"/>
      <c r="E40" s="2995"/>
      <c r="F40" s="2995"/>
      <c r="G40" s="192" t="s">
        <v>1120</v>
      </c>
      <c r="H40" s="193"/>
      <c r="I40" s="2992" t="s">
        <v>1111</v>
      </c>
      <c r="J40" s="2992"/>
      <c r="K40" s="195" t="s">
        <v>1121</v>
      </c>
      <c r="L40" s="193"/>
      <c r="M40" s="196" t="s">
        <v>1111</v>
      </c>
      <c r="N40" s="220"/>
      <c r="O40" s="84"/>
      <c r="P40" s="84"/>
      <c r="Q40" s="84"/>
      <c r="R40" s="84"/>
      <c r="S40" s="84"/>
      <c r="T40" s="84"/>
      <c r="U40" s="84"/>
    </row>
    <row r="41" spans="1:21" ht="14.25" customHeight="1">
      <c r="A41" s="2981"/>
      <c r="B41" s="2990"/>
      <c r="C41" s="2984" t="s">
        <v>1528</v>
      </c>
      <c r="D41" s="2984"/>
      <c r="E41" s="2984"/>
      <c r="F41" s="2984"/>
      <c r="G41" s="192" t="s">
        <v>1120</v>
      </c>
      <c r="H41" s="193"/>
      <c r="I41" s="2992" t="s">
        <v>1111</v>
      </c>
      <c r="J41" s="2992"/>
      <c r="K41" s="195" t="s">
        <v>1121</v>
      </c>
      <c r="L41" s="193"/>
      <c r="M41" s="196" t="s">
        <v>1111</v>
      </c>
      <c r="N41" s="220"/>
      <c r="O41" s="84"/>
      <c r="P41" s="84"/>
      <c r="Q41" s="84"/>
      <c r="R41" s="84"/>
      <c r="S41" s="84"/>
      <c r="T41" s="84"/>
      <c r="U41" s="84"/>
    </row>
    <row r="42" spans="1:21" ht="26.25" customHeight="1">
      <c r="A42" s="2981"/>
      <c r="B42" s="2990" t="s">
        <v>1529</v>
      </c>
      <c r="C42" s="2990"/>
      <c r="D42" s="2990"/>
      <c r="E42" s="2990"/>
      <c r="F42" s="2990"/>
      <c r="G42" s="212" t="s">
        <v>1120</v>
      </c>
      <c r="H42" s="211"/>
      <c r="I42" s="2993" t="s">
        <v>1111</v>
      </c>
      <c r="J42" s="2993"/>
      <c r="K42" s="219" t="s">
        <v>1121</v>
      </c>
      <c r="L42" s="211"/>
      <c r="M42" s="216" t="s">
        <v>1111</v>
      </c>
      <c r="N42" s="185"/>
      <c r="O42" s="84"/>
      <c r="P42" s="84"/>
      <c r="Q42" s="84"/>
      <c r="R42" s="84"/>
      <c r="S42" s="84"/>
      <c r="T42" s="84"/>
      <c r="U42" s="84"/>
    </row>
    <row r="43" spans="1:21">
      <c r="A43" s="2981"/>
      <c r="B43" s="2994" t="s">
        <v>1530</v>
      </c>
      <c r="C43" s="2994"/>
      <c r="D43" s="2994"/>
      <c r="E43" s="2994"/>
      <c r="F43" s="2994"/>
      <c r="G43" s="182" t="s">
        <v>1117</v>
      </c>
      <c r="H43" s="193"/>
      <c r="I43" s="2965" t="s">
        <v>1111</v>
      </c>
      <c r="J43" s="2965"/>
      <c r="K43" s="2965"/>
      <c r="L43" s="2965"/>
      <c r="M43" s="2965"/>
      <c r="N43" s="220"/>
      <c r="O43" s="84"/>
      <c r="P43" s="84"/>
      <c r="Q43" s="84"/>
      <c r="R43" s="84"/>
      <c r="S43" s="84"/>
      <c r="T43" s="84"/>
      <c r="U43" s="84"/>
    </row>
    <row r="44" spans="1:21">
      <c r="A44" s="2981"/>
      <c r="B44" s="2994"/>
      <c r="C44" s="2994"/>
      <c r="D44" s="2994"/>
      <c r="E44" s="2994"/>
      <c r="F44" s="2994"/>
      <c r="G44" s="212" t="s">
        <v>152</v>
      </c>
      <c r="H44" s="193"/>
      <c r="I44" s="215" t="s">
        <v>153</v>
      </c>
      <c r="J44" s="215"/>
      <c r="K44" s="193"/>
      <c r="L44" s="2986" t="s">
        <v>1111</v>
      </c>
      <c r="M44" s="2986"/>
      <c r="N44" s="220"/>
      <c r="O44" s="84"/>
      <c r="P44" s="84"/>
      <c r="Q44" s="84"/>
      <c r="R44" s="84"/>
      <c r="S44" s="84"/>
      <c r="T44" s="84"/>
      <c r="U44" s="84"/>
    </row>
    <row r="45" spans="1:21">
      <c r="A45" s="2981"/>
      <c r="B45" s="2994"/>
      <c r="C45" s="2994"/>
      <c r="D45" s="2994"/>
      <c r="E45" s="2994"/>
      <c r="F45" s="2994"/>
      <c r="G45" s="186" t="s">
        <v>1531</v>
      </c>
      <c r="H45" s="188"/>
      <c r="I45" s="2969" t="s">
        <v>1111</v>
      </c>
      <c r="J45" s="2969"/>
      <c r="K45" s="2969"/>
      <c r="L45" s="2969"/>
      <c r="M45" s="2969"/>
      <c r="N45" s="220"/>
      <c r="O45" s="84"/>
      <c r="P45" s="84"/>
      <c r="Q45" s="84"/>
      <c r="R45" s="84"/>
      <c r="S45" s="84"/>
      <c r="T45" s="84"/>
      <c r="U45" s="84"/>
    </row>
    <row r="46" spans="1:21">
      <c r="A46" s="221"/>
      <c r="B46" s="2988"/>
      <c r="C46" s="2988"/>
      <c r="D46" s="2988"/>
      <c r="E46" s="2988"/>
      <c r="F46" s="2988"/>
      <c r="G46" s="221"/>
      <c r="H46" s="221"/>
      <c r="I46" s="221"/>
      <c r="J46" s="221"/>
      <c r="K46" s="221"/>
      <c r="L46" s="221"/>
      <c r="M46" s="221"/>
      <c r="N46" s="221"/>
      <c r="O46" s="84"/>
      <c r="P46" s="84"/>
      <c r="Q46" s="84"/>
      <c r="R46" s="84"/>
      <c r="S46" s="84"/>
      <c r="T46" s="84"/>
      <c r="U46" s="84"/>
    </row>
    <row r="47" spans="1:21">
      <c r="A47" s="2989" t="str">
        <f>"委托单位财务负责人："&amp;基本情况!B36&amp;"                              询问人："&amp;基本情况!B12&amp;"                        "&amp;基本情况!B21</f>
        <v>委托单位财务负责人：0                              询问人：                        2017年3月16日</v>
      </c>
      <c r="B47" s="2989"/>
      <c r="C47" s="2989"/>
      <c r="D47" s="2989"/>
      <c r="E47" s="2989"/>
      <c r="F47" s="2989"/>
      <c r="G47" s="2989"/>
      <c r="H47" s="2989"/>
      <c r="I47" s="2989"/>
      <c r="J47" s="2989"/>
      <c r="K47" s="2989"/>
      <c r="L47" s="2989"/>
      <c r="M47" s="2989"/>
      <c r="N47" s="2989"/>
      <c r="O47" s="84"/>
      <c r="P47" s="84"/>
      <c r="Q47" s="84"/>
      <c r="R47" s="84"/>
      <c r="S47" s="84"/>
      <c r="T47" s="84"/>
      <c r="U47" s="84"/>
    </row>
  </sheetData>
  <sheetProtection selectLockedCells="1" selectUnlockedCells="1"/>
  <mergeCells count="75">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 ref="C41:F41"/>
    <mergeCell ref="J34:M34"/>
    <mergeCell ref="L35:M35"/>
    <mergeCell ref="L36:M36"/>
    <mergeCell ref="L37:M37"/>
    <mergeCell ref="C39:F39"/>
    <mergeCell ref="A22:A24"/>
    <mergeCell ref="B22:F22"/>
    <mergeCell ref="I22:J22"/>
    <mergeCell ref="B23:F23"/>
    <mergeCell ref="I23:J23"/>
    <mergeCell ref="A25:A32"/>
    <mergeCell ref="B26:F26"/>
    <mergeCell ref="I32:M32"/>
    <mergeCell ref="B28:F29"/>
    <mergeCell ref="B30:F32"/>
    <mergeCell ref="K29:M29"/>
    <mergeCell ref="K28:M28"/>
    <mergeCell ref="L31:M31"/>
    <mergeCell ref="G17:M17"/>
    <mergeCell ref="B25:F25"/>
    <mergeCell ref="J38:M38"/>
    <mergeCell ref="B24:F24"/>
    <mergeCell ref="I24:J24"/>
    <mergeCell ref="B27:F27"/>
    <mergeCell ref="I27:J27"/>
    <mergeCell ref="K30:M30"/>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5.6"/>
  <cols>
    <col min="1" max="1" width="16.09765625" style="222" customWidth="1"/>
    <col min="2" max="2" width="14.09765625" style="222" customWidth="1"/>
    <col min="3" max="3" width="14" style="222" customWidth="1"/>
    <col min="4" max="4" width="0" style="222" hidden="1" customWidth="1"/>
    <col min="5" max="5" width="10.69921875" style="222" customWidth="1"/>
    <col min="6" max="6" width="9.59765625" style="222" customWidth="1"/>
    <col min="7" max="7" width="18.69921875" style="222" customWidth="1"/>
    <col min="8" max="16384" width="9" style="222"/>
  </cols>
  <sheetData>
    <row r="1" spans="1:15" ht="22.2">
      <c r="A1" s="2706" t="s">
        <v>1532</v>
      </c>
      <c r="B1" s="2706"/>
      <c r="C1" s="2706"/>
      <c r="D1" s="2706"/>
      <c r="E1" s="2706"/>
      <c r="F1" s="2706"/>
      <c r="G1" s="2706"/>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1533</v>
      </c>
      <c r="B3" s="2999">
        <f>基本情况!B2</f>
        <v>0</v>
      </c>
      <c r="C3" s="2999"/>
      <c r="D3" s="2999"/>
      <c r="E3" s="2999"/>
      <c r="F3" s="225" t="s">
        <v>283</v>
      </c>
      <c r="G3" s="226" t="str">
        <f>档案索引!A29</f>
        <v>2A-9</v>
      </c>
      <c r="H3" s="223"/>
      <c r="I3" s="223"/>
      <c r="J3" s="223"/>
      <c r="K3" s="223"/>
      <c r="L3" s="223"/>
      <c r="M3" s="223"/>
      <c r="N3" s="223"/>
      <c r="O3" s="223"/>
    </row>
    <row r="4" spans="1:15" ht="36" customHeight="1">
      <c r="A4" s="225" t="s">
        <v>1534</v>
      </c>
      <c r="B4" s="3000" t="str">
        <f>基本情况!B38</f>
        <v>小企业会计准则</v>
      </c>
      <c r="C4" s="3000"/>
      <c r="D4" s="3000"/>
      <c r="E4" s="3000"/>
      <c r="F4" s="225" t="s">
        <v>451</v>
      </c>
      <c r="G4" s="227" t="str">
        <f>IF(OR(基本情况!B6&lt;&gt;"12月31日",基本情况!F5&lt;&gt;"01",基本情况!G5&lt;&gt;"01"),基本情况!B7,基本情况!B4&amp;"年度")</f>
        <v>2016年度</v>
      </c>
      <c r="H4" s="223"/>
      <c r="I4" s="223"/>
      <c r="J4" s="223"/>
      <c r="K4" s="223"/>
      <c r="L4" s="223"/>
      <c r="M4" s="223"/>
      <c r="N4" s="223"/>
      <c r="O4" s="223"/>
    </row>
    <row r="5" spans="1:15" ht="36" customHeight="1">
      <c r="A5" s="225" t="s">
        <v>1535</v>
      </c>
      <c r="B5" s="228"/>
      <c r="C5" s="2770" t="s">
        <v>398</v>
      </c>
      <c r="D5" s="2770"/>
      <c r="E5" s="229">
        <f>基本情况!B11</f>
        <v>0</v>
      </c>
      <c r="F5" s="230" t="s">
        <v>460</v>
      </c>
      <c r="G5" s="231" t="str">
        <f>基本情况!B3</f>
        <v>企业所得税年度纳税申报审核</v>
      </c>
      <c r="H5" s="2705" t="s">
        <v>395</v>
      </c>
      <c r="I5" s="2705"/>
      <c r="J5" s="2705"/>
      <c r="K5" s="223"/>
      <c r="L5" s="223"/>
      <c r="M5" s="223"/>
      <c r="N5" s="223"/>
      <c r="O5" s="223"/>
    </row>
    <row r="6" spans="1:15" ht="24" customHeight="1">
      <c r="A6" s="2996" t="s">
        <v>1536</v>
      </c>
      <c r="B6" s="2996"/>
      <c r="C6" s="2996"/>
      <c r="D6" s="2997" t="s">
        <v>1537</v>
      </c>
      <c r="E6" s="2997"/>
      <c r="F6" s="2997"/>
      <c r="G6" s="2997"/>
      <c r="H6" s="232" t="s">
        <v>1538</v>
      </c>
      <c r="I6" s="223"/>
      <c r="J6" s="223"/>
      <c r="K6" s="223"/>
      <c r="L6" s="223"/>
      <c r="M6" s="223"/>
      <c r="N6" s="223"/>
      <c r="O6" s="223"/>
    </row>
    <row r="7" spans="1:15" ht="45" customHeight="1">
      <c r="A7" s="2998"/>
      <c r="B7" s="2998"/>
      <c r="C7" s="2998"/>
      <c r="D7" s="2997"/>
      <c r="E7" s="2997"/>
      <c r="F7" s="2997"/>
      <c r="G7" s="2997"/>
      <c r="H7" s="233"/>
      <c r="I7" s="223"/>
      <c r="J7" s="223"/>
      <c r="K7" s="223"/>
      <c r="L7" s="223"/>
      <c r="M7" s="223"/>
      <c r="N7" s="223"/>
      <c r="O7" s="223"/>
    </row>
    <row r="8" spans="1:15" ht="45" customHeight="1">
      <c r="A8" s="2998"/>
      <c r="B8" s="2998"/>
      <c r="C8" s="2998"/>
      <c r="D8" s="2997"/>
      <c r="E8" s="2997"/>
      <c r="F8" s="2997"/>
      <c r="G8" s="2997"/>
      <c r="H8" s="234" t="s">
        <v>1539</v>
      </c>
      <c r="I8" s="223"/>
      <c r="J8" s="223"/>
      <c r="K8" s="223"/>
      <c r="L8" s="223"/>
      <c r="M8" s="223"/>
      <c r="N8" s="223"/>
      <c r="O8" s="223"/>
    </row>
    <row r="9" spans="1:15" ht="45" customHeight="1">
      <c r="A9" s="2998"/>
      <c r="B9" s="2998"/>
      <c r="C9" s="2998"/>
      <c r="D9" s="2997"/>
      <c r="E9" s="2997"/>
      <c r="F9" s="2997"/>
      <c r="G9" s="2997"/>
      <c r="H9" s="233"/>
      <c r="I9" s="223"/>
      <c r="J9" s="223"/>
      <c r="K9" s="223"/>
      <c r="L9" s="223"/>
      <c r="M9" s="223"/>
      <c r="N9" s="223"/>
      <c r="O9" s="223"/>
    </row>
    <row r="10" spans="1:15" ht="45" customHeight="1">
      <c r="A10" s="2998"/>
      <c r="B10" s="2998"/>
      <c r="C10" s="2998"/>
      <c r="D10" s="2997"/>
      <c r="E10" s="2997"/>
      <c r="F10" s="2997"/>
      <c r="G10" s="2997"/>
      <c r="H10" s="233"/>
      <c r="I10" s="223"/>
      <c r="J10" s="223"/>
      <c r="K10" s="223"/>
      <c r="L10" s="223"/>
      <c r="M10" s="223"/>
      <c r="N10" s="223"/>
      <c r="O10" s="223"/>
    </row>
    <row r="11" spans="1:15" ht="45" customHeight="1">
      <c r="A11" s="2998"/>
      <c r="B11" s="2998"/>
      <c r="C11" s="2998"/>
      <c r="D11" s="2997"/>
      <c r="E11" s="2997"/>
      <c r="F11" s="2997"/>
      <c r="G11" s="2997"/>
      <c r="H11" s="233"/>
      <c r="I11" s="223"/>
      <c r="J11" s="223"/>
      <c r="K11" s="223"/>
      <c r="L11" s="223"/>
      <c r="M11" s="223"/>
      <c r="N11" s="223"/>
      <c r="O11" s="223"/>
    </row>
    <row r="12" spans="1:15" ht="24" customHeight="1">
      <c r="A12" s="2998"/>
      <c r="B12" s="2998"/>
      <c r="C12" s="2998"/>
      <c r="D12" s="2997" t="s">
        <v>1540</v>
      </c>
      <c r="E12" s="2997"/>
      <c r="F12" s="2997"/>
      <c r="G12" s="2997"/>
      <c r="H12" s="233"/>
      <c r="I12" s="223"/>
      <c r="J12" s="223"/>
      <c r="K12" s="223"/>
      <c r="L12" s="223"/>
      <c r="M12" s="223"/>
      <c r="N12" s="223"/>
      <c r="O12" s="223"/>
    </row>
    <row r="13" spans="1:15" ht="45" customHeight="1">
      <c r="A13" s="2998"/>
      <c r="B13" s="2998"/>
      <c r="C13" s="2998"/>
      <c r="D13" s="2997"/>
      <c r="E13" s="2997"/>
      <c r="F13" s="2997"/>
      <c r="G13" s="2997"/>
      <c r="H13" s="223"/>
      <c r="I13" s="223"/>
      <c r="J13" s="223"/>
      <c r="K13" s="223"/>
      <c r="L13" s="223"/>
      <c r="M13" s="223"/>
      <c r="N13" s="223"/>
      <c r="O13" s="223"/>
    </row>
    <row r="14" spans="1:15" ht="45" customHeight="1">
      <c r="A14" s="2998"/>
      <c r="B14" s="2998"/>
      <c r="C14" s="2998"/>
      <c r="D14" s="2997"/>
      <c r="E14" s="2997"/>
      <c r="F14" s="2997"/>
      <c r="G14" s="2997"/>
      <c r="H14" s="223"/>
      <c r="I14" s="223"/>
      <c r="J14" s="223"/>
      <c r="K14" s="223"/>
      <c r="L14" s="223"/>
      <c r="M14" s="223"/>
      <c r="N14" s="223"/>
      <c r="O14" s="223"/>
    </row>
    <row r="15" spans="1:15" ht="45" customHeight="1">
      <c r="A15" s="2998"/>
      <c r="B15" s="2998"/>
      <c r="C15" s="2998"/>
      <c r="D15" s="2997"/>
      <c r="E15" s="2997"/>
      <c r="F15" s="2997"/>
      <c r="G15" s="2997"/>
      <c r="H15" s="223"/>
      <c r="I15" s="223"/>
      <c r="J15" s="223"/>
      <c r="K15" s="223"/>
      <c r="L15" s="223"/>
      <c r="M15" s="223"/>
      <c r="N15" s="223"/>
      <c r="O15" s="223"/>
    </row>
    <row r="16" spans="1:15" ht="45" customHeight="1">
      <c r="A16" s="2998"/>
      <c r="B16" s="2998"/>
      <c r="C16" s="2998"/>
      <c r="D16" s="2997"/>
      <c r="E16" s="2997"/>
      <c r="F16" s="2997"/>
      <c r="G16" s="2997"/>
      <c r="H16" s="223"/>
      <c r="I16" s="223"/>
      <c r="J16" s="223"/>
      <c r="K16" s="223"/>
      <c r="L16" s="223"/>
      <c r="M16" s="223"/>
      <c r="N16" s="223"/>
      <c r="O16" s="223"/>
    </row>
    <row r="17" spans="1:15" ht="45" customHeight="1">
      <c r="A17" s="2998"/>
      <c r="B17" s="2998"/>
      <c r="C17" s="2998"/>
      <c r="D17" s="2997"/>
      <c r="E17" s="2997"/>
      <c r="F17" s="2997"/>
      <c r="G17" s="2997"/>
      <c r="H17" s="223"/>
      <c r="I17" s="223"/>
      <c r="J17" s="223"/>
      <c r="K17" s="223"/>
      <c r="L17" s="223"/>
      <c r="M17" s="223"/>
      <c r="N17" s="223"/>
      <c r="O17" s="223"/>
    </row>
  </sheetData>
  <sheetProtection selectLockedCells="1" selectUnlockedCells="1"/>
  <mergeCells count="9">
    <mergeCell ref="A1:G1"/>
    <mergeCell ref="B3:E3"/>
    <mergeCell ref="B4:E4"/>
    <mergeCell ref="C5:D5"/>
    <mergeCell ref="H5:J5"/>
    <mergeCell ref="A6:C6"/>
    <mergeCell ref="D6:G11"/>
    <mergeCell ref="A7:C17"/>
    <mergeCell ref="D12:G17"/>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59765625" style="235" customWidth="1"/>
    <col min="2" max="2" width="9.69921875" style="235" customWidth="1"/>
    <col min="3" max="3" width="13.59765625" style="235" customWidth="1"/>
    <col min="4" max="4" width="8.19921875" style="235" customWidth="1"/>
    <col min="5" max="5" width="14.59765625" style="235" customWidth="1"/>
    <col min="6" max="6" width="12.69921875" style="235" customWidth="1"/>
    <col min="7" max="9" width="8" style="235"/>
    <col min="10" max="10" width="8.5" style="235" customWidth="1"/>
    <col min="11" max="16384" width="8" style="235"/>
  </cols>
  <sheetData>
    <row r="1" spans="1:15" s="238" customFormat="1" ht="46.5" customHeight="1">
      <c r="A1" s="2764" t="s">
        <v>326</v>
      </c>
      <c r="B1" s="2764"/>
      <c r="C1" s="2764"/>
      <c r="D1" s="2764"/>
      <c r="E1" s="2764"/>
      <c r="F1" s="2764"/>
      <c r="G1" s="2764"/>
      <c r="H1" s="236"/>
      <c r="I1" s="237"/>
      <c r="J1" s="236"/>
      <c r="K1" s="236"/>
      <c r="L1" s="236"/>
      <c r="M1" s="236"/>
      <c r="N1" s="236"/>
      <c r="O1" s="236"/>
    </row>
    <row r="2" spans="1:15" s="244" customFormat="1" ht="23.25" customHeight="1">
      <c r="A2" s="239" t="s">
        <v>447</v>
      </c>
      <c r="B2" s="3010">
        <f>基本情况!B2</f>
        <v>0</v>
      </c>
      <c r="C2" s="3010"/>
      <c r="D2" s="3010"/>
      <c r="E2" s="3010"/>
      <c r="F2" s="240" t="s">
        <v>283</v>
      </c>
      <c r="G2" s="241" t="str">
        <f>档案索引!A30</f>
        <v>2A-10</v>
      </c>
      <c r="H2" s="242"/>
      <c r="I2" s="242"/>
      <c r="J2" s="243"/>
      <c r="K2" s="243"/>
      <c r="L2" s="243"/>
      <c r="M2" s="243"/>
      <c r="N2" s="243"/>
      <c r="O2" s="243"/>
    </row>
    <row r="3" spans="1:15" s="246" customFormat="1" ht="23.25" customHeight="1">
      <c r="A3" s="3011" t="s">
        <v>1541</v>
      </c>
      <c r="B3" s="3011"/>
      <c r="C3" s="3011"/>
      <c r="D3" s="3012" t="s">
        <v>1542</v>
      </c>
      <c r="E3" s="3012"/>
      <c r="F3" s="3012"/>
      <c r="G3" s="3012"/>
      <c r="H3" s="245"/>
      <c r="I3" s="245"/>
      <c r="J3" s="245"/>
      <c r="K3" s="245"/>
      <c r="L3" s="245"/>
      <c r="M3" s="245"/>
      <c r="N3" s="245"/>
      <c r="O3" s="245"/>
    </row>
    <row r="4" spans="1:15" s="246" customFormat="1" ht="23.25" customHeight="1">
      <c r="A4" s="247" t="s">
        <v>1543</v>
      </c>
      <c r="B4" s="3009">
        <f>基本情况!B11</f>
        <v>0</v>
      </c>
      <c r="C4" s="3009"/>
      <c r="D4" s="3014" t="str">
        <f>"姓名："&amp;基本情况!B35</f>
        <v>姓名：0</v>
      </c>
      <c r="E4" s="3014"/>
      <c r="F4" s="3005" t="str">
        <f>"职务："&amp;基本情况!A35</f>
        <v>职务：企业负责人</v>
      </c>
      <c r="G4" s="3005"/>
      <c r="H4" s="2705" t="s">
        <v>395</v>
      </c>
      <c r="I4" s="2705"/>
      <c r="J4" s="2705"/>
      <c r="K4" s="245"/>
      <c r="L4" s="245"/>
      <c r="M4" s="245"/>
      <c r="N4" s="245"/>
      <c r="O4" s="245"/>
    </row>
    <row r="5" spans="1:15" s="246" customFormat="1" ht="23.25" customHeight="1">
      <c r="A5" s="247" t="s">
        <v>1544</v>
      </c>
      <c r="B5" s="3013">
        <f>基本情况!B12</f>
        <v>0</v>
      </c>
      <c r="C5" s="3013"/>
      <c r="D5" s="3014" t="str">
        <f>"姓名："&amp;基本情况!B36</f>
        <v>姓名：0</v>
      </c>
      <c r="E5" s="3014"/>
      <c r="F5" s="3005" t="str">
        <f>"职务："&amp;基本情况!A36</f>
        <v>职务：财务负责人</v>
      </c>
      <c r="G5" s="3005"/>
      <c r="H5" s="245"/>
      <c r="I5" s="245"/>
      <c r="J5" s="245"/>
      <c r="K5" s="245"/>
      <c r="L5" s="245"/>
      <c r="M5" s="245"/>
      <c r="N5" s="245"/>
      <c r="O5" s="245"/>
    </row>
    <row r="6" spans="1:15" s="246" customFormat="1" ht="23.25" customHeight="1">
      <c r="A6" s="3006"/>
      <c r="B6" s="3006"/>
      <c r="C6" s="3006"/>
      <c r="D6" s="3007" t="s">
        <v>1545</v>
      </c>
      <c r="E6" s="3007"/>
      <c r="F6" s="3008" t="s">
        <v>1546</v>
      </c>
      <c r="G6" s="3008"/>
      <c r="H6" s="245"/>
      <c r="I6" s="245"/>
      <c r="J6" s="245"/>
      <c r="K6" s="245"/>
      <c r="L6" s="245"/>
      <c r="M6" s="245"/>
      <c r="N6" s="245"/>
      <c r="O6" s="245"/>
    </row>
    <row r="7" spans="1:15" s="246" customFormat="1" ht="22.5" customHeight="1">
      <c r="A7" s="3003" t="s">
        <v>1547</v>
      </c>
      <c r="B7" s="3003"/>
      <c r="C7" s="3003"/>
      <c r="D7" s="3004" t="s">
        <v>1548</v>
      </c>
      <c r="E7" s="3004"/>
      <c r="F7" s="3004"/>
      <c r="G7" s="3004"/>
      <c r="H7" s="232" t="s">
        <v>1549</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4.4">
      <c r="A9" s="3002"/>
      <c r="B9" s="3002"/>
      <c r="C9" s="3002"/>
      <c r="D9" s="3002"/>
      <c r="E9" s="3002"/>
      <c r="F9" s="3002"/>
      <c r="G9" s="3002"/>
      <c r="H9" s="245"/>
      <c r="I9" s="245"/>
      <c r="J9" s="245"/>
      <c r="K9" s="245"/>
      <c r="L9" s="245"/>
      <c r="M9" s="245"/>
      <c r="N9" s="245"/>
      <c r="O9" s="245"/>
    </row>
    <row r="10" spans="1:15" s="246" customFormat="1" ht="24.75" customHeight="1">
      <c r="A10" s="3001"/>
      <c r="B10" s="3001"/>
      <c r="C10" s="3001"/>
      <c r="D10" s="3001"/>
      <c r="E10" s="3001"/>
      <c r="F10" s="3001"/>
      <c r="G10" s="3001"/>
      <c r="H10" s="245"/>
      <c r="I10" s="245"/>
      <c r="J10" s="245"/>
      <c r="K10" s="245"/>
      <c r="L10" s="245"/>
      <c r="M10" s="245"/>
      <c r="N10" s="245"/>
      <c r="O10" s="245"/>
    </row>
    <row r="11" spans="1:15" s="246" customFormat="1" ht="24.75" customHeight="1">
      <c r="A11" s="3001"/>
      <c r="B11" s="3001"/>
      <c r="C11" s="3001"/>
      <c r="D11" s="3001"/>
      <c r="E11" s="3001"/>
      <c r="F11" s="3001"/>
      <c r="G11" s="3001"/>
      <c r="H11" s="245"/>
      <c r="I11" s="245"/>
      <c r="J11" s="245"/>
      <c r="K11" s="245"/>
      <c r="L11" s="245"/>
      <c r="M11" s="245"/>
      <c r="N11" s="245"/>
      <c r="O11" s="245"/>
    </row>
    <row r="12" spans="1:15" s="246" customFormat="1" ht="24.75" customHeight="1">
      <c r="A12" s="3001"/>
      <c r="B12" s="3001"/>
      <c r="C12" s="3001"/>
      <c r="D12" s="3001"/>
      <c r="E12" s="3001"/>
      <c r="F12" s="3001"/>
      <c r="G12" s="3001"/>
      <c r="H12" s="245"/>
      <c r="I12" s="245"/>
      <c r="J12" s="245"/>
      <c r="K12" s="245"/>
      <c r="L12" s="245"/>
      <c r="M12" s="245"/>
      <c r="N12" s="245"/>
      <c r="O12" s="245"/>
    </row>
    <row r="13" spans="1:15" s="246" customFormat="1" ht="24.75" customHeight="1">
      <c r="A13" s="3001"/>
      <c r="B13" s="3001"/>
      <c r="C13" s="3001"/>
      <c r="D13" s="3001"/>
      <c r="E13" s="3001"/>
      <c r="F13" s="3001"/>
      <c r="G13" s="3001"/>
      <c r="H13" s="245"/>
      <c r="I13" s="245"/>
      <c r="J13" s="245"/>
      <c r="K13" s="245"/>
      <c r="L13" s="245"/>
      <c r="M13" s="245"/>
      <c r="N13" s="245"/>
      <c r="O13" s="245"/>
    </row>
    <row r="14" spans="1:15" s="246" customFormat="1" ht="24.75" customHeight="1">
      <c r="A14" s="3001"/>
      <c r="B14" s="3001"/>
      <c r="C14" s="3001"/>
      <c r="D14" s="3001"/>
      <c r="E14" s="3001"/>
      <c r="F14" s="3001"/>
      <c r="G14" s="3001"/>
      <c r="H14" s="245"/>
      <c r="I14" s="245"/>
      <c r="J14" s="245"/>
      <c r="K14" s="245"/>
      <c r="L14" s="245"/>
      <c r="M14" s="245"/>
      <c r="N14" s="245"/>
      <c r="O14" s="245"/>
    </row>
    <row r="15" spans="1:15" s="246" customFormat="1" ht="24.75" customHeight="1">
      <c r="A15" s="3001"/>
      <c r="B15" s="3001"/>
      <c r="C15" s="3001"/>
      <c r="D15" s="3001"/>
      <c r="E15" s="3001"/>
      <c r="F15" s="3001"/>
      <c r="G15" s="3001"/>
      <c r="H15" s="245"/>
      <c r="I15" s="245"/>
      <c r="J15" s="245"/>
      <c r="K15" s="245"/>
      <c r="L15" s="245"/>
      <c r="M15" s="245"/>
      <c r="N15" s="245"/>
      <c r="O15" s="245"/>
    </row>
    <row r="16" spans="1:15" s="246" customFormat="1" ht="24.75" customHeight="1">
      <c r="A16" s="3001"/>
      <c r="B16" s="3001"/>
      <c r="C16" s="3001"/>
      <c r="D16" s="3001"/>
      <c r="E16" s="3001"/>
      <c r="F16" s="3001"/>
      <c r="G16" s="3001"/>
      <c r="H16" s="245"/>
      <c r="I16" s="245"/>
      <c r="J16" s="245"/>
      <c r="K16" s="245"/>
      <c r="L16" s="245"/>
      <c r="M16" s="245"/>
      <c r="N16" s="245"/>
      <c r="O16" s="245"/>
    </row>
    <row r="17" spans="1:15" s="246" customFormat="1" ht="24.75" customHeight="1">
      <c r="A17" s="3001"/>
      <c r="B17" s="3001"/>
      <c r="C17" s="3001"/>
      <c r="D17" s="3001"/>
      <c r="E17" s="3001"/>
      <c r="F17" s="3001"/>
      <c r="G17" s="3001"/>
      <c r="H17" s="245"/>
      <c r="I17" s="245"/>
      <c r="J17" s="245"/>
      <c r="K17" s="245"/>
      <c r="L17" s="245"/>
      <c r="M17" s="245"/>
      <c r="N17" s="245"/>
      <c r="O17" s="245"/>
    </row>
    <row r="18" spans="1:15" s="246" customFormat="1" ht="24.75" customHeight="1">
      <c r="A18" s="3001"/>
      <c r="B18" s="3001"/>
      <c r="C18" s="3001"/>
      <c r="D18" s="3001"/>
      <c r="E18" s="3001"/>
      <c r="F18" s="3001"/>
      <c r="G18" s="3001"/>
      <c r="H18" s="245"/>
      <c r="I18" s="245"/>
      <c r="J18" s="245"/>
      <c r="K18" s="245"/>
      <c r="L18" s="245"/>
      <c r="M18" s="245"/>
      <c r="N18" s="245"/>
      <c r="O18" s="245"/>
    </row>
    <row r="19" spans="1:15" s="246" customFormat="1" ht="24.75" customHeight="1">
      <c r="A19" s="3001"/>
      <c r="B19" s="3001"/>
      <c r="C19" s="3001"/>
      <c r="D19" s="3001" t="s">
        <v>264</v>
      </c>
      <c r="E19" s="3001"/>
      <c r="F19" s="3001"/>
      <c r="G19" s="3001"/>
      <c r="H19" s="245"/>
      <c r="I19" s="245"/>
      <c r="J19" s="245"/>
      <c r="K19" s="245"/>
      <c r="L19" s="245"/>
      <c r="M19" s="245"/>
      <c r="N19" s="245"/>
      <c r="O19" s="245"/>
    </row>
    <row r="20" spans="1:15" s="246" customFormat="1" ht="24.75" customHeight="1">
      <c r="A20" s="3001"/>
      <c r="B20" s="3001"/>
      <c r="C20" s="3001"/>
      <c r="D20" s="3001"/>
      <c r="E20" s="3001"/>
      <c r="F20" s="3001"/>
      <c r="G20" s="3001"/>
      <c r="H20" s="245"/>
      <c r="I20" s="245"/>
      <c r="J20" s="245"/>
      <c r="K20" s="245"/>
      <c r="L20" s="245"/>
      <c r="M20" s="245"/>
      <c r="N20" s="245"/>
      <c r="O20" s="245"/>
    </row>
    <row r="21" spans="1:15" s="246" customFormat="1" ht="24.75" customHeight="1">
      <c r="A21" s="3001"/>
      <c r="B21" s="3001"/>
      <c r="C21" s="3001"/>
      <c r="D21" s="3001"/>
      <c r="E21" s="3001"/>
      <c r="F21" s="3001"/>
      <c r="G21" s="3001"/>
      <c r="H21" s="245"/>
      <c r="I21" s="245"/>
      <c r="J21" s="245"/>
      <c r="K21" s="245"/>
      <c r="L21" s="245"/>
      <c r="M21" s="245"/>
      <c r="N21" s="245"/>
      <c r="O21" s="245"/>
    </row>
    <row r="22" spans="1:15" s="246" customFormat="1" ht="24.75" customHeight="1">
      <c r="A22" s="3001"/>
      <c r="B22" s="3001"/>
      <c r="C22" s="3001"/>
      <c r="D22" s="3001"/>
      <c r="E22" s="3001"/>
      <c r="F22" s="3001"/>
      <c r="G22" s="3001"/>
      <c r="H22" s="245"/>
      <c r="I22" s="245"/>
      <c r="J22" s="245"/>
      <c r="K22" s="245"/>
      <c r="L22" s="245"/>
      <c r="M22" s="245"/>
      <c r="N22" s="245"/>
      <c r="O22" s="245"/>
    </row>
    <row r="23" spans="1:15" s="246" customFormat="1" ht="24.75" customHeight="1">
      <c r="A23" s="3001"/>
      <c r="B23" s="3001"/>
      <c r="C23" s="3001"/>
      <c r="D23" s="3001"/>
      <c r="E23" s="3001"/>
      <c r="F23" s="3001"/>
      <c r="G23" s="3001"/>
      <c r="H23" s="245"/>
      <c r="I23" s="245"/>
      <c r="J23" s="245"/>
      <c r="K23" s="245"/>
      <c r="L23" s="245"/>
      <c r="M23" s="245"/>
      <c r="N23" s="245"/>
      <c r="O23" s="245"/>
    </row>
    <row r="24" spans="1:15" s="246" customFormat="1" ht="24.75" customHeight="1">
      <c r="A24" s="3001"/>
      <c r="B24" s="3001"/>
      <c r="C24" s="3001"/>
      <c r="D24" s="3001"/>
      <c r="E24" s="3001"/>
      <c r="F24" s="3001"/>
      <c r="G24" s="3001"/>
      <c r="H24" s="245"/>
      <c r="I24" s="245"/>
      <c r="J24" s="245"/>
      <c r="K24" s="245"/>
      <c r="L24" s="245"/>
      <c r="M24" s="245"/>
      <c r="N24" s="245"/>
      <c r="O24" s="245"/>
    </row>
    <row r="25" spans="1:15" s="246" customFormat="1" ht="24.75" customHeight="1">
      <c r="A25" s="3001"/>
      <c r="B25" s="3001"/>
      <c r="C25" s="3001"/>
      <c r="D25" s="3001"/>
      <c r="E25" s="3001"/>
      <c r="F25" s="3001"/>
      <c r="G25" s="3001"/>
      <c r="H25" s="245"/>
      <c r="I25" s="245"/>
      <c r="J25" s="245"/>
      <c r="K25" s="245"/>
      <c r="L25" s="245"/>
      <c r="M25" s="245"/>
      <c r="N25" s="245"/>
      <c r="O25" s="245"/>
    </row>
    <row r="26" spans="1:15" s="246" customFormat="1" ht="24.75" customHeight="1">
      <c r="A26" s="3001"/>
      <c r="B26" s="3001"/>
      <c r="C26" s="3001"/>
      <c r="D26" s="3001"/>
      <c r="E26" s="3001"/>
      <c r="F26" s="3001"/>
      <c r="G26" s="3001"/>
      <c r="H26" s="245"/>
      <c r="I26" s="245"/>
      <c r="J26" s="245"/>
      <c r="K26" s="245"/>
      <c r="L26" s="245"/>
      <c r="M26" s="245"/>
      <c r="N26" s="245"/>
      <c r="O26" s="245"/>
    </row>
    <row r="27" spans="1:15" s="246" customFormat="1" ht="24.75" customHeight="1">
      <c r="A27" s="3001"/>
      <c r="B27" s="3001"/>
      <c r="C27" s="3001"/>
      <c r="D27" s="3001"/>
      <c r="E27" s="3001"/>
      <c r="F27" s="3001"/>
      <c r="G27" s="3001"/>
      <c r="H27" s="245"/>
      <c r="I27" s="245"/>
      <c r="J27" s="245"/>
      <c r="K27" s="245"/>
      <c r="L27" s="245"/>
      <c r="M27" s="245"/>
      <c r="N27" s="245"/>
      <c r="O27" s="245"/>
    </row>
    <row r="28" spans="1:15" s="246" customFormat="1" ht="24.75" customHeight="1">
      <c r="A28" s="3001"/>
      <c r="B28" s="3001"/>
      <c r="C28" s="3001"/>
      <c r="D28" s="3001"/>
      <c r="E28" s="3001"/>
      <c r="F28" s="3001"/>
      <c r="G28" s="3001"/>
      <c r="H28" s="245"/>
      <c r="I28" s="245"/>
      <c r="J28" s="245"/>
      <c r="K28" s="245"/>
      <c r="L28" s="245"/>
      <c r="M28" s="245"/>
      <c r="N28" s="245"/>
      <c r="O28" s="245"/>
    </row>
    <row r="29" spans="1:15" s="246" customFormat="1" ht="24.75" customHeight="1">
      <c r="A29" s="3001"/>
      <c r="B29" s="3001"/>
      <c r="C29" s="3001"/>
      <c r="D29" s="3001"/>
      <c r="E29" s="3001"/>
      <c r="F29" s="3001"/>
      <c r="G29" s="3001"/>
      <c r="H29" s="245"/>
      <c r="I29" s="245"/>
      <c r="J29" s="245"/>
      <c r="K29" s="245"/>
      <c r="L29" s="245"/>
      <c r="M29" s="245"/>
      <c r="N29" s="245"/>
      <c r="O29" s="245"/>
    </row>
    <row r="30" spans="1:15" s="246" customFormat="1" ht="14.4">
      <c r="A30" s="248"/>
      <c r="B30" s="243"/>
      <c r="C30" s="249"/>
      <c r="D30" s="250" t="s">
        <v>1550</v>
      </c>
      <c r="E30" s="243"/>
      <c r="F30" s="243"/>
      <c r="G30" s="249"/>
      <c r="H30" s="245"/>
      <c r="I30" s="245"/>
      <c r="J30" s="245"/>
      <c r="K30" s="245"/>
      <c r="L30" s="245"/>
      <c r="M30" s="245"/>
      <c r="N30" s="245"/>
      <c r="O30" s="245"/>
    </row>
    <row r="31" spans="1:15" s="246" customFormat="1" ht="14.4">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23:C23"/>
    <mergeCell ref="D23:G23"/>
    <mergeCell ref="A28:C28"/>
    <mergeCell ref="D28:G28"/>
    <mergeCell ref="A24:C24"/>
    <mergeCell ref="D24:G24"/>
    <mergeCell ref="A25:C25"/>
    <mergeCell ref="D25:G25"/>
    <mergeCell ref="A29:C29"/>
    <mergeCell ref="D29:G29"/>
    <mergeCell ref="A26:C26"/>
    <mergeCell ref="D26:G26"/>
    <mergeCell ref="A27:C27"/>
    <mergeCell ref="D27:G27"/>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F5:G5"/>
    <mergeCell ref="A6:C6"/>
    <mergeCell ref="D6:E6"/>
    <mergeCell ref="F6:G6"/>
    <mergeCell ref="H4:J4"/>
    <mergeCell ref="B4:C4"/>
    <mergeCell ref="A10:C10"/>
    <mergeCell ref="D10:G10"/>
    <mergeCell ref="A9:C9"/>
    <mergeCell ref="D9:G9"/>
    <mergeCell ref="A7:C7"/>
    <mergeCell ref="D7:G7"/>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5.6"/>
  <cols>
    <col min="1" max="1" width="9.59765625" style="254" customWidth="1"/>
    <col min="2" max="2" width="52.09765625" style="255" customWidth="1"/>
    <col min="3" max="5" width="6.3984375" style="255" customWidth="1"/>
    <col min="6" max="16384" width="9" style="255"/>
  </cols>
  <sheetData>
    <row r="1" spans="1:11" ht="14.25" customHeight="1">
      <c r="A1" s="3022" t="s">
        <v>10080</v>
      </c>
      <c r="B1" s="3022"/>
      <c r="C1" s="3022"/>
      <c r="D1" s="3022"/>
      <c r="E1" s="3022"/>
      <c r="F1" s="256"/>
      <c r="G1" s="256"/>
      <c r="H1" s="256"/>
      <c r="I1" s="256"/>
      <c r="J1" s="256"/>
      <c r="K1" s="256"/>
    </row>
    <row r="2" spans="1:11" ht="17.25" customHeight="1">
      <c r="A2" s="3022"/>
      <c r="B2" s="3022"/>
      <c r="C2" s="3022"/>
      <c r="D2" s="3022"/>
      <c r="E2" s="3022"/>
      <c r="F2" s="256"/>
      <c r="G2" s="256"/>
      <c r="H2" s="256"/>
      <c r="I2" s="256"/>
      <c r="J2" s="256"/>
      <c r="K2" s="256"/>
    </row>
    <row r="3" spans="1:11" ht="29.85" customHeight="1">
      <c r="A3" s="3023" t="s">
        <v>330</v>
      </c>
      <c r="B3" s="3023"/>
      <c r="C3" s="3023"/>
      <c r="D3" s="3023"/>
      <c r="E3" s="3023"/>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3024" t="str">
        <f>"公司名称："&amp;基本情况!B2</f>
        <v>公司名称：0</v>
      </c>
      <c r="B5" s="3024"/>
      <c r="C5" s="3025" t="s">
        <v>1551</v>
      </c>
      <c r="D5" s="3025"/>
      <c r="E5" s="260" t="str">
        <f>档案索引!A31</f>
        <v>2A-11</v>
      </c>
      <c r="F5" s="261"/>
      <c r="G5" s="261"/>
      <c r="H5" s="261"/>
      <c r="I5" s="261"/>
      <c r="J5" s="261"/>
      <c r="K5" s="261"/>
    </row>
    <row r="6" spans="1:11" ht="18" customHeight="1">
      <c r="A6" s="3020" t="s">
        <v>1552</v>
      </c>
      <c r="B6" s="3021" t="s">
        <v>1553</v>
      </c>
      <c r="C6" s="3026" t="s">
        <v>1554</v>
      </c>
      <c r="D6" s="3026"/>
      <c r="E6" s="3026"/>
      <c r="F6" s="256"/>
      <c r="G6" s="256"/>
      <c r="H6" s="256"/>
      <c r="I6" s="256"/>
      <c r="J6" s="256"/>
      <c r="K6" s="256"/>
    </row>
    <row r="7" spans="1:11" ht="18" customHeight="1">
      <c r="A7" s="3020"/>
      <c r="B7" s="3021"/>
      <c r="C7" s="263" t="s">
        <v>1555</v>
      </c>
      <c r="D7" s="264" t="s">
        <v>1556</v>
      </c>
      <c r="E7" s="264" t="s">
        <v>1078</v>
      </c>
      <c r="F7" s="256"/>
      <c r="G7" s="256"/>
      <c r="H7" s="256"/>
      <c r="I7" s="256"/>
      <c r="J7" s="256"/>
      <c r="K7" s="256"/>
    </row>
    <row r="8" spans="1:11" ht="16.5" customHeight="1">
      <c r="A8" s="3015" t="s">
        <v>1557</v>
      </c>
      <c r="B8" s="265" t="s">
        <v>1558</v>
      </c>
      <c r="C8" s="266"/>
      <c r="D8" s="267"/>
      <c r="E8" s="268"/>
      <c r="F8" s="256"/>
      <c r="G8" s="256"/>
      <c r="H8" s="256"/>
      <c r="I8" s="256"/>
      <c r="J8" s="256"/>
      <c r="K8" s="256"/>
    </row>
    <row r="9" spans="1:11" ht="16.5" customHeight="1">
      <c r="A9" s="3015"/>
      <c r="B9" s="269" t="s">
        <v>429</v>
      </c>
      <c r="C9" s="270"/>
      <c r="D9" s="271"/>
      <c r="E9" s="272"/>
      <c r="F9" s="256"/>
      <c r="G9" s="256"/>
      <c r="H9" s="256"/>
      <c r="I9" s="256"/>
      <c r="J9" s="256"/>
      <c r="K9" s="256"/>
    </row>
    <row r="10" spans="1:11" ht="16.5" customHeight="1">
      <c r="A10" s="3015"/>
      <c r="B10" s="269" t="s">
        <v>1559</v>
      </c>
      <c r="C10" s="270"/>
      <c r="D10" s="271"/>
      <c r="E10" s="272"/>
      <c r="F10" s="256"/>
      <c r="G10" s="256"/>
      <c r="H10" s="256"/>
      <c r="I10" s="256"/>
      <c r="J10" s="256"/>
      <c r="K10" s="256"/>
    </row>
    <row r="11" spans="1:11" ht="16.5" customHeight="1">
      <c r="A11" s="3015"/>
      <c r="B11" s="269" t="s">
        <v>1560</v>
      </c>
      <c r="C11" s="270"/>
      <c r="D11" s="271"/>
      <c r="E11" s="272"/>
      <c r="F11" s="256"/>
      <c r="G11" s="256"/>
      <c r="H11" s="256"/>
      <c r="I11" s="256"/>
      <c r="J11" s="256"/>
      <c r="K11" s="256"/>
    </row>
    <row r="12" spans="1:11" ht="16.5" customHeight="1">
      <c r="A12" s="3015"/>
      <c r="B12" s="269" t="s">
        <v>1561</v>
      </c>
      <c r="C12" s="270"/>
      <c r="D12" s="271"/>
      <c r="E12" s="272"/>
      <c r="F12" s="256"/>
      <c r="G12" s="256"/>
      <c r="H12" s="256"/>
      <c r="I12" s="256"/>
      <c r="J12" s="256"/>
      <c r="K12" s="256"/>
    </row>
    <row r="13" spans="1:11" ht="16.5" customHeight="1">
      <c r="A13" s="273"/>
      <c r="B13" s="274" t="s">
        <v>1562</v>
      </c>
      <c r="C13" s="275"/>
      <c r="D13" s="276"/>
      <c r="E13" s="277"/>
      <c r="F13" s="256"/>
      <c r="G13" s="256"/>
      <c r="H13" s="256"/>
      <c r="I13" s="256"/>
      <c r="J13" s="256"/>
      <c r="K13" s="256"/>
    </row>
    <row r="14" spans="1:11" ht="16.5" customHeight="1">
      <c r="A14" s="3017" t="s">
        <v>1563</v>
      </c>
      <c r="B14" s="265" t="s">
        <v>1564</v>
      </c>
      <c r="C14" s="266"/>
      <c r="D14" s="267"/>
      <c r="E14" s="268"/>
      <c r="F14" s="256"/>
      <c r="G14" s="256"/>
      <c r="H14" s="256"/>
      <c r="I14" s="256"/>
      <c r="J14" s="256"/>
      <c r="K14" s="256"/>
    </row>
    <row r="15" spans="1:11" ht="16.5" customHeight="1">
      <c r="A15" s="3017"/>
      <c r="B15" s="269" t="s">
        <v>1565</v>
      </c>
      <c r="C15" s="270"/>
      <c r="D15" s="271"/>
      <c r="E15" s="272"/>
      <c r="F15" s="256"/>
      <c r="G15" s="256"/>
      <c r="H15" s="256"/>
      <c r="I15" s="256"/>
      <c r="J15" s="256"/>
      <c r="K15" s="256"/>
    </row>
    <row r="16" spans="1:11" ht="16.5" customHeight="1">
      <c r="A16" s="3017"/>
      <c r="B16" s="269" t="s">
        <v>1418</v>
      </c>
      <c r="C16" s="270"/>
      <c r="D16" s="271"/>
      <c r="E16" s="272"/>
      <c r="F16" s="256"/>
      <c r="G16" s="256"/>
      <c r="H16" s="256"/>
      <c r="I16" s="256"/>
      <c r="J16" s="256"/>
      <c r="K16" s="256"/>
    </row>
    <row r="17" spans="1:11" ht="16.5" customHeight="1">
      <c r="A17" s="3017"/>
      <c r="B17" s="269" t="s">
        <v>1566</v>
      </c>
      <c r="C17" s="270"/>
      <c r="D17" s="271"/>
      <c r="E17" s="272"/>
      <c r="F17" s="256"/>
      <c r="G17" s="256"/>
      <c r="H17" s="256"/>
      <c r="I17" s="256"/>
      <c r="J17" s="256"/>
      <c r="K17" s="256"/>
    </row>
    <row r="18" spans="1:11" ht="16.5" customHeight="1">
      <c r="A18" s="3017"/>
      <c r="B18" s="269" t="s">
        <v>1567</v>
      </c>
      <c r="C18" s="270"/>
      <c r="D18" s="271"/>
      <c r="E18" s="272"/>
      <c r="F18" s="256"/>
      <c r="G18" s="256"/>
      <c r="H18" s="256"/>
      <c r="I18" s="256"/>
      <c r="J18" s="256"/>
      <c r="K18" s="256"/>
    </row>
    <row r="19" spans="1:11" ht="16.5" customHeight="1">
      <c r="A19" s="3017"/>
      <c r="B19" s="269" t="s">
        <v>1568</v>
      </c>
      <c r="C19" s="270"/>
      <c r="D19" s="271"/>
      <c r="E19" s="272"/>
      <c r="F19" s="256"/>
      <c r="G19" s="256"/>
      <c r="H19" s="256"/>
      <c r="I19" s="256"/>
      <c r="J19" s="256"/>
      <c r="K19" s="256"/>
    </row>
    <row r="20" spans="1:11" ht="16.5" customHeight="1">
      <c r="A20" s="3017"/>
      <c r="B20" s="269" t="s">
        <v>1569</v>
      </c>
      <c r="C20" s="270"/>
      <c r="D20" s="271"/>
      <c r="E20" s="272"/>
      <c r="F20" s="256"/>
      <c r="G20" s="256"/>
      <c r="H20" s="256"/>
      <c r="I20" s="256"/>
      <c r="J20" s="256"/>
      <c r="K20" s="256"/>
    </row>
    <row r="21" spans="1:11" ht="16.5" customHeight="1">
      <c r="A21" s="3017"/>
      <c r="B21" s="278" t="s">
        <v>1570</v>
      </c>
      <c r="C21" s="279"/>
      <c r="D21" s="280"/>
      <c r="E21" s="281"/>
      <c r="F21" s="256"/>
      <c r="G21" s="256"/>
      <c r="H21" s="256"/>
      <c r="I21" s="256"/>
      <c r="J21" s="256"/>
      <c r="K21" s="256"/>
    </row>
    <row r="22" spans="1:11" ht="16.5" customHeight="1">
      <c r="A22" s="3018" t="s">
        <v>1571</v>
      </c>
      <c r="B22" s="265" t="s">
        <v>1572</v>
      </c>
      <c r="C22" s="275"/>
      <c r="D22" s="276"/>
      <c r="E22" s="277"/>
      <c r="F22" s="256"/>
      <c r="G22" s="256"/>
      <c r="H22" s="256"/>
      <c r="I22" s="256"/>
      <c r="J22" s="256"/>
      <c r="K22" s="256"/>
    </row>
    <row r="23" spans="1:11" ht="16.5" customHeight="1">
      <c r="A23" s="3018"/>
      <c r="B23" s="269" t="s">
        <v>1573</v>
      </c>
      <c r="C23" s="270"/>
      <c r="D23" s="271"/>
      <c r="E23" s="272"/>
      <c r="F23" s="256"/>
      <c r="G23" s="256"/>
      <c r="H23" s="256"/>
      <c r="I23" s="256"/>
      <c r="J23" s="256"/>
      <c r="K23" s="256"/>
    </row>
    <row r="24" spans="1:11" ht="16.5" customHeight="1">
      <c r="A24" s="3018"/>
      <c r="B24" s="269" t="s">
        <v>1574</v>
      </c>
      <c r="C24" s="270"/>
      <c r="D24" s="271"/>
      <c r="E24" s="272"/>
      <c r="F24" s="256"/>
      <c r="G24" s="256"/>
      <c r="H24" s="256"/>
      <c r="I24" s="256"/>
      <c r="J24" s="256"/>
      <c r="K24" s="256"/>
    </row>
    <row r="25" spans="1:11" ht="16.5" customHeight="1">
      <c r="A25" s="3018"/>
      <c r="B25" s="269" t="s">
        <v>1575</v>
      </c>
      <c r="C25" s="270"/>
      <c r="D25" s="271"/>
      <c r="E25" s="272"/>
      <c r="F25" s="256"/>
      <c r="G25" s="256"/>
      <c r="H25" s="256"/>
      <c r="I25" s="256"/>
      <c r="J25" s="256"/>
      <c r="K25" s="256"/>
    </row>
    <row r="26" spans="1:11" ht="16.5" customHeight="1">
      <c r="A26" s="3018"/>
      <c r="B26" s="269" t="s">
        <v>1576</v>
      </c>
      <c r="C26" s="270"/>
      <c r="D26" s="271"/>
      <c r="E26" s="272"/>
      <c r="F26" s="256"/>
      <c r="G26" s="256"/>
      <c r="H26" s="256"/>
      <c r="I26" s="256"/>
      <c r="J26" s="256"/>
      <c r="K26" s="256"/>
    </row>
    <row r="27" spans="1:11" ht="16.5" customHeight="1">
      <c r="A27" s="3018"/>
      <c r="B27" s="269" t="s">
        <v>1577</v>
      </c>
      <c r="C27" s="270"/>
      <c r="D27" s="271"/>
      <c r="E27" s="272"/>
      <c r="F27" s="256"/>
      <c r="G27" s="256"/>
      <c r="H27" s="256"/>
      <c r="I27" s="256"/>
      <c r="J27" s="256"/>
      <c r="K27" s="256"/>
    </row>
    <row r="28" spans="1:11" ht="16.5" customHeight="1">
      <c r="A28" s="3018"/>
      <c r="B28" s="269" t="s">
        <v>1578</v>
      </c>
      <c r="C28" s="270"/>
      <c r="D28" s="271"/>
      <c r="E28" s="272"/>
      <c r="F28" s="256"/>
      <c r="G28" s="256"/>
      <c r="H28" s="256"/>
      <c r="I28" s="256"/>
      <c r="J28" s="256"/>
      <c r="K28" s="256"/>
    </row>
    <row r="29" spans="1:11" ht="16.5" customHeight="1">
      <c r="A29" s="3018"/>
      <c r="B29" s="269" t="s">
        <v>1579</v>
      </c>
      <c r="C29" s="270"/>
      <c r="D29" s="271"/>
      <c r="E29" s="272"/>
      <c r="F29" s="256"/>
      <c r="G29" s="256"/>
      <c r="H29" s="256"/>
      <c r="I29" s="256"/>
      <c r="J29" s="256"/>
      <c r="K29" s="256"/>
    </row>
    <row r="30" spans="1:11" ht="16.5" customHeight="1">
      <c r="A30" s="3018"/>
      <c r="B30" s="269" t="s">
        <v>1580</v>
      </c>
      <c r="C30" s="270"/>
      <c r="D30" s="271"/>
      <c r="E30" s="272"/>
      <c r="F30" s="256"/>
      <c r="G30" s="256"/>
      <c r="H30" s="256"/>
      <c r="I30" s="256"/>
      <c r="J30" s="256"/>
      <c r="K30" s="256"/>
    </row>
    <row r="31" spans="1:11" ht="16.5" customHeight="1">
      <c r="A31" s="3018"/>
      <c r="B31" s="269" t="s">
        <v>1581</v>
      </c>
      <c r="C31" s="270"/>
      <c r="D31" s="271"/>
      <c r="E31" s="272"/>
      <c r="F31" s="256"/>
      <c r="G31" s="256"/>
      <c r="H31" s="256"/>
      <c r="I31" s="256"/>
      <c r="J31" s="256"/>
      <c r="K31" s="256"/>
    </row>
    <row r="32" spans="1:11" ht="16.5" customHeight="1">
      <c r="A32" s="3018"/>
      <c r="B32" s="3019" t="s">
        <v>1582</v>
      </c>
      <c r="C32" s="282"/>
      <c r="D32" s="283"/>
      <c r="E32" s="284"/>
      <c r="F32" s="256"/>
      <c r="G32" s="256"/>
      <c r="H32" s="256"/>
      <c r="I32" s="256"/>
      <c r="J32" s="256"/>
      <c r="K32" s="256"/>
    </row>
    <row r="33" spans="1:11" ht="16.5" customHeight="1">
      <c r="A33" s="3018"/>
      <c r="B33" s="3019"/>
      <c r="C33" s="285"/>
      <c r="D33" s="286"/>
      <c r="E33" s="287"/>
      <c r="F33" s="256"/>
      <c r="G33" s="256"/>
      <c r="H33" s="256"/>
      <c r="I33" s="256"/>
      <c r="J33" s="256"/>
      <c r="K33" s="256"/>
    </row>
    <row r="34" spans="1:11" ht="16.5" customHeight="1">
      <c r="A34" s="3015" t="s">
        <v>1583</v>
      </c>
      <c r="B34" s="265" t="s">
        <v>1584</v>
      </c>
      <c r="C34" s="266"/>
      <c r="D34" s="267"/>
      <c r="E34" s="268"/>
      <c r="F34" s="256"/>
      <c r="G34" s="256"/>
      <c r="H34" s="256"/>
      <c r="I34" s="256"/>
      <c r="J34" s="256"/>
      <c r="K34" s="256"/>
    </row>
    <row r="35" spans="1:11" ht="16.5" customHeight="1">
      <c r="A35" s="3015"/>
      <c r="B35" s="269" t="s">
        <v>1585</v>
      </c>
      <c r="C35" s="270"/>
      <c r="D35" s="271"/>
      <c r="E35" s="272"/>
      <c r="F35" s="256"/>
      <c r="G35" s="256"/>
      <c r="H35" s="256"/>
      <c r="I35" s="256"/>
      <c r="J35" s="256"/>
      <c r="K35" s="256"/>
    </row>
    <row r="36" spans="1:11" ht="16.5" customHeight="1">
      <c r="A36" s="3015"/>
      <c r="B36" s="269" t="s">
        <v>1586</v>
      </c>
      <c r="C36" s="270"/>
      <c r="D36" s="271"/>
      <c r="E36" s="272"/>
      <c r="F36" s="256"/>
      <c r="G36" s="256"/>
      <c r="H36" s="256"/>
      <c r="I36" s="256"/>
      <c r="J36" s="256"/>
      <c r="K36" s="256"/>
    </row>
    <row r="37" spans="1:11" ht="16.5" customHeight="1">
      <c r="A37" s="3015"/>
      <c r="B37" s="269" t="s">
        <v>1587</v>
      </c>
      <c r="C37" s="270"/>
      <c r="D37" s="271"/>
      <c r="E37" s="272"/>
      <c r="F37" s="256"/>
      <c r="G37" s="256"/>
      <c r="H37" s="256"/>
      <c r="I37" s="256"/>
      <c r="J37" s="256"/>
      <c r="K37" s="256"/>
    </row>
    <row r="38" spans="1:11" ht="16.5" customHeight="1">
      <c r="A38" s="3015"/>
      <c r="B38" s="288" t="s">
        <v>1588</v>
      </c>
      <c r="C38" s="282"/>
      <c r="D38" s="283"/>
      <c r="E38" s="284"/>
      <c r="F38" s="256"/>
      <c r="G38" s="256"/>
      <c r="H38" s="256"/>
      <c r="I38" s="256"/>
      <c r="J38" s="256"/>
      <c r="K38" s="256"/>
    </row>
    <row r="39" spans="1:11" ht="16.5" customHeight="1">
      <c r="A39" s="3016" t="s">
        <v>1589</v>
      </c>
      <c r="B39" s="289"/>
      <c r="C39" s="290"/>
      <c r="D39" s="291"/>
      <c r="E39" s="292"/>
      <c r="F39" s="256"/>
      <c r="G39" s="256"/>
      <c r="H39" s="256"/>
      <c r="I39" s="256"/>
      <c r="J39" s="256"/>
      <c r="K39" s="256"/>
    </row>
    <row r="40" spans="1:11" ht="16.5" customHeight="1">
      <c r="A40" s="3016"/>
      <c r="B40" s="293"/>
      <c r="C40" s="294"/>
      <c r="D40" s="295"/>
      <c r="E40" s="296"/>
      <c r="F40" s="256"/>
      <c r="G40" s="256"/>
      <c r="H40" s="256"/>
      <c r="I40" s="256"/>
      <c r="J40" s="256"/>
      <c r="K40" s="256"/>
    </row>
    <row r="41" spans="1:11" ht="16.5" customHeight="1">
      <c r="A41" s="3016"/>
      <c r="B41" s="293"/>
      <c r="C41" s="294"/>
      <c r="D41" s="295"/>
      <c r="E41" s="296"/>
      <c r="F41" s="256"/>
      <c r="G41" s="256"/>
      <c r="H41" s="256"/>
      <c r="I41" s="256"/>
      <c r="J41" s="256"/>
      <c r="K41" s="256"/>
    </row>
    <row r="42" spans="1:11" ht="16.5" customHeight="1">
      <c r="A42" s="3016"/>
      <c r="B42" s="297"/>
      <c r="C42" s="298"/>
      <c r="D42" s="299"/>
      <c r="E42" s="300"/>
      <c r="F42" s="256"/>
      <c r="G42" s="256"/>
      <c r="H42" s="256"/>
      <c r="I42" s="256"/>
      <c r="J42" s="256"/>
      <c r="K42" s="256"/>
    </row>
  </sheetData>
  <sheetProtection selectLockedCells="1" selectUnlockedCells="1"/>
  <mergeCells count="13">
    <mergeCell ref="A6:A7"/>
    <mergeCell ref="B6:B7"/>
    <mergeCell ref="A1:E2"/>
    <mergeCell ref="A3:E3"/>
    <mergeCell ref="A5:B5"/>
    <mergeCell ref="C5:D5"/>
    <mergeCell ref="C6:E6"/>
    <mergeCell ref="A8:A12"/>
    <mergeCell ref="A39:A42"/>
    <mergeCell ref="A14:A21"/>
    <mergeCell ref="A22:A33"/>
    <mergeCell ref="B32:B33"/>
    <mergeCell ref="A34:A38"/>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5.6"/>
  <cols>
    <col min="1" max="1" width="7" style="301" customWidth="1"/>
    <col min="2" max="2" width="31.69921875" style="301" customWidth="1"/>
    <col min="3" max="3" width="7" style="301" customWidth="1"/>
    <col min="4" max="4" width="12.5" style="301" customWidth="1"/>
    <col min="5" max="5" width="26.19921875" style="301" customWidth="1"/>
    <col min="6" max="16384" width="9" style="301"/>
  </cols>
  <sheetData>
    <row r="1" spans="1:12" ht="22.2">
      <c r="A1" s="2706" t="s">
        <v>334</v>
      </c>
      <c r="B1" s="2706"/>
      <c r="C1" s="2706"/>
      <c r="D1" s="2706"/>
      <c r="E1" s="2706"/>
      <c r="F1" s="302"/>
      <c r="G1" s="302"/>
      <c r="H1" s="302"/>
      <c r="I1" s="302"/>
      <c r="J1" s="302"/>
      <c r="K1" s="302"/>
      <c r="L1" s="302"/>
    </row>
    <row r="2" spans="1:12" ht="7.5" customHeight="1">
      <c r="A2" s="303"/>
      <c r="B2" s="303"/>
      <c r="C2" s="303"/>
      <c r="D2" s="303"/>
      <c r="E2" s="303"/>
      <c r="F2" s="302"/>
      <c r="G2" s="302"/>
      <c r="H2" s="302"/>
      <c r="I2" s="302"/>
      <c r="J2" s="302"/>
      <c r="K2" s="302"/>
      <c r="L2" s="302"/>
    </row>
    <row r="3" spans="1:12" ht="27.9" customHeight="1">
      <c r="A3" s="304"/>
      <c r="B3" s="304"/>
      <c r="C3" s="304"/>
      <c r="D3" s="305" t="s">
        <v>283</v>
      </c>
      <c r="E3" s="306" t="str">
        <f>档案索引!A32</f>
        <v>2A-12</v>
      </c>
      <c r="F3" s="302"/>
      <c r="G3" s="302"/>
      <c r="H3" s="302"/>
      <c r="I3" s="302"/>
      <c r="J3" s="302"/>
      <c r="K3" s="302"/>
      <c r="L3" s="302"/>
    </row>
    <row r="4" spans="1:12" ht="27.9" customHeight="1">
      <c r="A4" s="307" t="s">
        <v>1590</v>
      </c>
      <c r="B4" s="307" t="s">
        <v>1591</v>
      </c>
      <c r="C4" s="307" t="s">
        <v>1590</v>
      </c>
      <c r="D4" s="2770" t="s">
        <v>1591</v>
      </c>
      <c r="E4" s="2770"/>
      <c r="F4" s="302"/>
      <c r="G4" s="302"/>
      <c r="H4" s="302"/>
      <c r="I4" s="302"/>
      <c r="J4" s="302"/>
      <c r="K4" s="302"/>
      <c r="L4" s="302"/>
    </row>
    <row r="5" spans="1:12" ht="27.9" customHeight="1">
      <c r="A5" s="308" t="s">
        <v>1592</v>
      </c>
      <c r="B5" s="309" t="s">
        <v>1593</v>
      </c>
      <c r="C5" s="310" t="s">
        <v>1594</v>
      </c>
      <c r="D5" s="3027" t="s">
        <v>1595</v>
      </c>
      <c r="E5" s="3027"/>
      <c r="F5" s="302"/>
      <c r="G5" s="302"/>
      <c r="H5" s="302"/>
      <c r="I5" s="302"/>
      <c r="J5" s="302"/>
      <c r="K5" s="302"/>
      <c r="L5" s="302"/>
    </row>
    <row r="6" spans="1:12" ht="27.9" customHeight="1">
      <c r="A6" s="308" t="s">
        <v>1596</v>
      </c>
      <c r="B6" s="309" t="s">
        <v>1597</v>
      </c>
      <c r="C6" s="310" t="s">
        <v>1598</v>
      </c>
      <c r="D6" s="3027" t="s">
        <v>1599</v>
      </c>
      <c r="E6" s="3027"/>
      <c r="F6" s="302"/>
      <c r="G6" s="302"/>
      <c r="H6" s="302"/>
      <c r="I6" s="302"/>
      <c r="J6" s="302"/>
      <c r="K6" s="302"/>
      <c r="L6" s="302"/>
    </row>
    <row r="7" spans="1:12" ht="27.9" customHeight="1">
      <c r="A7" s="310" t="s">
        <v>1600</v>
      </c>
      <c r="B7" s="309" t="s">
        <v>1601</v>
      </c>
      <c r="C7" s="310" t="s">
        <v>1602</v>
      </c>
      <c r="D7" s="3027" t="s">
        <v>1603</v>
      </c>
      <c r="E7" s="3027"/>
      <c r="F7" s="302"/>
      <c r="G7" s="302"/>
      <c r="H7" s="302"/>
      <c r="I7" s="302"/>
      <c r="J7" s="302"/>
      <c r="K7" s="302"/>
      <c r="L7" s="302"/>
    </row>
    <row r="8" spans="1:12" ht="27.9" customHeight="1">
      <c r="A8" s="310" t="s">
        <v>1604</v>
      </c>
      <c r="B8" s="309" t="s">
        <v>1605</v>
      </c>
      <c r="C8" s="310" t="s">
        <v>1606</v>
      </c>
      <c r="D8" s="3027" t="s">
        <v>1607</v>
      </c>
      <c r="E8" s="3027"/>
      <c r="F8" s="302"/>
      <c r="G8" s="302"/>
      <c r="H8" s="302"/>
      <c r="I8" s="302"/>
      <c r="J8" s="302"/>
      <c r="K8" s="302"/>
      <c r="L8" s="302"/>
    </row>
    <row r="9" spans="1:12" ht="27.9" customHeight="1">
      <c r="A9" s="310" t="s">
        <v>1608</v>
      </c>
      <c r="B9" s="309" t="s">
        <v>1609</v>
      </c>
      <c r="C9" s="310" t="s">
        <v>1610</v>
      </c>
      <c r="D9" s="3027" t="s">
        <v>1611</v>
      </c>
      <c r="E9" s="3027"/>
      <c r="F9" s="302"/>
      <c r="G9" s="302"/>
      <c r="H9" s="302"/>
      <c r="I9" s="302"/>
      <c r="J9" s="302"/>
      <c r="K9" s="302"/>
      <c r="L9" s="302"/>
    </row>
    <row r="10" spans="1:12" ht="27.9" customHeight="1">
      <c r="A10" s="310" t="s">
        <v>1612</v>
      </c>
      <c r="B10" s="309" t="s">
        <v>1613</v>
      </c>
      <c r="C10" s="310" t="s">
        <v>1614</v>
      </c>
      <c r="D10" s="3027" t="s">
        <v>1615</v>
      </c>
      <c r="E10" s="3027"/>
      <c r="F10" s="302"/>
      <c r="G10" s="302"/>
      <c r="H10" s="302"/>
      <c r="I10" s="302"/>
      <c r="J10" s="302"/>
      <c r="K10" s="302"/>
      <c r="L10" s="302"/>
    </row>
    <row r="11" spans="1:12" ht="27.9" customHeight="1">
      <c r="A11" s="310" t="s">
        <v>1616</v>
      </c>
      <c r="B11" s="309" t="s">
        <v>1617</v>
      </c>
      <c r="C11" s="310" t="s">
        <v>1618</v>
      </c>
      <c r="D11" s="3027" t="s">
        <v>1619</v>
      </c>
      <c r="E11" s="3027"/>
      <c r="F11" s="302"/>
      <c r="G11" s="302"/>
      <c r="H11" s="302"/>
      <c r="I11" s="302"/>
      <c r="J11" s="302"/>
      <c r="K11" s="302"/>
      <c r="L11" s="302"/>
    </row>
    <row r="12" spans="1:12" ht="27.9" customHeight="1">
      <c r="A12" s="310" t="s">
        <v>1620</v>
      </c>
      <c r="B12" s="309" t="s">
        <v>502</v>
      </c>
      <c r="C12" s="310" t="s">
        <v>503</v>
      </c>
      <c r="D12" s="3027" t="s">
        <v>504</v>
      </c>
      <c r="E12" s="3027"/>
      <c r="F12" s="302"/>
      <c r="G12" s="302"/>
      <c r="H12" s="302"/>
      <c r="I12" s="302"/>
      <c r="J12" s="302"/>
      <c r="K12" s="302"/>
      <c r="L12" s="302"/>
    </row>
    <row r="13" spans="1:12" ht="27.9" customHeight="1">
      <c r="A13" s="310" t="s">
        <v>505</v>
      </c>
      <c r="B13" s="309" t="s">
        <v>506</v>
      </c>
      <c r="C13" s="310" t="s">
        <v>507</v>
      </c>
      <c r="D13" s="3027" t="s">
        <v>508</v>
      </c>
      <c r="E13" s="3027"/>
      <c r="F13" s="302"/>
      <c r="G13" s="302"/>
      <c r="H13" s="302"/>
      <c r="I13" s="302"/>
      <c r="J13" s="302"/>
      <c r="K13" s="302"/>
      <c r="L13" s="302"/>
    </row>
    <row r="14" spans="1:12" ht="27.9" customHeight="1">
      <c r="A14" s="310" t="s">
        <v>509</v>
      </c>
      <c r="B14" s="309" t="s">
        <v>455</v>
      </c>
      <c r="C14" s="310" t="s">
        <v>510</v>
      </c>
      <c r="D14" s="3027" t="s">
        <v>511</v>
      </c>
      <c r="E14" s="3027"/>
      <c r="F14" s="302"/>
      <c r="G14" s="302"/>
      <c r="H14" s="302"/>
      <c r="I14" s="302"/>
      <c r="J14" s="302"/>
      <c r="K14" s="302"/>
      <c r="L14" s="302"/>
    </row>
    <row r="15" spans="1:12" ht="27.9" customHeight="1">
      <c r="A15" s="311"/>
      <c r="B15" s="312"/>
      <c r="C15" s="310" t="s">
        <v>512</v>
      </c>
      <c r="D15" s="3027" t="s">
        <v>513</v>
      </c>
      <c r="E15" s="3027"/>
      <c r="F15" s="302"/>
      <c r="G15" s="302"/>
      <c r="H15" s="302"/>
      <c r="I15" s="302"/>
      <c r="J15" s="302"/>
      <c r="K15" s="302"/>
      <c r="L15" s="302"/>
    </row>
    <row r="16" spans="1:12" ht="27.9" customHeight="1">
      <c r="A16" s="313"/>
      <c r="B16" s="314"/>
      <c r="C16" s="313"/>
      <c r="D16" s="3028"/>
      <c r="E16" s="3028"/>
      <c r="F16" s="302"/>
      <c r="G16" s="302"/>
      <c r="H16" s="302"/>
      <c r="I16" s="302"/>
      <c r="J16" s="302"/>
      <c r="K16" s="302"/>
      <c r="L16" s="302"/>
    </row>
    <row r="17" spans="1:12" ht="27.9" customHeight="1">
      <c r="A17" s="313"/>
      <c r="B17" s="314"/>
      <c r="C17" s="313"/>
      <c r="D17" s="3028"/>
      <c r="E17" s="3028"/>
      <c r="F17" s="302"/>
      <c r="G17" s="302"/>
      <c r="H17" s="302"/>
      <c r="I17" s="302"/>
      <c r="J17" s="302"/>
      <c r="K17" s="302"/>
      <c r="L17" s="302"/>
    </row>
    <row r="18" spans="1:12" ht="27.9" customHeight="1">
      <c r="A18" s="313"/>
      <c r="B18" s="314"/>
      <c r="C18" s="313"/>
      <c r="D18" s="3028"/>
      <c r="E18" s="3028"/>
      <c r="F18" s="302"/>
      <c r="G18" s="302"/>
      <c r="H18" s="302"/>
      <c r="I18" s="302"/>
      <c r="J18" s="302"/>
      <c r="K18" s="302"/>
      <c r="L18" s="302"/>
    </row>
    <row r="19" spans="1:12" ht="27.9" customHeight="1">
      <c r="A19" s="313"/>
      <c r="B19" s="314"/>
      <c r="C19" s="313"/>
      <c r="D19" s="3028"/>
      <c r="E19" s="3028"/>
      <c r="F19" s="302"/>
      <c r="G19" s="302"/>
      <c r="H19" s="302"/>
      <c r="I19" s="302"/>
      <c r="J19" s="302"/>
      <c r="K19" s="302"/>
      <c r="L19" s="302"/>
    </row>
    <row r="20" spans="1:12" ht="27.9" customHeight="1">
      <c r="A20" s="313"/>
      <c r="B20" s="314"/>
      <c r="C20" s="313"/>
      <c r="D20" s="3028"/>
      <c r="E20" s="3028"/>
      <c r="F20" s="302"/>
      <c r="G20" s="302"/>
      <c r="H20" s="302"/>
      <c r="I20" s="302"/>
      <c r="J20" s="302"/>
      <c r="K20" s="302"/>
      <c r="L20" s="302"/>
    </row>
    <row r="21" spans="1:12" ht="27.9" customHeight="1">
      <c r="A21" s="313"/>
      <c r="B21" s="314"/>
      <c r="C21" s="313"/>
      <c r="D21" s="3028"/>
      <c r="E21" s="3028"/>
      <c r="F21" s="302"/>
      <c r="G21" s="302"/>
      <c r="H21" s="302"/>
      <c r="I21" s="302"/>
      <c r="J21" s="302"/>
      <c r="K21" s="302"/>
      <c r="L21" s="302"/>
    </row>
    <row r="22" spans="1:12" ht="27.9" customHeight="1">
      <c r="A22" s="303" t="s">
        <v>514</v>
      </c>
      <c r="B22" s="303"/>
      <c r="C22" s="303"/>
      <c r="D22" s="303"/>
      <c r="E22" s="303"/>
      <c r="F22" s="302"/>
      <c r="G22" s="302"/>
      <c r="H22" s="302"/>
      <c r="I22" s="302"/>
      <c r="J22" s="302"/>
      <c r="K22" s="302"/>
      <c r="L22" s="302"/>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5.6"/>
  <cols>
    <col min="1" max="1" width="18" style="92" customWidth="1"/>
    <col min="2" max="2" width="12.3984375" style="92" customWidth="1"/>
    <col min="3" max="3" width="8.69921875" style="92" customWidth="1"/>
    <col min="4" max="4" width="10.59765625" style="92" customWidth="1"/>
    <col min="5" max="5" width="9.5" style="92" customWidth="1"/>
    <col min="6" max="6" width="12.59765625" style="92" customWidth="1"/>
    <col min="7" max="16384" width="9" style="92"/>
  </cols>
  <sheetData>
    <row r="1" spans="1:14" ht="22.2">
      <c r="A1" s="2706" t="s">
        <v>530</v>
      </c>
      <c r="B1" s="2706"/>
      <c r="C1" s="2706"/>
      <c r="D1" s="2706"/>
      <c r="E1" s="2706"/>
      <c r="F1" s="2706"/>
      <c r="G1" s="2706"/>
      <c r="H1" s="98"/>
      <c r="I1" s="98"/>
      <c r="J1" s="98"/>
      <c r="K1" s="98"/>
      <c r="L1" s="98"/>
      <c r="M1" s="98"/>
      <c r="N1" s="98"/>
    </row>
    <row r="2" spans="1:14">
      <c r="A2" s="3029"/>
      <c r="B2" s="3029"/>
      <c r="C2" s="3029"/>
      <c r="D2" s="3029"/>
      <c r="E2" s="3029"/>
      <c r="F2" s="3029"/>
      <c r="G2" s="3029"/>
      <c r="H2" s="98"/>
      <c r="I2" s="98"/>
      <c r="J2" s="1333"/>
      <c r="K2" s="98"/>
      <c r="L2" s="98"/>
      <c r="M2" s="98"/>
      <c r="N2" s="98"/>
    </row>
    <row r="3" spans="1:14" ht="19.5" customHeight="1">
      <c r="A3" s="3030" t="str">
        <f>"单位名称："&amp;基本情况!B2&amp;"      截止："&amp;本年度&amp;"年"&amp;截止月&amp;"月"&amp;截止日&amp;"日"&amp;"      单位:人民币元"</f>
        <v>单位名称：0      截止：2016年12月31日      单位:人民币元</v>
      </c>
      <c r="B3" s="3030"/>
      <c r="C3" s="3030"/>
      <c r="D3" s="3030"/>
      <c r="E3" s="3030"/>
      <c r="F3" s="3030"/>
      <c r="G3" s="3030"/>
      <c r="H3" s="98"/>
      <c r="I3" s="98"/>
      <c r="J3" s="98"/>
      <c r="K3" s="98"/>
      <c r="L3" s="98"/>
      <c r="M3" s="98"/>
      <c r="N3" s="98"/>
    </row>
    <row r="4" spans="1:14" s="317" customFormat="1" ht="22.5" customHeight="1">
      <c r="A4" s="99" t="s">
        <v>531</v>
      </c>
      <c r="B4" s="99" t="s">
        <v>532</v>
      </c>
      <c r="C4" s="99" t="s">
        <v>533</v>
      </c>
      <c r="D4" s="99" t="s">
        <v>534</v>
      </c>
      <c r="E4" s="99" t="s">
        <v>535</v>
      </c>
      <c r="F4" s="99" t="s">
        <v>536</v>
      </c>
      <c r="G4" s="99" t="s">
        <v>537</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442</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31" t="str">
        <f>"单位负责人："&amp;基本情况!B35&amp;"                盘点人："&amp;基本情况!B36&amp;"                  监盘人："&amp;基本情况!B12</f>
        <v>单位负责人：0                盘点人：0                  监盘人：</v>
      </c>
      <c r="B35" s="3031"/>
      <c r="C35" s="3031"/>
      <c r="D35" s="3031"/>
      <c r="E35" s="3031"/>
      <c r="F35" s="3031"/>
      <c r="G35" s="3031"/>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5.6"/>
  <cols>
    <col min="1" max="1" width="10.09765625" style="92" customWidth="1"/>
    <col min="2" max="2" width="6.8984375" style="92" customWidth="1"/>
    <col min="3" max="3" width="9" style="92"/>
    <col min="4" max="4" width="10.19921875" style="92" customWidth="1"/>
    <col min="5" max="5" width="3" style="92" customWidth="1"/>
    <col min="6" max="6" width="14.5" style="92" customWidth="1"/>
    <col min="7" max="7" width="9.69921875" style="92" customWidth="1"/>
    <col min="8" max="8" width="16.8984375" style="92" customWidth="1"/>
    <col min="9" max="16384" width="9" style="92"/>
  </cols>
  <sheetData>
    <row r="1" spans="1:15" ht="22.2">
      <c r="A1" s="2706" t="s">
        <v>538</v>
      </c>
      <c r="B1" s="2706"/>
      <c r="C1" s="2706"/>
      <c r="D1" s="2706"/>
      <c r="E1" s="2706"/>
      <c r="F1" s="2706"/>
      <c r="G1" s="2706"/>
      <c r="H1" s="2706"/>
      <c r="I1" s="98"/>
      <c r="J1" s="98"/>
      <c r="K1" s="98"/>
      <c r="L1" s="98"/>
      <c r="M1" s="98"/>
      <c r="N1" s="98"/>
      <c r="O1" s="98"/>
    </row>
    <row r="2" spans="1:15">
      <c r="A2" s="348" t="s">
        <v>539</v>
      </c>
      <c r="B2" s="348"/>
      <c r="C2" s="348"/>
      <c r="D2" s="348"/>
      <c r="E2" s="348"/>
      <c r="F2" s="348"/>
      <c r="G2" s="3033" t="s">
        <v>1551</v>
      </c>
      <c r="H2" s="3034"/>
      <c r="I2" s="98"/>
      <c r="J2" s="98"/>
      <c r="K2" s="98"/>
      <c r="L2" s="98"/>
      <c r="M2" s="98"/>
      <c r="N2" s="98"/>
      <c r="O2" s="98"/>
    </row>
    <row r="3" spans="1:15" ht="12" customHeight="1">
      <c r="A3" s="349"/>
      <c r="B3" s="349"/>
      <c r="C3" s="349"/>
      <c r="D3" s="349"/>
      <c r="E3" s="349"/>
      <c r="F3" s="349"/>
      <c r="G3" s="3033"/>
      <c r="H3" s="3034"/>
      <c r="I3" s="98"/>
      <c r="J3" s="98"/>
      <c r="K3" s="98"/>
      <c r="L3" s="98"/>
      <c r="M3" s="98"/>
      <c r="N3" s="98"/>
      <c r="O3" s="98"/>
    </row>
    <row r="4" spans="1:15" ht="19.5" customHeight="1">
      <c r="A4" s="350" t="s">
        <v>540</v>
      </c>
      <c r="B4" s="3035">
        <f>基本情况!B2</f>
        <v>0</v>
      </c>
      <c r="C4" s="3035"/>
      <c r="D4" s="3035"/>
      <c r="E4" s="3035"/>
      <c r="F4" s="351" t="s">
        <v>541</v>
      </c>
      <c r="G4" s="3036" t="str">
        <f>IF(OR(基本情况!B6&lt;&gt;"12月31日",基本情况!F5&lt;&gt;"01",基本情况!G5&lt;&gt;"01"),基本情况!B7,基本情况!B4&amp;"年度")</f>
        <v>2016年度</v>
      </c>
      <c r="H4" s="3036"/>
      <c r="I4" s="98"/>
      <c r="J4" s="98"/>
      <c r="K4" s="98"/>
      <c r="L4" s="98"/>
      <c r="M4" s="98"/>
      <c r="N4" s="98"/>
      <c r="O4" s="98"/>
    </row>
    <row r="5" spans="1:15" ht="19.5" customHeight="1">
      <c r="A5" s="352" t="s">
        <v>542</v>
      </c>
      <c r="B5" s="3037"/>
      <c r="C5" s="3037"/>
      <c r="D5" s="3037"/>
      <c r="E5" s="3037"/>
      <c r="F5" s="353" t="s">
        <v>543</v>
      </c>
      <c r="G5" s="3038" t="str">
        <f>基本情况!B22</f>
        <v>2017年5月4日</v>
      </c>
      <c r="H5" s="3038"/>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39" t="s">
        <v>544</v>
      </c>
      <c r="B50" s="3040"/>
      <c r="C50" s="3040"/>
      <c r="D50" s="3040"/>
      <c r="E50" s="3040"/>
      <c r="F50" s="3040"/>
      <c r="G50" s="3041" t="s">
        <v>545</v>
      </c>
      <c r="H50" s="3042">
        <f>基本情况!B12</f>
        <v>0</v>
      </c>
      <c r="I50" s="98"/>
      <c r="J50" s="98"/>
      <c r="K50" s="98"/>
      <c r="L50" s="98"/>
      <c r="M50" s="98"/>
      <c r="N50" s="98"/>
      <c r="O50" s="98"/>
    </row>
    <row r="51" spans="1:15" ht="5.25" customHeight="1">
      <c r="A51" s="3039"/>
      <c r="B51" s="3040"/>
      <c r="C51" s="3040"/>
      <c r="D51" s="3040"/>
      <c r="E51" s="3040"/>
      <c r="F51" s="3040"/>
      <c r="G51" s="3041"/>
      <c r="H51" s="3042"/>
      <c r="I51" s="98"/>
      <c r="J51" s="98"/>
      <c r="K51" s="98"/>
      <c r="L51" s="98"/>
      <c r="M51" s="98"/>
      <c r="N51" s="98"/>
      <c r="O51" s="98"/>
    </row>
    <row r="52" spans="1:15" ht="21.75" customHeight="1">
      <c r="A52" s="3032"/>
      <c r="B52" s="3032"/>
      <c r="C52" s="3032"/>
      <c r="D52" s="3032"/>
      <c r="E52" s="3032"/>
      <c r="F52" s="363" t="s">
        <v>546</v>
      </c>
      <c r="G52" s="364" t="s">
        <v>547</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5.6"/>
  <cols>
    <col min="1" max="2" width="4.3984375" style="168" customWidth="1"/>
    <col min="3" max="3" width="3.19921875" style="168" customWidth="1"/>
    <col min="4" max="4" width="3.5" style="168" customWidth="1"/>
    <col min="5" max="5" width="9.3984375" style="168" customWidth="1"/>
    <col min="6" max="6" width="11.59765625" style="168" customWidth="1"/>
    <col min="7" max="7" width="13.8984375" style="168" customWidth="1"/>
    <col min="8" max="8" width="8.69921875" style="168" customWidth="1"/>
    <col min="9" max="9" width="9.3984375" style="168" customWidth="1"/>
    <col min="10" max="10" width="3.19921875" style="168" customWidth="1"/>
    <col min="11" max="11" width="9.3984375" style="168" customWidth="1"/>
    <col min="12" max="12" width="3.09765625" style="168" customWidth="1"/>
    <col min="13" max="13" width="8.59765625" style="168" customWidth="1"/>
    <col min="14" max="14" width="8.5" style="168" customWidth="1"/>
    <col min="15" max="15" width="8.8984375" style="168" customWidth="1"/>
    <col min="16" max="16" width="7.19921875" style="168" customWidth="1"/>
    <col min="17" max="17" width="9" style="168"/>
    <col min="18" max="20" width="9.3984375" style="168" customWidth="1"/>
    <col min="21" max="21" width="12.8984375" style="168" customWidth="1"/>
    <col min="22" max="22" width="3.5" style="168" customWidth="1"/>
    <col min="23" max="23" width="26.8984375" style="168" customWidth="1"/>
    <col min="24" max="16384" width="9" style="168"/>
  </cols>
  <sheetData>
    <row r="1" spans="1:23" ht="22.2">
      <c r="A1" s="2706" t="s">
        <v>548</v>
      </c>
      <c r="B1" s="2706"/>
      <c r="C1" s="2706"/>
      <c r="D1" s="2706"/>
      <c r="E1" s="2706"/>
      <c r="F1" s="2706"/>
      <c r="G1" s="2706"/>
      <c r="H1" s="2706"/>
      <c r="I1" s="2706"/>
      <c r="J1" s="2706"/>
      <c r="K1" s="2706"/>
      <c r="L1" s="2706"/>
      <c r="M1" s="2706"/>
      <c r="N1" s="2706"/>
      <c r="O1" s="2706"/>
      <c r="P1" s="2706"/>
      <c r="Q1" s="2706"/>
      <c r="R1" s="367"/>
      <c r="S1" s="367"/>
      <c r="T1" s="367"/>
      <c r="U1" s="169"/>
      <c r="V1" s="169"/>
      <c r="W1" s="169"/>
    </row>
    <row r="2" spans="1:23" ht="19.5" customHeight="1">
      <c r="A2" s="3046" t="s">
        <v>447</v>
      </c>
      <c r="B2" s="3046"/>
      <c r="C2" s="3046"/>
      <c r="D2" s="3046"/>
      <c r="E2" s="3047">
        <f>基本情况!B2</f>
        <v>0</v>
      </c>
      <c r="F2" s="3047"/>
      <c r="G2" s="3047"/>
      <c r="H2" s="3047"/>
      <c r="I2" s="369" t="s">
        <v>450</v>
      </c>
      <c r="J2" s="3048">
        <f>基本情况!B12</f>
        <v>0</v>
      </c>
      <c r="K2" s="3048"/>
      <c r="L2" s="3048"/>
      <c r="M2" s="371" t="s">
        <v>449</v>
      </c>
      <c r="N2" s="3049" t="str">
        <f>TEXT(基本情况!B21,"yyyy-mm-dd")</f>
        <v>2017-03-16</v>
      </c>
      <c r="O2" s="3049"/>
      <c r="P2" s="3044" t="s">
        <v>283</v>
      </c>
      <c r="Q2" s="3050" t="str">
        <f>档案索引!A46</f>
        <v>2A-26</v>
      </c>
      <c r="R2" s="169"/>
      <c r="S2" s="169"/>
      <c r="T2" s="169"/>
      <c r="U2" s="169"/>
      <c r="V2" s="169"/>
      <c r="W2" s="169"/>
    </row>
    <row r="3" spans="1:23" ht="19.5" customHeight="1">
      <c r="A3" s="2926" t="s">
        <v>451</v>
      </c>
      <c r="B3" s="2926"/>
      <c r="C3" s="2926"/>
      <c r="D3" s="2926"/>
      <c r="E3" s="3051" t="str">
        <f>基本情况!B7</f>
        <v>2016年01月01日至2016年12月31日</v>
      </c>
      <c r="F3" s="3051"/>
      <c r="G3" s="3051"/>
      <c r="H3" s="3051"/>
      <c r="I3" s="373" t="s">
        <v>452</v>
      </c>
      <c r="J3" s="3052">
        <f>基本情况!B11</f>
        <v>0</v>
      </c>
      <c r="K3" s="3052"/>
      <c r="L3" s="3052"/>
      <c r="M3" s="375" t="s">
        <v>449</v>
      </c>
      <c r="N3" s="3052" t="str">
        <f>TEXT(基本情况!B22,"yyyy-mm-dd")</f>
        <v>2017-05-04</v>
      </c>
      <c r="O3" s="3052"/>
      <c r="P3" s="3044"/>
      <c r="Q3" s="3050"/>
      <c r="R3" s="169"/>
      <c r="S3" s="169"/>
      <c r="T3" s="169"/>
      <c r="U3" s="169"/>
      <c r="V3" s="169"/>
      <c r="W3" s="169"/>
    </row>
    <row r="4" spans="1:23" ht="16.5" customHeight="1">
      <c r="A4" s="3043" t="s">
        <v>549</v>
      </c>
      <c r="B4" s="3044" t="s">
        <v>1061</v>
      </c>
      <c r="C4" s="3045" t="s">
        <v>550</v>
      </c>
      <c r="D4" s="3045"/>
      <c r="E4" s="2920" t="s">
        <v>551</v>
      </c>
      <c r="F4" s="2920"/>
      <c r="G4" s="2920"/>
      <c r="H4" s="3044" t="s">
        <v>552</v>
      </c>
      <c r="I4" s="3044"/>
      <c r="J4" s="3044"/>
      <c r="K4" s="3044"/>
      <c r="L4" s="3044"/>
      <c r="M4" s="3045" t="s">
        <v>553</v>
      </c>
      <c r="N4" s="3044" t="s">
        <v>554</v>
      </c>
      <c r="O4" s="3044"/>
      <c r="P4" s="3044"/>
      <c r="Q4" s="2967" t="s">
        <v>455</v>
      </c>
      <c r="R4" s="169"/>
      <c r="S4" s="169"/>
      <c r="T4" s="169"/>
      <c r="U4" s="169"/>
      <c r="V4" s="169"/>
      <c r="W4" s="169"/>
    </row>
    <row r="5" spans="1:23" ht="16.5" customHeight="1">
      <c r="A5" s="3043"/>
      <c r="B5" s="3044"/>
      <c r="C5" s="3045"/>
      <c r="D5" s="3045"/>
      <c r="E5" s="377" t="s">
        <v>555</v>
      </c>
      <c r="F5" s="373" t="s">
        <v>556</v>
      </c>
      <c r="G5" s="373" t="s">
        <v>557</v>
      </c>
      <c r="H5" s="3044"/>
      <c r="I5" s="3044"/>
      <c r="J5" s="3044"/>
      <c r="K5" s="3044"/>
      <c r="L5" s="3044"/>
      <c r="M5" s="3045"/>
      <c r="N5" s="3044"/>
      <c r="O5" s="3044"/>
      <c r="P5" s="3044"/>
      <c r="Q5" s="2967"/>
      <c r="R5" s="2705" t="s">
        <v>395</v>
      </c>
      <c r="S5" s="2705"/>
      <c r="T5" s="2705"/>
      <c r="U5" s="169"/>
      <c r="V5" s="169"/>
      <c r="W5" s="169"/>
    </row>
    <row r="6" spans="1:23" ht="16.5" customHeight="1">
      <c r="A6" s="378"/>
      <c r="B6" s="379"/>
      <c r="C6" s="3053"/>
      <c r="D6" s="3053"/>
      <c r="E6" s="380"/>
      <c r="F6" s="381"/>
      <c r="G6" s="1094"/>
      <c r="H6" s="3054"/>
      <c r="I6" s="3054"/>
      <c r="J6" s="3054"/>
      <c r="K6" s="3054"/>
      <c r="L6" s="3054"/>
      <c r="M6" s="382">
        <v>1</v>
      </c>
      <c r="N6" s="3055" t="str">
        <f>IF(COUNTIF($R$14:$R$38,M6),INDEX($S$14:$S$38,MATCH(M6,$R$14:$R38,0)),"")</f>
        <v>未取得合法有效票据的支出</v>
      </c>
      <c r="O6" s="3055"/>
      <c r="P6" s="3055"/>
      <c r="Q6" s="383"/>
      <c r="R6" s="232" t="s">
        <v>558</v>
      </c>
      <c r="S6" s="169"/>
      <c r="T6" s="169"/>
      <c r="U6" s="169"/>
      <c r="V6" s="169"/>
      <c r="W6" s="169"/>
    </row>
    <row r="7" spans="1:23" ht="16.5" customHeight="1">
      <c r="A7" s="384"/>
      <c r="B7" s="385"/>
      <c r="C7" s="3056"/>
      <c r="D7" s="3056"/>
      <c r="E7" s="386"/>
      <c r="F7" s="385"/>
      <c r="G7" s="1095"/>
      <c r="H7" s="3057"/>
      <c r="I7" s="3057"/>
      <c r="J7" s="3057"/>
      <c r="K7" s="3057"/>
      <c r="L7" s="3057"/>
      <c r="M7" s="387">
        <v>2</v>
      </c>
      <c r="N7" s="3058" t="str">
        <f>IF(COUNTIF($R$14:$R$38,M7),INDEX($S$14:$S$38,MATCH(M7,$R$14:$R38,0)),"")</f>
        <v>跨期扣除项目</v>
      </c>
      <c r="O7" s="3058"/>
      <c r="P7" s="3058"/>
      <c r="Q7" s="388"/>
      <c r="R7" s="232" t="s">
        <v>559</v>
      </c>
      <c r="S7" s="169"/>
      <c r="T7" s="169"/>
      <c r="U7" s="169"/>
      <c r="V7" s="169"/>
      <c r="W7" s="169"/>
    </row>
    <row r="8" spans="1:23" ht="16.5" customHeight="1">
      <c r="A8" s="384"/>
      <c r="B8" s="385"/>
      <c r="C8" s="3056"/>
      <c r="D8" s="3056"/>
      <c r="E8" s="386"/>
      <c r="F8" s="385"/>
      <c r="G8" s="1095"/>
      <c r="H8" s="3057"/>
      <c r="I8" s="3057"/>
      <c r="J8" s="3057"/>
      <c r="K8" s="3057"/>
      <c r="L8" s="3057"/>
      <c r="M8" s="387">
        <v>3</v>
      </c>
      <c r="N8" s="3058" t="str">
        <f>IF(COUNTIF($R$14:$R$38,M8),INDEX($S$14:$S$38,MATCH(M8,$R$14:$R39,0)),"")</f>
        <v>与取得收入无关的支出</v>
      </c>
      <c r="O8" s="3058"/>
      <c r="P8" s="3058"/>
      <c r="Q8" s="388"/>
      <c r="R8" s="232" t="s">
        <v>560</v>
      </c>
      <c r="S8" s="169"/>
      <c r="T8" s="169"/>
      <c r="U8" s="169"/>
      <c r="V8" s="169"/>
      <c r="W8" s="169"/>
    </row>
    <row r="9" spans="1:23" ht="16.5" customHeight="1">
      <c r="A9" s="384"/>
      <c r="B9" s="385"/>
      <c r="C9" s="3056"/>
      <c r="D9" s="3056"/>
      <c r="E9" s="386"/>
      <c r="F9" s="385"/>
      <c r="G9" s="1095"/>
      <c r="H9" s="3057"/>
      <c r="I9" s="3057"/>
      <c r="J9" s="3057"/>
      <c r="K9" s="3057"/>
      <c r="L9" s="3057"/>
      <c r="M9" s="387">
        <v>4</v>
      </c>
      <c r="N9" s="3058" t="str">
        <f>IF(COUNTIF($R$14:$R$38,M9),INDEX($S$14:$S$38,MATCH(M9,$R$14:$R40,0)),"")</f>
        <v>非本公司费用</v>
      </c>
      <c r="O9" s="3058"/>
      <c r="P9" s="3058"/>
      <c r="Q9" s="388"/>
      <c r="R9" s="1269" t="s">
        <v>262</v>
      </c>
      <c r="S9" s="169"/>
      <c r="T9" s="169"/>
      <c r="U9" s="169"/>
      <c r="V9" s="169"/>
      <c r="W9" s="169"/>
    </row>
    <row r="10" spans="1:23" ht="16.5" customHeight="1">
      <c r="A10" s="384"/>
      <c r="B10" s="385"/>
      <c r="C10" s="3056"/>
      <c r="D10" s="3056"/>
      <c r="E10" s="386"/>
      <c r="F10" s="385"/>
      <c r="G10" s="1095"/>
      <c r="H10" s="3057"/>
      <c r="I10" s="3057"/>
      <c r="J10" s="3057"/>
      <c r="K10" s="3057"/>
      <c r="L10" s="3057"/>
      <c r="M10" s="387">
        <v>5</v>
      </c>
      <c r="N10" s="3058" t="str">
        <f>IF(COUNTIF($R$14:$R$38,M10),INDEX($S$14:$S$38,MATCH(M10,$R$14:$R41,0)),"")</f>
        <v>应并入业务招待费的费用</v>
      </c>
      <c r="O10" s="3058"/>
      <c r="P10" s="3058"/>
      <c r="Q10" s="388"/>
      <c r="R10" s="232" t="s">
        <v>562</v>
      </c>
      <c r="S10" s="389"/>
      <c r="T10" s="169"/>
      <c r="U10" s="169"/>
      <c r="V10" s="169"/>
      <c r="W10" s="169"/>
    </row>
    <row r="11" spans="1:23" ht="16.5" customHeight="1">
      <c r="A11" s="384"/>
      <c r="B11" s="385"/>
      <c r="C11" s="3056"/>
      <c r="D11" s="3056"/>
      <c r="E11" s="386"/>
      <c r="F11" s="385"/>
      <c r="G11" s="1095"/>
      <c r="H11" s="3057"/>
      <c r="I11" s="3057"/>
      <c r="J11" s="3057"/>
      <c r="K11" s="3057"/>
      <c r="L11" s="3057"/>
      <c r="M11" s="387">
        <v>6</v>
      </c>
      <c r="N11" s="3058" t="str">
        <f>IF(COUNTIF($R$14:$R$38,M11),INDEX($S$14:$S$38,MATCH(M11,$R$14:$R42,0)),"")</f>
        <v>产权不属于公司的汽车费用</v>
      </c>
      <c r="O11" s="3058"/>
      <c r="P11" s="3058"/>
      <c r="Q11" s="388"/>
      <c r="R11" s="232" t="s">
        <v>563</v>
      </c>
      <c r="S11" s="389"/>
      <c r="T11" s="169"/>
      <c r="U11" s="169"/>
      <c r="V11" s="169"/>
      <c r="W11" s="169"/>
    </row>
    <row r="12" spans="1:23" ht="16.5" customHeight="1">
      <c r="A12" s="384"/>
      <c r="B12" s="385"/>
      <c r="C12" s="3056"/>
      <c r="D12" s="3056"/>
      <c r="E12" s="386"/>
      <c r="F12" s="385"/>
      <c r="G12" s="1095"/>
      <c r="H12" s="3057"/>
      <c r="I12" s="3057"/>
      <c r="J12" s="3057"/>
      <c r="K12" s="3057"/>
      <c r="L12" s="3057"/>
      <c r="M12" s="387">
        <v>7</v>
      </c>
      <c r="N12" s="3058" t="str">
        <f>IF(COUNTIF($R$14:$R$38,M12),INDEX($S$14:$S$38,MATCH(M12,$R$14:$R43,0)),"")</f>
        <v>不属于应付福利费开支范围的支出</v>
      </c>
      <c r="O12" s="3058"/>
      <c r="P12" s="3058"/>
      <c r="Q12" s="388"/>
      <c r="R12" s="3059" t="s">
        <v>564</v>
      </c>
      <c r="S12" s="3059"/>
      <c r="T12" s="3059"/>
      <c r="U12" s="3059"/>
      <c r="V12" s="3059"/>
      <c r="W12" s="3059"/>
    </row>
    <row r="13" spans="1:23" ht="16.5" customHeight="1">
      <c r="A13" s="384"/>
      <c r="B13" s="385"/>
      <c r="C13" s="3056"/>
      <c r="D13" s="3056"/>
      <c r="E13" s="386"/>
      <c r="F13" s="385"/>
      <c r="G13" s="1095"/>
      <c r="H13" s="3057"/>
      <c r="I13" s="3057"/>
      <c r="J13" s="3057"/>
      <c r="K13" s="3057"/>
      <c r="L13" s="3057"/>
      <c r="M13" s="387">
        <v>8</v>
      </c>
      <c r="N13" s="3058" t="str">
        <f>IF(COUNTIF($R$14:$R$38,M13),INDEX($S$14:$S$38,MATCH(M13,$R$14:$R44,0)),"")</f>
        <v>税收滞纳金</v>
      </c>
      <c r="O13" s="3058"/>
      <c r="P13" s="3058"/>
      <c r="Q13" s="388"/>
      <c r="R13" s="3059"/>
      <c r="S13" s="3059"/>
      <c r="T13" s="3059"/>
      <c r="U13" s="3059"/>
      <c r="V13" s="3059"/>
      <c r="W13" s="3059"/>
    </row>
    <row r="14" spans="1:23" ht="16.5" customHeight="1">
      <c r="A14" s="384"/>
      <c r="B14" s="385"/>
      <c r="C14" s="3056"/>
      <c r="D14" s="3056"/>
      <c r="E14" s="386"/>
      <c r="F14" s="385"/>
      <c r="G14" s="1095"/>
      <c r="H14" s="3057"/>
      <c r="I14" s="3057"/>
      <c r="J14" s="3057"/>
      <c r="K14" s="3057"/>
      <c r="L14" s="3057"/>
      <c r="M14" s="387">
        <v>9</v>
      </c>
      <c r="N14" s="3058" t="str">
        <f>IF(COUNTIF($R$14:$R$38,M14),INDEX($S$14:$S$38,MATCH(M14,$R$14:$R45,0)),"")</f>
        <v>大额购物未附清单</v>
      </c>
      <c r="O14" s="3058"/>
      <c r="P14" s="3058"/>
      <c r="Q14" s="388"/>
      <c r="R14" s="390">
        <v>1</v>
      </c>
      <c r="S14" s="389" t="s">
        <v>565</v>
      </c>
    </row>
    <row r="15" spans="1:23" ht="16.5" customHeight="1">
      <c r="A15" s="384"/>
      <c r="B15" s="385"/>
      <c r="C15" s="3056"/>
      <c r="D15" s="3056"/>
      <c r="E15" s="386"/>
      <c r="F15" s="385"/>
      <c r="G15" s="1095"/>
      <c r="H15" s="3057"/>
      <c r="I15" s="3057"/>
      <c r="J15" s="3057"/>
      <c r="K15" s="3057"/>
      <c r="L15" s="3057"/>
      <c r="M15" s="387">
        <v>10</v>
      </c>
      <c r="N15" s="3058" t="str">
        <f>IF(COUNTIF($R$14:$R$38,M15),INDEX($S$14:$S$38,MATCH(M15,$R$14:$R46,0)),"")</f>
        <v>罚金、违法经营罚款和被没收财物损失</v>
      </c>
      <c r="O15" s="3058"/>
      <c r="P15" s="3058"/>
      <c r="Q15" s="388"/>
      <c r="R15" s="1778">
        <v>2</v>
      </c>
      <c r="S15" s="1779" t="s">
        <v>6494</v>
      </c>
      <c r="T15" s="169"/>
      <c r="U15" s="169"/>
      <c r="V15" s="169"/>
      <c r="W15" s="169"/>
    </row>
    <row r="16" spans="1:23" ht="16.5" customHeight="1">
      <c r="A16" s="384"/>
      <c r="B16" s="385"/>
      <c r="C16" s="3056"/>
      <c r="D16" s="3056"/>
      <c r="E16" s="386"/>
      <c r="F16" s="385"/>
      <c r="G16" s="1095"/>
      <c r="H16" s="3057"/>
      <c r="I16" s="3057"/>
      <c r="J16" s="3057"/>
      <c r="K16" s="3057"/>
      <c r="L16" s="3057"/>
      <c r="M16" s="387">
        <v>11</v>
      </c>
      <c r="N16" s="3058" t="str">
        <f>IF(COUNTIF($R$14:$R$38,M16),INDEX($S$14:$S$38,MATCH(M16,$R$14:$R47,0)),"")</f>
        <v>不允许直接在损益中列支的当年福利费</v>
      </c>
      <c r="O16" s="3058"/>
      <c r="P16" s="3058"/>
      <c r="Q16" s="388"/>
      <c r="R16" s="391">
        <v>3</v>
      </c>
      <c r="S16" s="392" t="s">
        <v>566</v>
      </c>
      <c r="T16" s="169"/>
      <c r="U16" s="169"/>
      <c r="V16" s="169"/>
      <c r="W16" s="169"/>
    </row>
    <row r="17" spans="1:23" ht="16.5" customHeight="1">
      <c r="A17" s="384"/>
      <c r="B17" s="385"/>
      <c r="C17" s="3056"/>
      <c r="D17" s="3056"/>
      <c r="E17" s="386"/>
      <c r="F17" s="385"/>
      <c r="G17" s="1095"/>
      <c r="H17" s="3057"/>
      <c r="I17" s="3057"/>
      <c r="J17" s="3057"/>
      <c r="K17" s="3057"/>
      <c r="L17" s="3057"/>
      <c r="M17" s="387">
        <v>12</v>
      </c>
      <c r="N17" s="3058" t="str">
        <f>IF(COUNTIF($R$14:$R$38,M17),INDEX($S$14:$S$38,MATCH(M17,$R$14:$R48,0)),"")</f>
        <v>跨期费用</v>
      </c>
      <c r="O17" s="3058"/>
      <c r="P17" s="3058"/>
      <c r="Q17" s="388"/>
      <c r="R17" s="390">
        <v>4</v>
      </c>
      <c r="S17" s="389" t="s">
        <v>567</v>
      </c>
      <c r="T17" s="169"/>
      <c r="U17" s="169"/>
      <c r="V17" s="169"/>
      <c r="W17" s="169"/>
    </row>
    <row r="18" spans="1:23" ht="16.5" customHeight="1">
      <c r="A18" s="384"/>
      <c r="B18" s="385"/>
      <c r="C18" s="3056"/>
      <c r="D18" s="3056"/>
      <c r="E18" s="386"/>
      <c r="F18" s="385"/>
      <c r="G18" s="1095"/>
      <c r="H18" s="3057"/>
      <c r="I18" s="3057"/>
      <c r="J18" s="3057"/>
      <c r="K18" s="3057"/>
      <c r="L18" s="3057"/>
      <c r="M18" s="387"/>
      <c r="N18" s="3058" t="str">
        <f>IF(COUNTIF($R$14:$R$38,M18),INDEX($S$14:$S$38,MATCH(M18,$R$14:$R49,0)),"")</f>
        <v/>
      </c>
      <c r="O18" s="3058"/>
      <c r="P18" s="3058"/>
      <c r="Q18" s="388"/>
      <c r="R18" s="391">
        <v>5</v>
      </c>
      <c r="S18" s="392" t="s">
        <v>568</v>
      </c>
      <c r="T18" s="169"/>
      <c r="U18" s="169"/>
      <c r="V18" s="169"/>
      <c r="W18" s="169"/>
    </row>
    <row r="19" spans="1:23" ht="16.5" customHeight="1">
      <c r="A19" s="384"/>
      <c r="B19" s="385"/>
      <c r="C19" s="3056"/>
      <c r="D19" s="3056"/>
      <c r="E19" s="386"/>
      <c r="F19" s="385"/>
      <c r="G19" s="1095"/>
      <c r="H19" s="3057"/>
      <c r="I19" s="3057"/>
      <c r="J19" s="3057"/>
      <c r="K19" s="3057"/>
      <c r="L19" s="3057"/>
      <c r="M19" s="387"/>
      <c r="N19" s="3058" t="str">
        <f>IF(COUNTIF($R$14:$R$38,M19),INDEX($S$14:$S$38,MATCH(M19,$R$14:$R50,0)),"")</f>
        <v/>
      </c>
      <c r="O19" s="3058"/>
      <c r="P19" s="3058"/>
      <c r="Q19" s="388"/>
      <c r="R19" s="390">
        <v>6</v>
      </c>
      <c r="S19" s="389" t="s">
        <v>569</v>
      </c>
      <c r="T19" s="169"/>
      <c r="U19" s="169"/>
      <c r="V19" s="169"/>
      <c r="W19" s="169"/>
    </row>
    <row r="20" spans="1:23" ht="16.5" customHeight="1">
      <c r="A20" s="384"/>
      <c r="B20" s="385"/>
      <c r="C20" s="3056"/>
      <c r="D20" s="3056"/>
      <c r="E20" s="386"/>
      <c r="F20" s="385"/>
      <c r="G20" s="1095"/>
      <c r="H20" s="3057"/>
      <c r="I20" s="3057"/>
      <c r="J20" s="3057"/>
      <c r="K20" s="3057"/>
      <c r="L20" s="3057"/>
      <c r="M20" s="387"/>
      <c r="N20" s="3058" t="str">
        <f>IF(COUNTIF($R$14:$R$38,M20),INDEX($S$14:$S$38,MATCH(M20,$R$14:$R51,0)),"")</f>
        <v/>
      </c>
      <c r="O20" s="3058"/>
      <c r="P20" s="3058"/>
      <c r="Q20" s="388"/>
      <c r="R20" s="391">
        <v>7</v>
      </c>
      <c r="S20" s="392" t="s">
        <v>570</v>
      </c>
      <c r="T20" s="169"/>
      <c r="U20" s="169"/>
    </row>
    <row r="21" spans="1:23" ht="16.5" customHeight="1">
      <c r="A21" s="384"/>
      <c r="B21" s="385"/>
      <c r="C21" s="3056"/>
      <c r="D21" s="3056"/>
      <c r="E21" s="386"/>
      <c r="F21" s="385"/>
      <c r="G21" s="1095"/>
      <c r="H21" s="3057"/>
      <c r="I21" s="3057"/>
      <c r="J21" s="3057"/>
      <c r="K21" s="3057"/>
      <c r="L21" s="3057"/>
      <c r="M21" s="387"/>
      <c r="N21" s="3058" t="str">
        <f>IF(COUNTIF($R$14:$R$38,M21),INDEX($S$14:$S$38,MATCH(M21,$R$14:$R52,0)),"")</f>
        <v/>
      </c>
      <c r="O21" s="3058"/>
      <c r="P21" s="3058"/>
      <c r="Q21" s="388"/>
      <c r="R21" s="391">
        <v>8</v>
      </c>
      <c r="S21" s="392" t="s">
        <v>571</v>
      </c>
      <c r="T21" s="169"/>
      <c r="U21" s="169"/>
    </row>
    <row r="22" spans="1:23" ht="16.5" customHeight="1">
      <c r="A22" s="384"/>
      <c r="B22" s="385"/>
      <c r="C22" s="3056"/>
      <c r="D22" s="3056"/>
      <c r="E22" s="386"/>
      <c r="F22" s="385"/>
      <c r="G22" s="1095"/>
      <c r="H22" s="3057"/>
      <c r="I22" s="3057"/>
      <c r="J22" s="3057"/>
      <c r="K22" s="3057"/>
      <c r="L22" s="3057"/>
      <c r="M22" s="387"/>
      <c r="N22" s="3058" t="str">
        <f>IF(COUNTIF($R$14:$R$38,M22),INDEX($S$14:$S$38,MATCH(M22,$R$14:$R53,0)),"")</f>
        <v/>
      </c>
      <c r="O22" s="3058"/>
      <c r="P22" s="3058"/>
      <c r="Q22" s="388"/>
      <c r="R22" s="390">
        <v>9</v>
      </c>
      <c r="S22" s="389" t="s">
        <v>572</v>
      </c>
      <c r="T22" s="169"/>
      <c r="U22" s="169"/>
      <c r="V22" s="169"/>
      <c r="W22" s="169"/>
    </row>
    <row r="23" spans="1:23" ht="16.5" customHeight="1">
      <c r="A23" s="384"/>
      <c r="B23" s="385"/>
      <c r="C23" s="3056"/>
      <c r="D23" s="3056"/>
      <c r="E23" s="386"/>
      <c r="F23" s="385"/>
      <c r="G23" s="1095"/>
      <c r="H23" s="3057"/>
      <c r="I23" s="3057"/>
      <c r="J23" s="3057"/>
      <c r="K23" s="3057"/>
      <c r="L23" s="3057"/>
      <c r="M23" s="387"/>
      <c r="N23" s="3058" t="str">
        <f>IF(COUNTIF($R$14:$R$38,M23),INDEX($S$14:$S$38,MATCH(M23,$R$14:$R54,0)),"")</f>
        <v/>
      </c>
      <c r="O23" s="3058"/>
      <c r="P23" s="3058"/>
      <c r="Q23" s="388"/>
      <c r="R23" s="1778">
        <v>10</v>
      </c>
      <c r="S23" s="1779" t="s">
        <v>6495</v>
      </c>
      <c r="T23" s="169"/>
      <c r="U23" s="169"/>
      <c r="V23" s="169"/>
      <c r="W23" s="169"/>
    </row>
    <row r="24" spans="1:23" ht="16.5" customHeight="1">
      <c r="A24" s="384"/>
      <c r="B24" s="385"/>
      <c r="C24" s="3056"/>
      <c r="D24" s="3056"/>
      <c r="E24" s="386"/>
      <c r="F24" s="385"/>
      <c r="G24" s="1095"/>
      <c r="H24" s="3057"/>
      <c r="I24" s="3057"/>
      <c r="J24" s="3057"/>
      <c r="K24" s="3057"/>
      <c r="L24" s="3057"/>
      <c r="M24" s="387"/>
      <c r="N24" s="3058" t="str">
        <f>IF(COUNTIF($R$14:$R$38,M24),INDEX($S$14:$S$38,MATCH(M24,$R$14:$R55,0)),"")</f>
        <v/>
      </c>
      <c r="O24" s="3058"/>
      <c r="P24" s="3058"/>
      <c r="Q24" s="388"/>
      <c r="R24" s="393">
        <v>11</v>
      </c>
      <c r="S24" s="394" t="s">
        <v>573</v>
      </c>
      <c r="T24" s="169"/>
      <c r="U24" s="169"/>
      <c r="V24" s="169"/>
      <c r="W24" s="169"/>
    </row>
    <row r="25" spans="1:23" ht="16.5" customHeight="1">
      <c r="A25" s="384"/>
      <c r="B25" s="385"/>
      <c r="C25" s="3056"/>
      <c r="D25" s="3056"/>
      <c r="E25" s="395"/>
      <c r="F25" s="396"/>
      <c r="G25" s="1095"/>
      <c r="H25" s="3057"/>
      <c r="I25" s="3057"/>
      <c r="J25" s="3057"/>
      <c r="K25" s="3057"/>
      <c r="L25" s="3057"/>
      <c r="M25" s="387"/>
      <c r="N25" s="3058" t="str">
        <f>IF(COUNTIF($R$14:$R$38,M25),INDEX($S$14:$S$38,MATCH(M25,$R$14:$R56,0)),"")</f>
        <v/>
      </c>
      <c r="O25" s="3058"/>
      <c r="P25" s="3058"/>
      <c r="Q25" s="388"/>
      <c r="R25" s="390">
        <v>12</v>
      </c>
      <c r="S25" s="2225" t="s">
        <v>6794</v>
      </c>
      <c r="T25" s="169"/>
      <c r="U25" s="169"/>
      <c r="V25" s="169"/>
      <c r="W25" s="169"/>
    </row>
    <row r="26" spans="1:23" ht="16.5" hidden="1" customHeight="1">
      <c r="A26" s="384"/>
      <c r="B26" s="385"/>
      <c r="C26" s="3056"/>
      <c r="D26" s="3056"/>
      <c r="E26" s="395"/>
      <c r="F26" s="396"/>
      <c r="G26" s="1095"/>
      <c r="H26" s="3057"/>
      <c r="I26" s="3057"/>
      <c r="J26" s="3057"/>
      <c r="K26" s="3057"/>
      <c r="L26" s="3057"/>
      <c r="M26" s="387"/>
      <c r="N26" s="3058" t="str">
        <f>IF(COUNTIF($R$14:$R$38,M26),INDEX($S$14:$S$38,MATCH(M26,$R$14:$R57,0)),"")</f>
        <v/>
      </c>
      <c r="O26" s="3058"/>
      <c r="P26" s="3058"/>
      <c r="Q26" s="388"/>
      <c r="R26" s="390">
        <v>13</v>
      </c>
      <c r="S26" s="390"/>
      <c r="T26" s="169"/>
      <c r="U26" s="169"/>
      <c r="V26" s="169"/>
      <c r="W26" s="169"/>
    </row>
    <row r="27" spans="1:23" ht="12.75" hidden="1" customHeight="1">
      <c r="A27" s="384"/>
      <c r="B27" s="385"/>
      <c r="C27" s="3056"/>
      <c r="D27" s="3056"/>
      <c r="E27" s="395"/>
      <c r="F27" s="396"/>
      <c r="G27" s="1095"/>
      <c r="H27" s="3057"/>
      <c r="I27" s="3057"/>
      <c r="J27" s="3057"/>
      <c r="K27" s="3057"/>
      <c r="L27" s="3057"/>
      <c r="M27" s="387"/>
      <c r="N27" s="3058" t="str">
        <f>IF(COUNTIF($R$14:$R$38,M27),INDEX($S$14:$S$38,MATCH(M27,$R$14:$R58,0)),"")</f>
        <v/>
      </c>
      <c r="O27" s="3058"/>
      <c r="P27" s="3058"/>
      <c r="Q27" s="388"/>
      <c r="R27" s="390">
        <v>14</v>
      </c>
      <c r="S27" s="390"/>
      <c r="T27" s="169"/>
      <c r="U27" s="169"/>
      <c r="V27" s="169"/>
      <c r="W27" s="169"/>
    </row>
    <row r="28" spans="1:23" ht="12.75" hidden="1" customHeight="1">
      <c r="A28" s="384"/>
      <c r="B28" s="385"/>
      <c r="C28" s="3056"/>
      <c r="D28" s="3056"/>
      <c r="E28" s="395"/>
      <c r="F28" s="396"/>
      <c r="G28" s="1095"/>
      <c r="H28" s="3057"/>
      <c r="I28" s="3057"/>
      <c r="J28" s="3057"/>
      <c r="K28" s="3057"/>
      <c r="L28" s="3057"/>
      <c r="M28" s="387"/>
      <c r="N28" s="3058" t="str">
        <f>IF(COUNTIF($R$14:$R$38,M28),INDEX($S$14:$S$38,MATCH(M28,$R$14:$R59,0)),"")</f>
        <v/>
      </c>
      <c r="O28" s="3058"/>
      <c r="P28" s="3058"/>
      <c r="Q28" s="388"/>
      <c r="R28" s="390">
        <v>15</v>
      </c>
      <c r="S28" s="390"/>
      <c r="T28" s="169"/>
      <c r="U28" s="169"/>
      <c r="V28" s="169"/>
      <c r="W28" s="169"/>
    </row>
    <row r="29" spans="1:23" ht="12.75" hidden="1" customHeight="1">
      <c r="A29" s="384"/>
      <c r="B29" s="385"/>
      <c r="C29" s="3056"/>
      <c r="D29" s="3056"/>
      <c r="E29" s="395"/>
      <c r="F29" s="396"/>
      <c r="G29" s="1095"/>
      <c r="H29" s="3057"/>
      <c r="I29" s="3057"/>
      <c r="J29" s="3057"/>
      <c r="K29" s="3057"/>
      <c r="L29" s="3057"/>
      <c r="M29" s="387"/>
      <c r="N29" s="3058" t="str">
        <f>IF(COUNTIF($R$14:$R$38,M29),INDEX($S$14:$S$38,MATCH(M29,$R$14:$R60,0)),"")</f>
        <v/>
      </c>
      <c r="O29" s="3058"/>
      <c r="P29" s="3058"/>
      <c r="Q29" s="388"/>
      <c r="R29" s="390">
        <v>16</v>
      </c>
      <c r="S29" s="390"/>
      <c r="T29" s="169"/>
      <c r="U29" s="169"/>
      <c r="V29" s="169"/>
      <c r="W29" s="169"/>
    </row>
    <row r="30" spans="1:23" ht="12.75" hidden="1" customHeight="1">
      <c r="A30" s="384"/>
      <c r="B30" s="385"/>
      <c r="C30" s="3056"/>
      <c r="D30" s="3056"/>
      <c r="E30" s="395"/>
      <c r="F30" s="396"/>
      <c r="G30" s="1095"/>
      <c r="H30" s="3057"/>
      <c r="I30" s="3057"/>
      <c r="J30" s="3057"/>
      <c r="K30" s="3057"/>
      <c r="L30" s="3057"/>
      <c r="M30" s="387"/>
      <c r="N30" s="3058" t="str">
        <f>IF(COUNTIF($R$14:$R$38,M30),INDEX($S$14:$S$38,MATCH(M30,$R$14:$R61,0)),"")</f>
        <v/>
      </c>
      <c r="O30" s="3058"/>
      <c r="P30" s="3058"/>
      <c r="Q30" s="388"/>
      <c r="R30" s="390">
        <v>17</v>
      </c>
      <c r="S30" s="397"/>
      <c r="T30" s="169"/>
      <c r="U30" s="169"/>
      <c r="V30" s="169"/>
      <c r="W30" s="169"/>
    </row>
    <row r="31" spans="1:23" ht="12.75" hidden="1" customHeight="1">
      <c r="A31" s="384"/>
      <c r="B31" s="385"/>
      <c r="C31" s="3056"/>
      <c r="D31" s="3056"/>
      <c r="E31" s="395"/>
      <c r="F31" s="396"/>
      <c r="G31" s="1095"/>
      <c r="H31" s="3057"/>
      <c r="I31" s="3057"/>
      <c r="J31" s="3057"/>
      <c r="K31" s="3057"/>
      <c r="L31" s="3057"/>
      <c r="M31" s="387"/>
      <c r="N31" s="3058" t="str">
        <f>IF(COUNTIF($R$14:$R$38,M31),INDEX($S$14:$S$38,MATCH(M31,$R$14:$R62,0)),"")</f>
        <v/>
      </c>
      <c r="O31" s="3058"/>
      <c r="P31" s="3058"/>
      <c r="Q31" s="388"/>
      <c r="R31" s="390">
        <v>18</v>
      </c>
      <c r="S31" s="397"/>
      <c r="T31" s="169"/>
      <c r="U31" s="169"/>
      <c r="V31" s="169"/>
      <c r="W31" s="169"/>
    </row>
    <row r="32" spans="1:23" ht="12.75" hidden="1" customHeight="1">
      <c r="A32" s="384"/>
      <c r="B32" s="385"/>
      <c r="C32" s="3056"/>
      <c r="D32" s="3056"/>
      <c r="E32" s="395"/>
      <c r="F32" s="396"/>
      <c r="G32" s="1095"/>
      <c r="H32" s="3057"/>
      <c r="I32" s="3057"/>
      <c r="J32" s="3057"/>
      <c r="K32" s="3057"/>
      <c r="L32" s="3057"/>
      <c r="M32" s="387"/>
      <c r="N32" s="3058" t="str">
        <f>IF(COUNTIF($R$14:$R$38,M32),INDEX($S$14:$S$38,MATCH(M32,$R$14:$R63,0)),"")</f>
        <v/>
      </c>
      <c r="O32" s="3058"/>
      <c r="P32" s="3058"/>
      <c r="Q32" s="388"/>
      <c r="R32" s="390">
        <v>19</v>
      </c>
      <c r="S32" s="397"/>
      <c r="T32" s="169"/>
      <c r="U32" s="169"/>
      <c r="V32" s="169"/>
      <c r="W32" s="169"/>
    </row>
    <row r="33" spans="1:23" ht="12.75" hidden="1" customHeight="1">
      <c r="A33" s="384"/>
      <c r="B33" s="385"/>
      <c r="C33" s="3056"/>
      <c r="D33" s="3056"/>
      <c r="E33" s="395"/>
      <c r="F33" s="396"/>
      <c r="G33" s="1095"/>
      <c r="H33" s="3057"/>
      <c r="I33" s="3057"/>
      <c r="J33" s="3057"/>
      <c r="K33" s="3057"/>
      <c r="L33" s="3057"/>
      <c r="M33" s="387"/>
      <c r="N33" s="3058" t="str">
        <f>IF(COUNTIF($R$14:$R$38,M33),INDEX($S$14:$S$38,MATCH(M33,$R$14:$R64,0)),"")</f>
        <v/>
      </c>
      <c r="O33" s="3058"/>
      <c r="P33" s="3058"/>
      <c r="Q33" s="388"/>
      <c r="R33" s="390">
        <v>20</v>
      </c>
      <c r="S33" s="397"/>
      <c r="T33" s="169"/>
      <c r="U33" s="169"/>
      <c r="V33" s="169"/>
      <c r="W33" s="169"/>
    </row>
    <row r="34" spans="1:23" ht="12.75" hidden="1" customHeight="1">
      <c r="A34" s="384"/>
      <c r="B34" s="385"/>
      <c r="C34" s="3056"/>
      <c r="D34" s="3056"/>
      <c r="E34" s="395"/>
      <c r="F34" s="396"/>
      <c r="G34" s="1095"/>
      <c r="H34" s="3057"/>
      <c r="I34" s="3057"/>
      <c r="J34" s="3057"/>
      <c r="K34" s="3057"/>
      <c r="L34" s="3057"/>
      <c r="M34" s="387"/>
      <c r="N34" s="3058" t="str">
        <f>IF(COUNTIF($R$14:$R$38,M34),INDEX($S$14:$S$38,MATCH(M34,$R$14:$R65,0)),"")</f>
        <v/>
      </c>
      <c r="O34" s="3058"/>
      <c r="P34" s="3058"/>
      <c r="Q34" s="388"/>
      <c r="R34" s="390">
        <v>21</v>
      </c>
      <c r="S34" s="397"/>
      <c r="T34" s="169"/>
      <c r="U34" s="169"/>
      <c r="V34" s="169"/>
      <c r="W34" s="169"/>
    </row>
    <row r="35" spans="1:23" ht="12.75" hidden="1" customHeight="1">
      <c r="A35" s="384"/>
      <c r="B35" s="385"/>
      <c r="C35" s="3056"/>
      <c r="D35" s="3056"/>
      <c r="E35" s="395"/>
      <c r="F35" s="396"/>
      <c r="G35" s="1095"/>
      <c r="H35" s="3057"/>
      <c r="I35" s="3057"/>
      <c r="J35" s="3057"/>
      <c r="K35" s="3057"/>
      <c r="L35" s="3057"/>
      <c r="M35" s="387"/>
      <c r="N35" s="3058" t="str">
        <f>IF(COUNTIF($R$14:$R$38,M35),INDEX($S$14:$S$38,MATCH(M35,$R$14:$R66,0)),"")</f>
        <v/>
      </c>
      <c r="O35" s="3058"/>
      <c r="P35" s="3058"/>
      <c r="Q35" s="388"/>
      <c r="R35" s="390">
        <v>22</v>
      </c>
      <c r="S35" s="390"/>
      <c r="T35" s="169"/>
      <c r="U35" s="169"/>
      <c r="V35" s="169"/>
      <c r="W35" s="169"/>
    </row>
    <row r="36" spans="1:23" ht="12.75" hidden="1" customHeight="1">
      <c r="A36" s="384"/>
      <c r="B36" s="385"/>
      <c r="C36" s="3056"/>
      <c r="D36" s="3056"/>
      <c r="E36" s="395"/>
      <c r="F36" s="396"/>
      <c r="G36" s="1095"/>
      <c r="H36" s="3057"/>
      <c r="I36" s="3057"/>
      <c r="J36" s="3057"/>
      <c r="K36" s="3057"/>
      <c r="L36" s="3057"/>
      <c r="M36" s="387"/>
      <c r="N36" s="3058" t="str">
        <f>IF(COUNTIF($R$14:$R$38,M36),INDEX($S$14:$S$38,MATCH(M36,$R$14:$R67,0)),"")</f>
        <v/>
      </c>
      <c r="O36" s="3058"/>
      <c r="P36" s="3058"/>
      <c r="Q36" s="388"/>
      <c r="R36" s="390">
        <v>23</v>
      </c>
      <c r="S36" s="390"/>
      <c r="T36" s="169"/>
      <c r="U36" s="169"/>
      <c r="V36" s="169"/>
      <c r="W36" s="169"/>
    </row>
    <row r="37" spans="1:23" ht="12.75" hidden="1" customHeight="1">
      <c r="A37" s="384"/>
      <c r="B37" s="385"/>
      <c r="C37" s="3056"/>
      <c r="D37" s="3056"/>
      <c r="E37" s="395"/>
      <c r="F37" s="396"/>
      <c r="G37" s="1095"/>
      <c r="H37" s="3057"/>
      <c r="I37" s="3057"/>
      <c r="J37" s="3057"/>
      <c r="K37" s="3057"/>
      <c r="L37" s="3057"/>
      <c r="M37" s="387"/>
      <c r="N37" s="3058" t="str">
        <f>IF(COUNTIF($R$14:$R$38,M37),INDEX($S$14:$S$38,MATCH(M37,$R$14:$R68,0)),"")</f>
        <v/>
      </c>
      <c r="O37" s="3058"/>
      <c r="P37" s="3058"/>
      <c r="Q37" s="388"/>
      <c r="R37" s="390">
        <v>24</v>
      </c>
      <c r="S37" s="390"/>
      <c r="T37" s="169"/>
      <c r="U37" s="169"/>
      <c r="V37" s="169"/>
      <c r="W37" s="169"/>
    </row>
    <row r="38" spans="1:23" ht="12.75" hidden="1" customHeight="1">
      <c r="A38" s="384"/>
      <c r="B38" s="385"/>
      <c r="C38" s="3056"/>
      <c r="D38" s="3056"/>
      <c r="E38" s="395"/>
      <c r="F38" s="396"/>
      <c r="G38" s="1095"/>
      <c r="H38" s="3057"/>
      <c r="I38" s="3057"/>
      <c r="J38" s="3057"/>
      <c r="K38" s="3057"/>
      <c r="L38" s="3057"/>
      <c r="M38" s="387"/>
      <c r="N38" s="3058" t="str">
        <f>IF(COUNTIF($R$14:$R$38,M38),INDEX($S$14:$S$38,MATCH(M38,$R$14:$R69,0)),"")</f>
        <v/>
      </c>
      <c r="O38" s="3058"/>
      <c r="P38" s="3058"/>
      <c r="Q38" s="388"/>
      <c r="R38" s="390">
        <v>25</v>
      </c>
      <c r="S38" s="390"/>
      <c r="T38" s="169"/>
      <c r="U38" s="169"/>
      <c r="V38" s="169"/>
      <c r="W38" s="169"/>
    </row>
    <row r="39" spans="1:23" ht="12.75" hidden="1" customHeight="1">
      <c r="A39" s="384"/>
      <c r="B39" s="385"/>
      <c r="C39" s="3056"/>
      <c r="D39" s="3056"/>
      <c r="E39" s="395"/>
      <c r="F39" s="396"/>
      <c r="G39" s="1095"/>
      <c r="H39" s="3057"/>
      <c r="I39" s="3057"/>
      <c r="J39" s="3057"/>
      <c r="K39" s="3057"/>
      <c r="L39" s="3057"/>
      <c r="M39" s="387"/>
      <c r="N39" s="3058" t="str">
        <f>IF(COUNTIF($R$14:$R$38,M39),INDEX($S$14:$S$38,MATCH(M39,$R$14:$R70,0)),"")</f>
        <v/>
      </c>
      <c r="O39" s="3058"/>
      <c r="P39" s="3058"/>
      <c r="Q39" s="388"/>
      <c r="R39" s="390"/>
      <c r="S39" s="390"/>
      <c r="T39" s="169"/>
      <c r="U39" s="169"/>
      <c r="V39" s="169"/>
      <c r="W39" s="169"/>
    </row>
    <row r="40" spans="1:23" ht="12.75" hidden="1" customHeight="1">
      <c r="A40" s="384"/>
      <c r="B40" s="385"/>
      <c r="C40" s="3056"/>
      <c r="D40" s="3056"/>
      <c r="E40" s="395"/>
      <c r="F40" s="396"/>
      <c r="G40" s="1095"/>
      <c r="H40" s="3057"/>
      <c r="I40" s="3057"/>
      <c r="J40" s="3057"/>
      <c r="K40" s="3057"/>
      <c r="L40" s="3057"/>
      <c r="M40" s="387"/>
      <c r="N40" s="3058" t="str">
        <f>IF(COUNTIF($R$14:$R$38,M40),INDEX($S$14:$S$38,MATCH(M40,$R$14:$R71,0)),"")</f>
        <v/>
      </c>
      <c r="O40" s="3058"/>
      <c r="P40" s="3058"/>
      <c r="Q40" s="388"/>
      <c r="R40" s="390"/>
      <c r="S40" s="389"/>
      <c r="T40" s="169"/>
      <c r="U40" s="169"/>
      <c r="V40" s="169"/>
      <c r="W40" s="169"/>
    </row>
    <row r="41" spans="1:23" ht="12.75" hidden="1" customHeight="1">
      <c r="A41" s="384"/>
      <c r="B41" s="385"/>
      <c r="C41" s="3056"/>
      <c r="D41" s="3056"/>
      <c r="E41" s="395"/>
      <c r="F41" s="396"/>
      <c r="G41" s="1095"/>
      <c r="H41" s="3057"/>
      <c r="I41" s="3057"/>
      <c r="J41" s="3057"/>
      <c r="K41" s="3057"/>
      <c r="L41" s="3057"/>
      <c r="M41" s="387"/>
      <c r="N41" s="3058" t="str">
        <f>IF(COUNTIF($R$14:$R$38,M41),INDEX($S$14:$S$38,MATCH(M41,$R$14:$R72,0)),"")</f>
        <v/>
      </c>
      <c r="O41" s="3058"/>
      <c r="P41" s="3058"/>
      <c r="Q41" s="388"/>
      <c r="R41" s="390"/>
      <c r="S41" s="389"/>
      <c r="T41" s="169"/>
      <c r="U41" s="169"/>
      <c r="V41" s="169"/>
      <c r="W41" s="169"/>
    </row>
    <row r="42" spans="1:23" ht="12.75" hidden="1" customHeight="1">
      <c r="A42" s="384"/>
      <c r="B42" s="385"/>
      <c r="C42" s="3056"/>
      <c r="D42" s="3056"/>
      <c r="E42" s="395"/>
      <c r="F42" s="396"/>
      <c r="G42" s="1095"/>
      <c r="H42" s="3057"/>
      <c r="I42" s="3057"/>
      <c r="J42" s="3057"/>
      <c r="K42" s="3057"/>
      <c r="L42" s="3057"/>
      <c r="M42" s="387"/>
      <c r="N42" s="3058" t="str">
        <f>IF(COUNTIF($R$14:$R$38,M42),INDEX($S$14:$S$38,MATCH(M42,$R$14:$R73,0)),"")</f>
        <v/>
      </c>
      <c r="O42" s="3058"/>
      <c r="P42" s="3058"/>
      <c r="Q42" s="388"/>
      <c r="R42" s="390"/>
      <c r="S42" s="389"/>
      <c r="T42" s="169"/>
      <c r="U42" s="169"/>
      <c r="V42" s="169"/>
      <c r="W42" s="169"/>
    </row>
    <row r="43" spans="1:23" ht="12.75" hidden="1" customHeight="1">
      <c r="A43" s="384"/>
      <c r="B43" s="385"/>
      <c r="C43" s="3056"/>
      <c r="D43" s="3056"/>
      <c r="E43" s="395"/>
      <c r="F43" s="396"/>
      <c r="G43" s="1095"/>
      <c r="H43" s="3057"/>
      <c r="I43" s="3057"/>
      <c r="J43" s="3057"/>
      <c r="K43" s="3057"/>
      <c r="L43" s="3057"/>
      <c r="M43" s="387"/>
      <c r="N43" s="3058" t="str">
        <f>IF(COUNTIF($R$14:$R$38,M43),INDEX($S$14:$S$38,MATCH(M43,$R$14:$R74,0)),"")</f>
        <v/>
      </c>
      <c r="O43" s="3058"/>
      <c r="P43" s="3058"/>
      <c r="Q43" s="388"/>
      <c r="R43" s="390"/>
      <c r="S43" s="389"/>
      <c r="T43" s="169"/>
      <c r="U43" s="169"/>
      <c r="V43" s="169"/>
      <c r="W43" s="169"/>
    </row>
    <row r="44" spans="1:23" ht="12.75" hidden="1" customHeight="1">
      <c r="A44" s="384"/>
      <c r="B44" s="385"/>
      <c r="C44" s="3056"/>
      <c r="D44" s="3056"/>
      <c r="E44" s="395"/>
      <c r="F44" s="396"/>
      <c r="G44" s="1095"/>
      <c r="H44" s="3057"/>
      <c r="I44" s="3057"/>
      <c r="J44" s="3057"/>
      <c r="K44" s="3057"/>
      <c r="L44" s="3057"/>
      <c r="M44" s="387"/>
      <c r="N44" s="3058" t="str">
        <f>IF(COUNTIF($R$14:$R$38,M44),INDEX($S$14:$S$38,MATCH(M44,$R$14:$R75,0)),"")</f>
        <v/>
      </c>
      <c r="O44" s="3058"/>
      <c r="P44" s="3058"/>
      <c r="Q44" s="388"/>
      <c r="R44" s="390"/>
      <c r="S44" s="389"/>
      <c r="T44" s="169"/>
      <c r="U44" s="169"/>
      <c r="V44" s="169"/>
      <c r="W44" s="169"/>
    </row>
    <row r="45" spans="1:23" ht="12.75" hidden="1" customHeight="1">
      <c r="A45" s="384"/>
      <c r="B45" s="385"/>
      <c r="C45" s="3056"/>
      <c r="D45" s="3056"/>
      <c r="E45" s="395"/>
      <c r="F45" s="396"/>
      <c r="G45" s="1095"/>
      <c r="H45" s="3057"/>
      <c r="I45" s="3057"/>
      <c r="J45" s="3057"/>
      <c r="K45" s="3057"/>
      <c r="L45" s="3057"/>
      <c r="M45" s="387"/>
      <c r="N45" s="3058" t="str">
        <f>IF(COUNTIF($R$14:$R$38,M45),INDEX($S$14:$S$38,MATCH(M45,$R$14:$R76,0)),"")</f>
        <v/>
      </c>
      <c r="O45" s="3058"/>
      <c r="P45" s="3058"/>
      <c r="Q45" s="388"/>
      <c r="R45" s="390"/>
      <c r="S45" s="389"/>
      <c r="T45" s="169"/>
      <c r="U45" s="169"/>
      <c r="V45" s="169"/>
      <c r="W45" s="169"/>
    </row>
    <row r="46" spans="1:23" ht="12.75" hidden="1" customHeight="1">
      <c r="A46" s="384"/>
      <c r="B46" s="385"/>
      <c r="C46" s="3056"/>
      <c r="D46" s="3056"/>
      <c r="E46" s="395"/>
      <c r="F46" s="396"/>
      <c r="G46" s="1095"/>
      <c r="H46" s="3057"/>
      <c r="I46" s="3057"/>
      <c r="J46" s="3057"/>
      <c r="K46" s="3057"/>
      <c r="L46" s="3057"/>
      <c r="M46" s="387"/>
      <c r="N46" s="3058" t="str">
        <f>IF(COUNTIF($R$14:$R$38,M46),INDEX($S$14:$S$38,MATCH(M46,$R$14:$R77,0)),"")</f>
        <v/>
      </c>
      <c r="O46" s="3058"/>
      <c r="P46" s="3058"/>
      <c r="Q46" s="388"/>
      <c r="R46" s="390"/>
      <c r="S46" s="389"/>
      <c r="T46" s="169"/>
      <c r="U46" s="169"/>
      <c r="V46" s="169"/>
      <c r="W46" s="169"/>
    </row>
    <row r="47" spans="1:23" ht="12.75" hidden="1" customHeight="1">
      <c r="A47" s="384"/>
      <c r="B47" s="385"/>
      <c r="C47" s="3056"/>
      <c r="D47" s="3056"/>
      <c r="E47" s="395"/>
      <c r="F47" s="396"/>
      <c r="G47" s="1095"/>
      <c r="H47" s="3057"/>
      <c r="I47" s="3057"/>
      <c r="J47" s="3057"/>
      <c r="K47" s="3057"/>
      <c r="L47" s="3057"/>
      <c r="M47" s="387"/>
      <c r="N47" s="3058" t="str">
        <f>IF(COUNTIF($R$14:$R$38,M47),INDEX($S$14:$S$38,MATCH(M47,$R$14:$R78,0)),"")</f>
        <v/>
      </c>
      <c r="O47" s="3058"/>
      <c r="P47" s="3058"/>
      <c r="Q47" s="388"/>
      <c r="R47" s="390"/>
      <c r="S47" s="389"/>
      <c r="T47" s="169"/>
      <c r="U47" s="169"/>
      <c r="V47" s="169"/>
      <c r="W47" s="169"/>
    </row>
    <row r="48" spans="1:23" ht="12.75" hidden="1" customHeight="1">
      <c r="A48" s="384"/>
      <c r="B48" s="385"/>
      <c r="C48" s="3056"/>
      <c r="D48" s="3056"/>
      <c r="E48" s="395"/>
      <c r="F48" s="396"/>
      <c r="G48" s="1095"/>
      <c r="H48" s="3057"/>
      <c r="I48" s="3057"/>
      <c r="J48" s="3057"/>
      <c r="K48" s="3057"/>
      <c r="L48" s="3057"/>
      <c r="M48" s="387"/>
      <c r="N48" s="3058" t="str">
        <f>IF(COUNTIF($R$14:$R$38,M48),INDEX($S$14:$S$38,MATCH(M48,$R$14:$R79,0)),"")</f>
        <v/>
      </c>
      <c r="O48" s="3058"/>
      <c r="P48" s="3058"/>
      <c r="Q48" s="388"/>
      <c r="R48" s="390"/>
      <c r="S48" s="389"/>
      <c r="T48" s="169"/>
      <c r="U48" s="169"/>
      <c r="V48" s="169"/>
      <c r="W48" s="169"/>
    </row>
    <row r="49" spans="1:23" ht="12.75" hidden="1" customHeight="1">
      <c r="A49" s="384"/>
      <c r="B49" s="385"/>
      <c r="C49" s="3056"/>
      <c r="D49" s="3056"/>
      <c r="E49" s="395"/>
      <c r="F49" s="396"/>
      <c r="G49" s="1095"/>
      <c r="H49" s="3057"/>
      <c r="I49" s="3057"/>
      <c r="J49" s="3057"/>
      <c r="K49" s="3057"/>
      <c r="L49" s="3057"/>
      <c r="M49" s="387"/>
      <c r="N49" s="3058" t="str">
        <f>IF(COUNTIF($R$14:$R$38,M49),INDEX($S$14:$S$38,MATCH(M49,$R$14:$R80,0)),"")</f>
        <v/>
      </c>
      <c r="O49" s="3058"/>
      <c r="P49" s="3058"/>
      <c r="Q49" s="388"/>
      <c r="R49" s="390"/>
      <c r="S49" s="389"/>
      <c r="T49" s="169"/>
      <c r="U49" s="169"/>
      <c r="V49" s="169"/>
      <c r="W49" s="169"/>
    </row>
    <row r="50" spans="1:23" ht="12.75" hidden="1" customHeight="1">
      <c r="A50" s="384"/>
      <c r="B50" s="385"/>
      <c r="C50" s="3056"/>
      <c r="D50" s="3056"/>
      <c r="E50" s="395"/>
      <c r="F50" s="396"/>
      <c r="G50" s="1095"/>
      <c r="H50" s="3057"/>
      <c r="I50" s="3057"/>
      <c r="J50" s="3057"/>
      <c r="K50" s="3057"/>
      <c r="L50" s="3057"/>
      <c r="M50" s="387"/>
      <c r="N50" s="3058" t="str">
        <f>IF(COUNTIF($R$14:$R$38,M50),INDEX($S$14:$S$38,MATCH(M50,$R$14:$R81,0)),"")</f>
        <v/>
      </c>
      <c r="O50" s="3058"/>
      <c r="P50" s="3058"/>
      <c r="Q50" s="388"/>
      <c r="R50" s="390"/>
      <c r="S50" s="389"/>
      <c r="T50" s="169"/>
      <c r="U50" s="169"/>
      <c r="V50" s="169"/>
      <c r="W50" s="169"/>
    </row>
    <row r="51" spans="1:23" ht="12.75" hidden="1" customHeight="1">
      <c r="A51" s="384"/>
      <c r="B51" s="385"/>
      <c r="C51" s="3056"/>
      <c r="D51" s="3056"/>
      <c r="E51" s="395"/>
      <c r="F51" s="396"/>
      <c r="G51" s="1095"/>
      <c r="H51" s="3057"/>
      <c r="I51" s="3057"/>
      <c r="J51" s="3057"/>
      <c r="K51" s="3057"/>
      <c r="L51" s="3057"/>
      <c r="M51" s="387"/>
      <c r="N51" s="3058" t="str">
        <f>IF(COUNTIF($R$14:$R$38,M51),INDEX($S$14:$S$38,MATCH(M51,$R$14:$R82,0)),"")</f>
        <v/>
      </c>
      <c r="O51" s="3058"/>
      <c r="P51" s="3058"/>
      <c r="Q51" s="388"/>
      <c r="R51" s="390"/>
      <c r="S51" s="389"/>
      <c r="T51" s="169"/>
      <c r="U51" s="169"/>
      <c r="V51" s="169"/>
      <c r="W51" s="169"/>
    </row>
    <row r="52" spans="1:23" ht="12.75" hidden="1" customHeight="1">
      <c r="A52" s="384"/>
      <c r="B52" s="385"/>
      <c r="C52" s="3056"/>
      <c r="D52" s="3056"/>
      <c r="E52" s="395"/>
      <c r="F52" s="396"/>
      <c r="G52" s="1095"/>
      <c r="H52" s="3057"/>
      <c r="I52" s="3057"/>
      <c r="J52" s="3057"/>
      <c r="K52" s="3057"/>
      <c r="L52" s="3057"/>
      <c r="M52" s="387"/>
      <c r="N52" s="3058" t="str">
        <f>IF(COUNTIF($R$14:$R$38,M52),INDEX($S$14:$S$38,MATCH(M52,$R$14:$R83,0)),"")</f>
        <v/>
      </c>
      <c r="O52" s="3058"/>
      <c r="P52" s="3058"/>
      <c r="Q52" s="388"/>
      <c r="R52" s="390"/>
      <c r="S52" s="389"/>
      <c r="T52" s="169"/>
      <c r="U52" s="169"/>
      <c r="V52" s="169"/>
      <c r="W52" s="169"/>
    </row>
    <row r="53" spans="1:23" ht="12.75" hidden="1" customHeight="1">
      <c r="A53" s="384"/>
      <c r="B53" s="385"/>
      <c r="C53" s="3056"/>
      <c r="D53" s="3056"/>
      <c r="E53" s="395"/>
      <c r="F53" s="396"/>
      <c r="G53" s="1095"/>
      <c r="H53" s="3057"/>
      <c r="I53" s="3057"/>
      <c r="J53" s="3057"/>
      <c r="K53" s="3057"/>
      <c r="L53" s="3057"/>
      <c r="M53" s="387"/>
      <c r="N53" s="3058" t="str">
        <f>IF(COUNTIF($R$14:$R$38,M53),INDEX($S$14:$S$38,MATCH(M53,$R$14:$R84,0)),"")</f>
        <v/>
      </c>
      <c r="O53" s="3058"/>
      <c r="P53" s="3058"/>
      <c r="Q53" s="388"/>
      <c r="R53" s="390"/>
      <c r="S53" s="389"/>
      <c r="T53" s="169"/>
      <c r="U53" s="169"/>
      <c r="V53" s="169"/>
      <c r="W53" s="169"/>
    </row>
    <row r="54" spans="1:23" ht="12.75" hidden="1" customHeight="1">
      <c r="A54" s="384"/>
      <c r="B54" s="385"/>
      <c r="C54" s="3056"/>
      <c r="D54" s="3056"/>
      <c r="E54" s="395"/>
      <c r="F54" s="396"/>
      <c r="G54" s="1095"/>
      <c r="H54" s="3057"/>
      <c r="I54" s="3057"/>
      <c r="J54" s="3057"/>
      <c r="K54" s="3057"/>
      <c r="L54" s="3057"/>
      <c r="M54" s="387"/>
      <c r="N54" s="3058" t="str">
        <f>IF(COUNTIF($R$14:$R$38,M54),INDEX($S$14:$S$38,MATCH(M54,$R$14:$R85,0)),"")</f>
        <v/>
      </c>
      <c r="O54" s="3058"/>
      <c r="P54" s="3058"/>
      <c r="Q54" s="388"/>
      <c r="R54" s="390"/>
      <c r="S54" s="389"/>
      <c r="T54" s="169"/>
      <c r="U54" s="169"/>
      <c r="V54" s="169"/>
      <c r="W54" s="169"/>
    </row>
    <row r="55" spans="1:23" ht="12.75" hidden="1" customHeight="1">
      <c r="A55" s="384"/>
      <c r="B55" s="385"/>
      <c r="C55" s="3056"/>
      <c r="D55" s="3056"/>
      <c r="E55" s="395"/>
      <c r="F55" s="396"/>
      <c r="G55" s="1095"/>
      <c r="H55" s="3057"/>
      <c r="I55" s="3057"/>
      <c r="J55" s="3057"/>
      <c r="K55" s="3057"/>
      <c r="L55" s="3057"/>
      <c r="M55" s="387"/>
      <c r="N55" s="3058" t="str">
        <f>IF(COUNTIF($R$14:$R$38,M55),INDEX($S$14:$S$38,MATCH(M55,$R$14:$R86,0)),"")</f>
        <v/>
      </c>
      <c r="O55" s="3058"/>
      <c r="P55" s="3058"/>
      <c r="Q55" s="388"/>
      <c r="R55" s="390"/>
      <c r="S55" s="389"/>
      <c r="T55" s="169"/>
      <c r="U55" s="169"/>
      <c r="V55" s="169"/>
      <c r="W55" s="169"/>
    </row>
    <row r="56" spans="1:23" ht="12.75" hidden="1" customHeight="1">
      <c r="A56" s="384"/>
      <c r="B56" s="385"/>
      <c r="C56" s="3056"/>
      <c r="D56" s="3056"/>
      <c r="E56" s="395"/>
      <c r="F56" s="396"/>
      <c r="G56" s="1095"/>
      <c r="H56" s="3057"/>
      <c r="I56" s="3057"/>
      <c r="J56" s="3057"/>
      <c r="K56" s="3057"/>
      <c r="L56" s="3057"/>
      <c r="M56" s="387"/>
      <c r="N56" s="3058" t="str">
        <f>IF(COUNTIF($R$14:$R$38,M56),INDEX($S$14:$S$38,MATCH(M56,$R$14:$R87,0)),"")</f>
        <v/>
      </c>
      <c r="O56" s="3058"/>
      <c r="P56" s="3058"/>
      <c r="Q56" s="388"/>
      <c r="R56" s="390"/>
      <c r="S56" s="389"/>
      <c r="T56" s="169"/>
      <c r="U56" s="169"/>
      <c r="V56" s="169"/>
      <c r="W56" s="169"/>
    </row>
    <row r="57" spans="1:23" ht="12.75" hidden="1" customHeight="1">
      <c r="A57" s="384"/>
      <c r="B57" s="385"/>
      <c r="C57" s="3056"/>
      <c r="D57" s="3056"/>
      <c r="E57" s="395"/>
      <c r="F57" s="396"/>
      <c r="G57" s="1095"/>
      <c r="H57" s="3057"/>
      <c r="I57" s="3057"/>
      <c r="J57" s="3057"/>
      <c r="K57" s="3057"/>
      <c r="L57" s="3057"/>
      <c r="M57" s="387"/>
      <c r="N57" s="3058" t="str">
        <f>IF(COUNTIF($R$14:$R$38,M57),INDEX($S$14:$S$38,MATCH(M57,$R$14:$R88,0)),"")</f>
        <v/>
      </c>
      <c r="O57" s="3058"/>
      <c r="P57" s="3058"/>
      <c r="Q57" s="388"/>
      <c r="R57" s="390"/>
      <c r="S57" s="389"/>
      <c r="T57" s="169"/>
      <c r="U57" s="169"/>
      <c r="V57" s="169"/>
      <c r="W57" s="169"/>
    </row>
    <row r="58" spans="1:23" ht="12.75" hidden="1" customHeight="1">
      <c r="A58" s="384"/>
      <c r="B58" s="385"/>
      <c r="C58" s="3056"/>
      <c r="D58" s="3056"/>
      <c r="E58" s="395"/>
      <c r="F58" s="396"/>
      <c r="G58" s="1095"/>
      <c r="H58" s="3057"/>
      <c r="I58" s="3057"/>
      <c r="J58" s="3057"/>
      <c r="K58" s="3057"/>
      <c r="L58" s="3057"/>
      <c r="M58" s="387"/>
      <c r="N58" s="3058" t="str">
        <f>IF(COUNTIF($R$14:$R$38,M58),INDEX($S$14:$S$38,MATCH(M58,$R$14:$R89,0)),"")</f>
        <v/>
      </c>
      <c r="O58" s="3058"/>
      <c r="P58" s="3058"/>
      <c r="Q58" s="388"/>
      <c r="R58" s="390"/>
      <c r="S58" s="389"/>
      <c r="T58" s="169"/>
      <c r="U58" s="169"/>
      <c r="V58" s="169"/>
      <c r="W58" s="169"/>
    </row>
    <row r="59" spans="1:23" ht="12.75" hidden="1" customHeight="1">
      <c r="A59" s="384"/>
      <c r="B59" s="385"/>
      <c r="C59" s="3056"/>
      <c r="D59" s="3056"/>
      <c r="E59" s="395"/>
      <c r="F59" s="396"/>
      <c r="G59" s="1095"/>
      <c r="H59" s="3057"/>
      <c r="I59" s="3057"/>
      <c r="J59" s="3057"/>
      <c r="K59" s="3057"/>
      <c r="L59" s="3057"/>
      <c r="M59" s="387"/>
      <c r="N59" s="3058" t="str">
        <f>IF(COUNTIF($R$14:$R$38,M59),INDEX($S$14:$S$38,MATCH(M59,$R$14:$R90,0)),"")</f>
        <v/>
      </c>
      <c r="O59" s="3058"/>
      <c r="P59" s="3058"/>
      <c r="Q59" s="388"/>
      <c r="R59" s="390"/>
      <c r="S59" s="389"/>
      <c r="T59" s="169"/>
      <c r="U59" s="169"/>
      <c r="V59" s="169"/>
      <c r="W59" s="169"/>
    </row>
    <row r="60" spans="1:23" ht="12.75" hidden="1" customHeight="1">
      <c r="A60" s="384"/>
      <c r="B60" s="385"/>
      <c r="C60" s="3056"/>
      <c r="D60" s="3056"/>
      <c r="E60" s="395"/>
      <c r="F60" s="396"/>
      <c r="G60" s="1095"/>
      <c r="H60" s="3057"/>
      <c r="I60" s="3057"/>
      <c r="J60" s="3057"/>
      <c r="K60" s="3057"/>
      <c r="L60" s="3057"/>
      <c r="M60" s="387"/>
      <c r="N60" s="3058" t="str">
        <f>IF(COUNTIF($R$14:$R$38,M60),INDEX($S$14:$S$38,MATCH(M60,$R$14:$R91,0)),"")</f>
        <v/>
      </c>
      <c r="O60" s="3058"/>
      <c r="P60" s="3058"/>
      <c r="Q60" s="388"/>
      <c r="R60" s="390"/>
      <c r="S60" s="389"/>
      <c r="T60" s="169"/>
      <c r="U60" s="169"/>
      <c r="V60" s="169"/>
      <c r="W60" s="169"/>
    </row>
    <row r="61" spans="1:23" ht="12.75" hidden="1" customHeight="1">
      <c r="A61" s="384"/>
      <c r="B61" s="385"/>
      <c r="C61" s="3056"/>
      <c r="D61" s="3056"/>
      <c r="E61" s="395"/>
      <c r="F61" s="396"/>
      <c r="G61" s="1095"/>
      <c r="H61" s="3057"/>
      <c r="I61" s="3057"/>
      <c r="J61" s="3057"/>
      <c r="K61" s="3057"/>
      <c r="L61" s="3057"/>
      <c r="M61" s="387"/>
      <c r="N61" s="3058" t="str">
        <f>IF(COUNTIF($R$14:$R$38,M61),INDEX($S$14:$S$38,MATCH(M61,$R$14:$R92,0)),"")</f>
        <v/>
      </c>
      <c r="O61" s="3058"/>
      <c r="P61" s="3058"/>
      <c r="Q61" s="388"/>
      <c r="R61" s="390"/>
      <c r="S61" s="389"/>
      <c r="T61" s="169"/>
      <c r="U61" s="169"/>
      <c r="V61" s="169"/>
      <c r="W61" s="169"/>
    </row>
    <row r="62" spans="1:23" ht="12.75" hidden="1" customHeight="1">
      <c r="A62" s="384"/>
      <c r="B62" s="385"/>
      <c r="C62" s="3056"/>
      <c r="D62" s="3056"/>
      <c r="E62" s="395"/>
      <c r="F62" s="396"/>
      <c r="G62" s="1095"/>
      <c r="H62" s="3057"/>
      <c r="I62" s="3057"/>
      <c r="J62" s="3057"/>
      <c r="K62" s="3057"/>
      <c r="L62" s="3057"/>
      <c r="M62" s="387"/>
      <c r="N62" s="3058" t="str">
        <f>IF(COUNTIF($R$14:$R$38,M62),INDEX($S$14:$S$38,MATCH(M62,$R$14:$R93,0)),"")</f>
        <v/>
      </c>
      <c r="O62" s="3058"/>
      <c r="P62" s="3058"/>
      <c r="Q62" s="388"/>
      <c r="R62" s="390"/>
      <c r="S62" s="389"/>
      <c r="T62" s="169"/>
      <c r="U62" s="169"/>
      <c r="V62" s="169"/>
      <c r="W62" s="169"/>
    </row>
    <row r="63" spans="1:23" ht="12.75" hidden="1" customHeight="1">
      <c r="A63" s="384"/>
      <c r="B63" s="385"/>
      <c r="C63" s="3056"/>
      <c r="D63" s="3056"/>
      <c r="E63" s="395"/>
      <c r="F63" s="396"/>
      <c r="G63" s="1095"/>
      <c r="H63" s="3057"/>
      <c r="I63" s="3057"/>
      <c r="J63" s="3057"/>
      <c r="K63" s="3057"/>
      <c r="L63" s="3057"/>
      <c r="M63" s="387"/>
      <c r="N63" s="3058" t="str">
        <f>IF(COUNTIF($R$14:$R$38,M63),INDEX($S$14:$S$38,MATCH(M63,$R$14:$R94,0)),"")</f>
        <v/>
      </c>
      <c r="O63" s="3058"/>
      <c r="P63" s="3058"/>
      <c r="Q63" s="388"/>
      <c r="R63" s="390"/>
      <c r="S63" s="389"/>
      <c r="T63" s="169"/>
      <c r="U63" s="169"/>
      <c r="V63" s="169"/>
      <c r="W63" s="169"/>
    </row>
    <row r="64" spans="1:23" ht="12.75" hidden="1" customHeight="1">
      <c r="A64" s="384"/>
      <c r="B64" s="385"/>
      <c r="C64" s="3056"/>
      <c r="D64" s="3056"/>
      <c r="E64" s="395"/>
      <c r="F64" s="396"/>
      <c r="G64" s="1095"/>
      <c r="H64" s="3057"/>
      <c r="I64" s="3057"/>
      <c r="J64" s="3057"/>
      <c r="K64" s="3057"/>
      <c r="L64" s="3057"/>
      <c r="M64" s="387"/>
      <c r="N64" s="3058" t="str">
        <f>IF(COUNTIF($R$14:$R$38,M64),INDEX($S$14:$S$38,MATCH(M64,$R$14:$R95,0)),"")</f>
        <v/>
      </c>
      <c r="O64" s="3058"/>
      <c r="P64" s="3058"/>
      <c r="Q64" s="388"/>
      <c r="R64" s="390"/>
      <c r="S64" s="389"/>
      <c r="T64" s="169"/>
      <c r="U64" s="169"/>
      <c r="V64" s="169"/>
      <c r="W64" s="169"/>
    </row>
    <row r="65" spans="1:23" ht="12.75" hidden="1" customHeight="1">
      <c r="A65" s="384"/>
      <c r="B65" s="385"/>
      <c r="C65" s="3056"/>
      <c r="D65" s="3056"/>
      <c r="E65" s="395"/>
      <c r="F65" s="396"/>
      <c r="G65" s="1095"/>
      <c r="H65" s="3057"/>
      <c r="I65" s="3057"/>
      <c r="J65" s="3057"/>
      <c r="K65" s="3057"/>
      <c r="L65" s="3057"/>
      <c r="M65" s="387"/>
      <c r="N65" s="3058" t="str">
        <f>IF(COUNTIF($R$14:$R$38,M65),INDEX($S$14:$S$38,MATCH(M65,$R$14:$R96,0)),"")</f>
        <v/>
      </c>
      <c r="O65" s="3058"/>
      <c r="P65" s="3058"/>
      <c r="Q65" s="388"/>
      <c r="R65" s="390"/>
      <c r="S65" s="389"/>
      <c r="T65" s="169"/>
      <c r="U65" s="169"/>
      <c r="V65" s="169"/>
      <c r="W65" s="169"/>
    </row>
    <row r="66" spans="1:23" ht="12.75" hidden="1" customHeight="1">
      <c r="A66" s="384"/>
      <c r="B66" s="385"/>
      <c r="C66" s="3056"/>
      <c r="D66" s="3056"/>
      <c r="E66" s="395"/>
      <c r="F66" s="396"/>
      <c r="G66" s="1095"/>
      <c r="H66" s="3057"/>
      <c r="I66" s="3057"/>
      <c r="J66" s="3057"/>
      <c r="K66" s="3057"/>
      <c r="L66" s="3057"/>
      <c r="M66" s="387"/>
      <c r="N66" s="3058" t="str">
        <f>IF(COUNTIF($R$14:$R$38,M66),INDEX($S$14:$S$38,MATCH(M66,$R$14:$R97,0)),"")</f>
        <v/>
      </c>
      <c r="O66" s="3058"/>
      <c r="P66" s="3058"/>
      <c r="Q66" s="388"/>
      <c r="R66" s="390"/>
      <c r="S66" s="389"/>
      <c r="T66" s="169"/>
      <c r="U66" s="169"/>
      <c r="V66" s="169"/>
      <c r="W66" s="169"/>
    </row>
    <row r="67" spans="1:23" ht="12.75" hidden="1" customHeight="1">
      <c r="A67" s="384"/>
      <c r="B67" s="385"/>
      <c r="C67" s="3056"/>
      <c r="D67" s="3056"/>
      <c r="E67" s="395"/>
      <c r="F67" s="396"/>
      <c r="G67" s="1095"/>
      <c r="H67" s="3057"/>
      <c r="I67" s="3057"/>
      <c r="J67" s="3057"/>
      <c r="K67" s="3057"/>
      <c r="L67" s="3057"/>
      <c r="M67" s="387"/>
      <c r="N67" s="3058" t="str">
        <f>IF(COUNTIF($R$14:$R$38,M67),INDEX($S$14:$S$38,MATCH(M67,$R$14:$R98,0)),"")</f>
        <v/>
      </c>
      <c r="O67" s="3058"/>
      <c r="P67" s="3058"/>
      <c r="Q67" s="388"/>
      <c r="R67" s="390"/>
      <c r="S67" s="389"/>
      <c r="T67" s="169"/>
      <c r="U67" s="169"/>
      <c r="V67" s="169"/>
      <c r="W67" s="169"/>
    </row>
    <row r="68" spans="1:23" ht="12.75" hidden="1" customHeight="1">
      <c r="A68" s="384"/>
      <c r="B68" s="385"/>
      <c r="C68" s="3056"/>
      <c r="D68" s="3056"/>
      <c r="E68" s="395"/>
      <c r="F68" s="396"/>
      <c r="G68" s="1095"/>
      <c r="H68" s="3057"/>
      <c r="I68" s="3057"/>
      <c r="J68" s="3057"/>
      <c r="K68" s="3057"/>
      <c r="L68" s="3057"/>
      <c r="M68" s="387"/>
      <c r="N68" s="3058" t="str">
        <f>IF(COUNTIF($R$14:$R$38,M68),INDEX($S$14:$S$38,MATCH(M68,$R$14:$R99,0)),"")</f>
        <v/>
      </c>
      <c r="O68" s="3058"/>
      <c r="P68" s="3058"/>
      <c r="Q68" s="388"/>
      <c r="R68" s="390"/>
      <c r="S68" s="389"/>
      <c r="T68" s="169"/>
      <c r="U68" s="169"/>
      <c r="V68" s="169"/>
      <c r="W68" s="169"/>
    </row>
    <row r="69" spans="1:23" ht="12.75" hidden="1" customHeight="1">
      <c r="A69" s="384"/>
      <c r="B69" s="385"/>
      <c r="C69" s="3056"/>
      <c r="D69" s="3056"/>
      <c r="E69" s="395"/>
      <c r="F69" s="396"/>
      <c r="G69" s="1095"/>
      <c r="H69" s="3057"/>
      <c r="I69" s="3057"/>
      <c r="J69" s="3057"/>
      <c r="K69" s="3057"/>
      <c r="L69" s="3057"/>
      <c r="M69" s="387"/>
      <c r="N69" s="3058" t="str">
        <f>IF(COUNTIF($R$14:$R$38,M69),INDEX($S$14:$S$38,MATCH(M69,$R$14:$R100,0)),"")</f>
        <v/>
      </c>
      <c r="O69" s="3058"/>
      <c r="P69" s="3058"/>
      <c r="Q69" s="388"/>
      <c r="R69" s="390"/>
      <c r="S69" s="389"/>
      <c r="T69" s="169"/>
      <c r="U69" s="169"/>
      <c r="V69" s="169"/>
      <c r="W69" s="169"/>
    </row>
    <row r="70" spans="1:23" ht="12.75" hidden="1" customHeight="1">
      <c r="A70" s="384"/>
      <c r="B70" s="385"/>
      <c r="C70" s="3056"/>
      <c r="D70" s="3056"/>
      <c r="E70" s="395"/>
      <c r="F70" s="396"/>
      <c r="G70" s="1095"/>
      <c r="H70" s="3057"/>
      <c r="I70" s="3057"/>
      <c r="J70" s="3057"/>
      <c r="K70" s="3057"/>
      <c r="L70" s="3057"/>
      <c r="M70" s="387"/>
      <c r="N70" s="3058" t="str">
        <f>IF(COUNTIF($R$14:$R$38,M70),INDEX($S$14:$S$38,MATCH(M70,$R$14:$R101,0)),"")</f>
        <v/>
      </c>
      <c r="O70" s="3058"/>
      <c r="P70" s="3058"/>
      <c r="Q70" s="388"/>
      <c r="R70" s="390"/>
      <c r="S70" s="389"/>
      <c r="T70" s="169"/>
      <c r="U70" s="169"/>
      <c r="V70" s="169"/>
      <c r="W70" s="169"/>
    </row>
    <row r="71" spans="1:23" ht="12.75" hidden="1" customHeight="1">
      <c r="A71" s="384"/>
      <c r="B71" s="385"/>
      <c r="C71" s="3056"/>
      <c r="D71" s="3056"/>
      <c r="E71" s="395"/>
      <c r="F71" s="396"/>
      <c r="G71" s="1095"/>
      <c r="H71" s="3057"/>
      <c r="I71" s="3057"/>
      <c r="J71" s="3057"/>
      <c r="K71" s="3057"/>
      <c r="L71" s="3057"/>
      <c r="M71" s="387"/>
      <c r="N71" s="3058" t="str">
        <f>IF(COUNTIF($R$14:$R$38,M71),INDEX($S$14:$S$38,MATCH(M71,$R$14:$R102,0)),"")</f>
        <v/>
      </c>
      <c r="O71" s="3058"/>
      <c r="P71" s="3058"/>
      <c r="Q71" s="388"/>
      <c r="R71" s="390"/>
      <c r="S71" s="389"/>
      <c r="T71" s="169"/>
      <c r="U71" s="169"/>
      <c r="V71" s="169"/>
      <c r="W71" s="169"/>
    </row>
    <row r="72" spans="1:23" ht="12.75" hidden="1" customHeight="1">
      <c r="A72" s="384"/>
      <c r="B72" s="385"/>
      <c r="C72" s="3056"/>
      <c r="D72" s="3056"/>
      <c r="E72" s="395"/>
      <c r="F72" s="396"/>
      <c r="G72" s="1095"/>
      <c r="H72" s="3057"/>
      <c r="I72" s="3057"/>
      <c r="J72" s="3057"/>
      <c r="K72" s="3057"/>
      <c r="L72" s="3057"/>
      <c r="M72" s="387"/>
      <c r="N72" s="3058" t="str">
        <f>IF(COUNTIF($R$14:$R$38,M72),INDEX($S$14:$S$38,MATCH(M72,$R$14:$R103,0)),"")</f>
        <v/>
      </c>
      <c r="O72" s="3058"/>
      <c r="P72" s="3058"/>
      <c r="Q72" s="388"/>
      <c r="R72" s="390"/>
      <c r="S72" s="389"/>
      <c r="T72" s="169"/>
      <c r="U72" s="169"/>
      <c r="V72" s="169"/>
      <c r="W72" s="169"/>
    </row>
    <row r="73" spans="1:23" ht="12.75" hidden="1" customHeight="1">
      <c r="A73" s="384"/>
      <c r="B73" s="385"/>
      <c r="C73" s="3056"/>
      <c r="D73" s="3056"/>
      <c r="E73" s="395"/>
      <c r="F73" s="396"/>
      <c r="G73" s="1095"/>
      <c r="H73" s="3057"/>
      <c r="I73" s="3057"/>
      <c r="J73" s="3057"/>
      <c r="K73" s="3057"/>
      <c r="L73" s="3057"/>
      <c r="M73" s="387"/>
      <c r="N73" s="3058" t="str">
        <f>IF(COUNTIF($R$14:$R$38,M73),INDEX($S$14:$S$38,MATCH(M73,$R$14:$R104,0)),"")</f>
        <v/>
      </c>
      <c r="O73" s="3058"/>
      <c r="P73" s="3058"/>
      <c r="Q73" s="388"/>
      <c r="R73" s="390"/>
      <c r="S73" s="389"/>
      <c r="T73" s="169"/>
      <c r="U73" s="169"/>
      <c r="V73" s="169"/>
      <c r="W73" s="169"/>
    </row>
    <row r="74" spans="1:23" ht="12.75" hidden="1" customHeight="1">
      <c r="A74" s="384"/>
      <c r="B74" s="385"/>
      <c r="C74" s="3056"/>
      <c r="D74" s="3056"/>
      <c r="E74" s="395"/>
      <c r="F74" s="396"/>
      <c r="G74" s="1095"/>
      <c r="H74" s="3057"/>
      <c r="I74" s="3057"/>
      <c r="J74" s="3057"/>
      <c r="K74" s="3057"/>
      <c r="L74" s="3057"/>
      <c r="M74" s="387"/>
      <c r="N74" s="3058" t="str">
        <f>IF(COUNTIF($R$14:$R$38,M74),INDEX($S$14:$S$38,MATCH(M74,$R$14:$R105,0)),"")</f>
        <v/>
      </c>
      <c r="O74" s="3058"/>
      <c r="P74" s="3058"/>
      <c r="Q74" s="388"/>
      <c r="R74" s="390"/>
      <c r="S74" s="389"/>
      <c r="T74" s="169"/>
      <c r="U74" s="169"/>
      <c r="V74" s="169"/>
      <c r="W74" s="169"/>
    </row>
    <row r="75" spans="1:23" ht="12.75" hidden="1" customHeight="1">
      <c r="A75" s="384"/>
      <c r="B75" s="385"/>
      <c r="C75" s="3056"/>
      <c r="D75" s="3056"/>
      <c r="E75" s="395"/>
      <c r="F75" s="396"/>
      <c r="G75" s="1095"/>
      <c r="H75" s="3057"/>
      <c r="I75" s="3057"/>
      <c r="J75" s="3057"/>
      <c r="K75" s="3057"/>
      <c r="L75" s="3057"/>
      <c r="M75" s="387"/>
      <c r="N75" s="3058" t="str">
        <f>IF(COUNTIF($R$14:$R$38,M75),INDEX($S$14:$S$38,MATCH(M75,$R$14:$R106,0)),"")</f>
        <v/>
      </c>
      <c r="O75" s="3058"/>
      <c r="P75" s="3058"/>
      <c r="Q75" s="388"/>
      <c r="R75" s="390"/>
      <c r="S75" s="389"/>
      <c r="T75" s="169"/>
      <c r="U75" s="169"/>
      <c r="V75" s="169"/>
      <c r="W75" s="169"/>
    </row>
    <row r="76" spans="1:23" ht="12.75" hidden="1" customHeight="1">
      <c r="A76" s="384"/>
      <c r="B76" s="385"/>
      <c r="C76" s="3056"/>
      <c r="D76" s="3056"/>
      <c r="E76" s="395"/>
      <c r="F76" s="396"/>
      <c r="G76" s="1095"/>
      <c r="H76" s="3057"/>
      <c r="I76" s="3057"/>
      <c r="J76" s="3057"/>
      <c r="K76" s="3057"/>
      <c r="L76" s="3057"/>
      <c r="M76" s="387"/>
      <c r="N76" s="3058" t="str">
        <f>IF(COUNTIF($R$14:$R$38,M76),INDEX($S$14:$S$38,MATCH(M76,$R$14:$R107,0)),"")</f>
        <v/>
      </c>
      <c r="O76" s="3058"/>
      <c r="P76" s="3058"/>
      <c r="Q76" s="388"/>
      <c r="R76" s="390"/>
      <c r="S76" s="389"/>
      <c r="T76" s="169"/>
      <c r="U76" s="169"/>
      <c r="V76" s="169"/>
      <c r="W76" s="169"/>
    </row>
    <row r="77" spans="1:23" ht="12.75" hidden="1" customHeight="1">
      <c r="A77" s="384"/>
      <c r="B77" s="385"/>
      <c r="C77" s="3056"/>
      <c r="D77" s="3056"/>
      <c r="E77" s="395"/>
      <c r="F77" s="396"/>
      <c r="G77" s="1095"/>
      <c r="H77" s="3057"/>
      <c r="I77" s="3057"/>
      <c r="J77" s="3057"/>
      <c r="K77" s="3057"/>
      <c r="L77" s="3057"/>
      <c r="M77" s="387"/>
      <c r="N77" s="3058" t="str">
        <f>IF(COUNTIF($R$14:$R$38,M77),INDEX($S$14:$S$38,MATCH(M77,$R$14:$R108,0)),"")</f>
        <v/>
      </c>
      <c r="O77" s="3058"/>
      <c r="P77" s="3058"/>
      <c r="Q77" s="388"/>
      <c r="R77" s="390"/>
      <c r="S77" s="389"/>
      <c r="T77" s="169"/>
      <c r="U77" s="169"/>
      <c r="V77" s="169"/>
      <c r="W77" s="169"/>
    </row>
    <row r="78" spans="1:23" ht="12.75" hidden="1" customHeight="1">
      <c r="A78" s="384"/>
      <c r="B78" s="385"/>
      <c r="C78" s="3056"/>
      <c r="D78" s="3056"/>
      <c r="E78" s="395"/>
      <c r="F78" s="396"/>
      <c r="G78" s="1095"/>
      <c r="H78" s="3057"/>
      <c r="I78" s="3057"/>
      <c r="J78" s="3057"/>
      <c r="K78" s="3057"/>
      <c r="L78" s="3057"/>
      <c r="M78" s="387"/>
      <c r="N78" s="3058" t="str">
        <f>IF(COUNTIF($R$14:$R$38,M78),INDEX($S$14:$S$38,MATCH(M78,$R$14:$R109,0)),"")</f>
        <v/>
      </c>
      <c r="O78" s="3058"/>
      <c r="P78" s="3058"/>
      <c r="Q78" s="388"/>
      <c r="R78" s="390"/>
      <c r="S78" s="389"/>
      <c r="T78" s="169"/>
      <c r="U78" s="169"/>
      <c r="V78" s="169"/>
      <c r="W78" s="169"/>
    </row>
    <row r="79" spans="1:23" ht="12.75" hidden="1" customHeight="1">
      <c r="A79" s="384"/>
      <c r="B79" s="385"/>
      <c r="C79" s="3056"/>
      <c r="D79" s="3056"/>
      <c r="E79" s="395"/>
      <c r="F79" s="396"/>
      <c r="G79" s="1095"/>
      <c r="H79" s="3057"/>
      <c r="I79" s="3057"/>
      <c r="J79" s="3057"/>
      <c r="K79" s="3057"/>
      <c r="L79" s="3057"/>
      <c r="M79" s="387"/>
      <c r="N79" s="3058" t="str">
        <f>IF(COUNTIF($R$14:$R$38,M79),INDEX($S$14:$S$38,MATCH(M79,$R$14:$R110,0)),"")</f>
        <v/>
      </c>
      <c r="O79" s="3058"/>
      <c r="P79" s="3058"/>
      <c r="Q79" s="388"/>
      <c r="R79" s="390"/>
      <c r="S79" s="389"/>
      <c r="T79" s="169"/>
      <c r="U79" s="169"/>
      <c r="V79" s="169"/>
      <c r="W79" s="169"/>
    </row>
    <row r="80" spans="1:23" ht="12.75" hidden="1" customHeight="1">
      <c r="A80" s="384"/>
      <c r="B80" s="385"/>
      <c r="C80" s="3056"/>
      <c r="D80" s="3056"/>
      <c r="E80" s="395"/>
      <c r="F80" s="396"/>
      <c r="G80" s="1095"/>
      <c r="H80" s="3057"/>
      <c r="I80" s="3057"/>
      <c r="J80" s="3057"/>
      <c r="K80" s="3057"/>
      <c r="L80" s="3057"/>
      <c r="M80" s="387"/>
      <c r="N80" s="3058" t="str">
        <f>IF(COUNTIF($R$14:$R$38,M80),INDEX($S$14:$S$38,MATCH(M80,$R$14:$R111,0)),"")</f>
        <v/>
      </c>
      <c r="O80" s="3058"/>
      <c r="P80" s="3058"/>
      <c r="Q80" s="388"/>
      <c r="R80" s="390"/>
      <c r="S80" s="389"/>
      <c r="T80" s="169"/>
      <c r="U80" s="169"/>
      <c r="V80" s="169"/>
      <c r="W80" s="169"/>
    </row>
    <row r="81" spans="1:23" ht="12.75" hidden="1" customHeight="1">
      <c r="A81" s="384"/>
      <c r="B81" s="385"/>
      <c r="C81" s="3056"/>
      <c r="D81" s="3056"/>
      <c r="E81" s="395"/>
      <c r="F81" s="396"/>
      <c r="G81" s="1095"/>
      <c r="H81" s="3057"/>
      <c r="I81" s="3057"/>
      <c r="J81" s="3057"/>
      <c r="K81" s="3057"/>
      <c r="L81" s="3057"/>
      <c r="M81" s="387"/>
      <c r="N81" s="3058" t="str">
        <f>IF(COUNTIF($R$14:$R$38,M81),INDEX($S$14:$S$38,MATCH(M81,$R$14:$R112,0)),"")</f>
        <v/>
      </c>
      <c r="O81" s="3058"/>
      <c r="P81" s="3058"/>
      <c r="Q81" s="388"/>
      <c r="R81" s="390"/>
      <c r="S81" s="389"/>
      <c r="T81" s="169"/>
      <c r="U81" s="169"/>
      <c r="V81" s="169"/>
      <c r="W81" s="169"/>
    </row>
    <row r="82" spans="1:23" ht="12.75" hidden="1" customHeight="1">
      <c r="A82" s="384"/>
      <c r="B82" s="385"/>
      <c r="C82" s="3056"/>
      <c r="D82" s="3056"/>
      <c r="E82" s="395"/>
      <c r="F82" s="396"/>
      <c r="G82" s="1095"/>
      <c r="H82" s="3057"/>
      <c r="I82" s="3057"/>
      <c r="J82" s="3057"/>
      <c r="K82" s="3057"/>
      <c r="L82" s="3057"/>
      <c r="M82" s="387"/>
      <c r="N82" s="3058" t="str">
        <f>IF(COUNTIF($R$14:$R$38,M82),INDEX($S$14:$S$38,MATCH(M82,$R$14:$R113,0)),"")</f>
        <v/>
      </c>
      <c r="O82" s="3058"/>
      <c r="P82" s="3058"/>
      <c r="Q82" s="388"/>
      <c r="R82" s="390"/>
      <c r="S82" s="389"/>
      <c r="T82" s="169"/>
      <c r="U82" s="169"/>
      <c r="V82" s="169"/>
      <c r="W82" s="169"/>
    </row>
    <row r="83" spans="1:23" ht="12.75" hidden="1" customHeight="1">
      <c r="A83" s="384"/>
      <c r="B83" s="385"/>
      <c r="C83" s="3056"/>
      <c r="D83" s="3056"/>
      <c r="E83" s="395"/>
      <c r="F83" s="396"/>
      <c r="G83" s="1095"/>
      <c r="H83" s="3057"/>
      <c r="I83" s="3057"/>
      <c r="J83" s="3057"/>
      <c r="K83" s="3057"/>
      <c r="L83" s="3057"/>
      <c r="M83" s="387"/>
      <c r="N83" s="3058" t="str">
        <f>IF(COUNTIF($R$14:$R$38,M83),INDEX($S$14:$S$38,MATCH(M83,$R$14:$R114,0)),"")</f>
        <v/>
      </c>
      <c r="O83" s="3058"/>
      <c r="P83" s="3058"/>
      <c r="Q83" s="388"/>
      <c r="R83" s="390"/>
      <c r="S83" s="389"/>
      <c r="T83" s="169"/>
      <c r="U83" s="169"/>
      <c r="V83" s="169"/>
      <c r="W83" s="169"/>
    </row>
    <row r="84" spans="1:23" ht="12.75" hidden="1" customHeight="1">
      <c r="A84" s="384"/>
      <c r="B84" s="385"/>
      <c r="C84" s="3056"/>
      <c r="D84" s="3056"/>
      <c r="E84" s="395"/>
      <c r="F84" s="396"/>
      <c r="G84" s="1095"/>
      <c r="H84" s="3057"/>
      <c r="I84" s="3057"/>
      <c r="J84" s="3057"/>
      <c r="K84" s="3057"/>
      <c r="L84" s="3057"/>
      <c r="M84" s="387"/>
      <c r="N84" s="3058" t="str">
        <f>IF(COUNTIF($R$14:$R$38,M84),INDEX($S$14:$S$38,MATCH(M84,$R$14:$R115,0)),"")</f>
        <v/>
      </c>
      <c r="O84" s="3058"/>
      <c r="P84" s="3058"/>
      <c r="Q84" s="388"/>
      <c r="R84" s="390"/>
      <c r="S84" s="389"/>
      <c r="T84" s="169"/>
      <c r="U84" s="169"/>
      <c r="V84" s="169"/>
      <c r="W84" s="169"/>
    </row>
    <row r="85" spans="1:23" ht="12.75" hidden="1" customHeight="1">
      <c r="A85" s="384"/>
      <c r="B85" s="385"/>
      <c r="C85" s="3056"/>
      <c r="D85" s="3056"/>
      <c r="E85" s="395"/>
      <c r="F85" s="396"/>
      <c r="G85" s="1095"/>
      <c r="H85" s="3057"/>
      <c r="I85" s="3057"/>
      <c r="J85" s="3057"/>
      <c r="K85" s="3057"/>
      <c r="L85" s="3057"/>
      <c r="M85" s="387"/>
      <c r="N85" s="3058" t="str">
        <f>IF(COUNTIF($R$14:$R$38,M85),INDEX($S$14:$S$38,MATCH(M85,$R$14:$R116,0)),"")</f>
        <v/>
      </c>
      <c r="O85" s="3058"/>
      <c r="P85" s="3058"/>
      <c r="Q85" s="388"/>
      <c r="R85" s="390"/>
      <c r="S85" s="389"/>
      <c r="T85" s="169"/>
      <c r="U85" s="169"/>
      <c r="V85" s="169"/>
      <c r="W85" s="169"/>
    </row>
    <row r="86" spans="1:23" ht="12.75" hidden="1" customHeight="1">
      <c r="A86" s="384"/>
      <c r="B86" s="385"/>
      <c r="C86" s="3056"/>
      <c r="D86" s="3056"/>
      <c r="E86" s="395"/>
      <c r="F86" s="396"/>
      <c r="G86" s="1095"/>
      <c r="H86" s="3057"/>
      <c r="I86" s="3057"/>
      <c r="J86" s="3057"/>
      <c r="K86" s="3057"/>
      <c r="L86" s="3057"/>
      <c r="M86" s="387"/>
      <c r="N86" s="3058" t="str">
        <f>IF(COUNTIF($R$14:$R$38,M86),INDEX($S$14:$S$38,MATCH(M86,$R$14:$R117,0)),"")</f>
        <v/>
      </c>
      <c r="O86" s="3058"/>
      <c r="P86" s="3058"/>
      <c r="Q86" s="388"/>
      <c r="R86" s="390"/>
      <c r="S86" s="389"/>
      <c r="T86" s="169"/>
      <c r="U86" s="169"/>
      <c r="V86" s="169"/>
      <c r="W86" s="169"/>
    </row>
    <row r="87" spans="1:23" ht="12.75" hidden="1" customHeight="1">
      <c r="A87" s="384"/>
      <c r="B87" s="385"/>
      <c r="C87" s="3056"/>
      <c r="D87" s="3056"/>
      <c r="E87" s="395"/>
      <c r="F87" s="396"/>
      <c r="G87" s="1095"/>
      <c r="H87" s="3057"/>
      <c r="I87" s="3057"/>
      <c r="J87" s="3057"/>
      <c r="K87" s="3057"/>
      <c r="L87" s="3057"/>
      <c r="M87" s="387"/>
      <c r="N87" s="3058" t="str">
        <f>IF(COUNTIF($R$14:$R$38,M87),INDEX($S$14:$S$38,MATCH(M87,$R$14:$R118,0)),"")</f>
        <v/>
      </c>
      <c r="O87" s="3058"/>
      <c r="P87" s="3058"/>
      <c r="Q87" s="388"/>
      <c r="R87" s="390"/>
      <c r="S87" s="389"/>
      <c r="T87" s="169"/>
      <c r="U87" s="169"/>
      <c r="V87" s="169"/>
      <c r="W87" s="169"/>
    </row>
    <row r="88" spans="1:23" ht="12.75" hidden="1" customHeight="1">
      <c r="A88" s="384"/>
      <c r="B88" s="385"/>
      <c r="C88" s="3056"/>
      <c r="D88" s="3056"/>
      <c r="E88" s="395"/>
      <c r="F88" s="396"/>
      <c r="G88" s="1095"/>
      <c r="H88" s="3057"/>
      <c r="I88" s="3057"/>
      <c r="J88" s="3057"/>
      <c r="K88" s="3057"/>
      <c r="L88" s="3057"/>
      <c r="M88" s="387"/>
      <c r="N88" s="3058" t="str">
        <f>IF(COUNTIF($R$14:$R$38,M88),INDEX($S$14:$S$38,MATCH(M88,$R$14:$R119,0)),"")</f>
        <v/>
      </c>
      <c r="O88" s="3058"/>
      <c r="P88" s="3058"/>
      <c r="Q88" s="388"/>
      <c r="R88" s="390"/>
      <c r="S88" s="389"/>
      <c r="T88" s="169"/>
      <c r="U88" s="169"/>
      <c r="V88" s="169"/>
      <c r="W88" s="169"/>
    </row>
    <row r="89" spans="1:23" ht="12.75" hidden="1" customHeight="1">
      <c r="A89" s="384"/>
      <c r="B89" s="385"/>
      <c r="C89" s="3056"/>
      <c r="D89" s="3056"/>
      <c r="E89" s="395"/>
      <c r="F89" s="396"/>
      <c r="G89" s="1095"/>
      <c r="H89" s="3057"/>
      <c r="I89" s="3057"/>
      <c r="J89" s="3057"/>
      <c r="K89" s="3057"/>
      <c r="L89" s="3057"/>
      <c r="M89" s="387"/>
      <c r="N89" s="3058" t="str">
        <f>IF(COUNTIF($R$14:$R$38,M89),INDEX($S$14:$S$38,MATCH(M89,$R$14:$R120,0)),"")</f>
        <v/>
      </c>
      <c r="O89" s="3058"/>
      <c r="P89" s="3058"/>
      <c r="Q89" s="388"/>
      <c r="R89" s="390"/>
      <c r="S89" s="389"/>
      <c r="T89" s="169"/>
      <c r="U89" s="169"/>
      <c r="V89" s="169"/>
      <c r="W89" s="169"/>
    </row>
    <row r="90" spans="1:23" ht="12.75" hidden="1" customHeight="1">
      <c r="A90" s="384"/>
      <c r="B90" s="385"/>
      <c r="C90" s="3056"/>
      <c r="D90" s="3056"/>
      <c r="E90" s="395"/>
      <c r="F90" s="396"/>
      <c r="G90" s="1095"/>
      <c r="H90" s="3057"/>
      <c r="I90" s="3057"/>
      <c r="J90" s="3057"/>
      <c r="K90" s="3057"/>
      <c r="L90" s="3057"/>
      <c r="M90" s="387"/>
      <c r="N90" s="3058" t="str">
        <f>IF(COUNTIF($R$14:$R$38,M90),INDEX($S$14:$S$38,MATCH(M90,$R$14:$R121,0)),"")</f>
        <v/>
      </c>
      <c r="O90" s="3058"/>
      <c r="P90" s="3058"/>
      <c r="Q90" s="388"/>
      <c r="R90" s="390"/>
      <c r="S90" s="389"/>
      <c r="T90" s="169"/>
      <c r="U90" s="169"/>
      <c r="V90" s="169"/>
      <c r="W90" s="169"/>
    </row>
    <row r="91" spans="1:23" ht="12.75" hidden="1" customHeight="1">
      <c r="A91" s="384"/>
      <c r="B91" s="385"/>
      <c r="C91" s="3056"/>
      <c r="D91" s="3056"/>
      <c r="E91" s="395"/>
      <c r="F91" s="396"/>
      <c r="G91" s="1095"/>
      <c r="H91" s="3057"/>
      <c r="I91" s="3057"/>
      <c r="J91" s="3057"/>
      <c r="K91" s="3057"/>
      <c r="L91" s="3057"/>
      <c r="M91" s="387"/>
      <c r="N91" s="3058" t="str">
        <f>IF(COUNTIF($R$14:$R$38,M91),INDEX($S$14:$S$38,MATCH(M91,$R$14:$R122,0)),"")</f>
        <v/>
      </c>
      <c r="O91" s="3058"/>
      <c r="P91" s="3058"/>
      <c r="Q91" s="388"/>
      <c r="R91" s="390"/>
      <c r="S91" s="389"/>
      <c r="T91" s="169"/>
      <c r="U91" s="169"/>
      <c r="V91" s="169"/>
      <c r="W91" s="169"/>
    </row>
    <row r="92" spans="1:23" ht="12.75" hidden="1" customHeight="1">
      <c r="A92" s="384"/>
      <c r="B92" s="385"/>
      <c r="C92" s="3056"/>
      <c r="D92" s="3056"/>
      <c r="E92" s="395"/>
      <c r="F92" s="396"/>
      <c r="G92" s="1095"/>
      <c r="H92" s="3057"/>
      <c r="I92" s="3057"/>
      <c r="J92" s="3057"/>
      <c r="K92" s="3057"/>
      <c r="L92" s="3057"/>
      <c r="M92" s="387"/>
      <c r="N92" s="3058" t="str">
        <f>IF(COUNTIF($R$14:$R$38,M92),INDEX($S$14:$S$38,MATCH(M92,$R$14:$R123,0)),"")</f>
        <v/>
      </c>
      <c r="O92" s="3058"/>
      <c r="P92" s="3058"/>
      <c r="Q92" s="388"/>
      <c r="R92" s="390"/>
      <c r="S92" s="389"/>
      <c r="T92" s="169"/>
      <c r="U92" s="169"/>
      <c r="V92" s="169"/>
      <c r="W92" s="169"/>
    </row>
    <row r="93" spans="1:23" ht="12.75" hidden="1" customHeight="1">
      <c r="A93" s="384"/>
      <c r="B93" s="385"/>
      <c r="C93" s="3056"/>
      <c r="D93" s="3056"/>
      <c r="E93" s="395"/>
      <c r="F93" s="396"/>
      <c r="G93" s="1095"/>
      <c r="H93" s="3057"/>
      <c r="I93" s="3057"/>
      <c r="J93" s="3057"/>
      <c r="K93" s="3057"/>
      <c r="L93" s="3057"/>
      <c r="M93" s="387"/>
      <c r="N93" s="3058" t="str">
        <f>IF(COUNTIF($R$14:$R$38,M93),INDEX($S$14:$S$38,MATCH(M93,$R$14:$R124,0)),"")</f>
        <v/>
      </c>
      <c r="O93" s="3058"/>
      <c r="P93" s="3058"/>
      <c r="Q93" s="388"/>
      <c r="R93" s="390"/>
      <c r="S93" s="389"/>
      <c r="T93" s="169"/>
      <c r="U93" s="169"/>
      <c r="V93" s="169"/>
      <c r="W93" s="169"/>
    </row>
    <row r="94" spans="1:23" ht="12.75" hidden="1" customHeight="1">
      <c r="A94" s="384"/>
      <c r="B94" s="385"/>
      <c r="C94" s="3056"/>
      <c r="D94" s="3056"/>
      <c r="E94" s="395"/>
      <c r="F94" s="396"/>
      <c r="G94" s="1095"/>
      <c r="H94" s="3057"/>
      <c r="I94" s="3057"/>
      <c r="J94" s="3057"/>
      <c r="K94" s="3057"/>
      <c r="L94" s="3057"/>
      <c r="M94" s="387"/>
      <c r="N94" s="3058" t="str">
        <f>IF(COUNTIF($R$14:$R$38,M94),INDEX($S$14:$S$38,MATCH(M94,$R$14:$R125,0)),"")</f>
        <v/>
      </c>
      <c r="O94" s="3058"/>
      <c r="P94" s="3058"/>
      <c r="Q94" s="388"/>
      <c r="R94" s="390"/>
      <c r="S94" s="389"/>
      <c r="T94" s="169"/>
      <c r="U94" s="169"/>
      <c r="V94" s="169"/>
      <c r="W94" s="169"/>
    </row>
    <row r="95" spans="1:23" ht="12.75" hidden="1" customHeight="1">
      <c r="A95" s="384"/>
      <c r="B95" s="385"/>
      <c r="C95" s="3056"/>
      <c r="D95" s="3056"/>
      <c r="E95" s="395"/>
      <c r="F95" s="396"/>
      <c r="G95" s="1095"/>
      <c r="H95" s="3057"/>
      <c r="I95" s="3057"/>
      <c r="J95" s="3057"/>
      <c r="K95" s="3057"/>
      <c r="L95" s="3057"/>
      <c r="M95" s="387"/>
      <c r="N95" s="3058" t="str">
        <f>IF(COUNTIF($R$14:$R$38,M95),INDEX($S$14:$S$38,MATCH(M95,$R$14:$R126,0)),"")</f>
        <v/>
      </c>
      <c r="O95" s="3058"/>
      <c r="P95" s="3058"/>
      <c r="Q95" s="388"/>
      <c r="R95" s="390"/>
      <c r="S95" s="389"/>
      <c r="T95" s="169"/>
      <c r="U95" s="169"/>
      <c r="V95" s="169"/>
      <c r="W95" s="169"/>
    </row>
    <row r="96" spans="1:23" ht="12.75" hidden="1" customHeight="1">
      <c r="A96" s="384"/>
      <c r="B96" s="385"/>
      <c r="C96" s="3056"/>
      <c r="D96" s="3056"/>
      <c r="E96" s="395"/>
      <c r="F96" s="396"/>
      <c r="G96" s="1095"/>
      <c r="H96" s="3057"/>
      <c r="I96" s="3057"/>
      <c r="J96" s="3057"/>
      <c r="K96" s="3057"/>
      <c r="L96" s="3057"/>
      <c r="M96" s="387"/>
      <c r="N96" s="3058" t="str">
        <f>IF(COUNTIF($R$14:$R$38,M96),INDEX($S$14:$S$38,MATCH(M96,$R$14:$R127,0)),"")</f>
        <v/>
      </c>
      <c r="O96" s="3058"/>
      <c r="P96" s="3058"/>
      <c r="Q96" s="388"/>
      <c r="R96" s="390"/>
      <c r="S96" s="389"/>
      <c r="T96" s="169"/>
      <c r="U96" s="169"/>
      <c r="V96" s="169"/>
      <c r="W96" s="169"/>
    </row>
    <row r="97" spans="1:23" ht="12.75" hidden="1" customHeight="1">
      <c r="A97" s="384"/>
      <c r="B97" s="385"/>
      <c r="C97" s="3056"/>
      <c r="D97" s="3056"/>
      <c r="E97" s="395"/>
      <c r="F97" s="396"/>
      <c r="G97" s="1095"/>
      <c r="H97" s="3057"/>
      <c r="I97" s="3057"/>
      <c r="J97" s="3057"/>
      <c r="K97" s="3057"/>
      <c r="L97" s="3057"/>
      <c r="M97" s="387"/>
      <c r="N97" s="3058" t="str">
        <f>IF(COUNTIF($R$14:$R$38,M97),INDEX($S$14:$S$38,MATCH(M97,$R$14:$R128,0)),"")</f>
        <v/>
      </c>
      <c r="O97" s="3058"/>
      <c r="P97" s="3058"/>
      <c r="Q97" s="388"/>
      <c r="R97" s="390"/>
      <c r="S97" s="389"/>
      <c r="T97" s="169"/>
      <c r="U97" s="169"/>
      <c r="V97" s="169"/>
      <c r="W97" s="169"/>
    </row>
    <row r="98" spans="1:23" ht="12.75" hidden="1" customHeight="1">
      <c r="A98" s="384"/>
      <c r="B98" s="385"/>
      <c r="C98" s="3056"/>
      <c r="D98" s="3056"/>
      <c r="E98" s="395"/>
      <c r="F98" s="396"/>
      <c r="G98" s="1095"/>
      <c r="H98" s="3057"/>
      <c r="I98" s="3057"/>
      <c r="J98" s="3057"/>
      <c r="K98" s="3057"/>
      <c r="L98" s="3057"/>
      <c r="M98" s="387"/>
      <c r="N98" s="3058" t="str">
        <f>IF(COUNTIF($R$14:$R$38,M98),INDEX($S$14:$S$38,MATCH(M98,$R$14:$R129,0)),"")</f>
        <v/>
      </c>
      <c r="O98" s="3058"/>
      <c r="P98" s="3058"/>
      <c r="Q98" s="388"/>
      <c r="R98" s="390"/>
      <c r="S98" s="389"/>
      <c r="T98" s="169"/>
      <c r="U98" s="169"/>
      <c r="V98" s="169"/>
      <c r="W98" s="169"/>
    </row>
    <row r="99" spans="1:23" ht="12.75" hidden="1" customHeight="1">
      <c r="A99" s="384"/>
      <c r="B99" s="385"/>
      <c r="C99" s="3056"/>
      <c r="D99" s="3056"/>
      <c r="E99" s="395"/>
      <c r="F99" s="396"/>
      <c r="G99" s="1095"/>
      <c r="H99" s="3057"/>
      <c r="I99" s="3057"/>
      <c r="J99" s="3057"/>
      <c r="K99" s="3057"/>
      <c r="L99" s="3057"/>
      <c r="M99" s="387"/>
      <c r="N99" s="3058" t="str">
        <f>IF(COUNTIF($R$14:$R$38,M99),INDEX($S$14:$S$38,MATCH(M99,$R$14:$R130,0)),"")</f>
        <v/>
      </c>
      <c r="O99" s="3058"/>
      <c r="P99" s="3058"/>
      <c r="Q99" s="388"/>
      <c r="R99" s="390"/>
      <c r="S99" s="389"/>
      <c r="T99" s="169"/>
      <c r="U99" s="169"/>
      <c r="V99" s="169"/>
      <c r="W99" s="169"/>
    </row>
    <row r="100" spans="1:23" ht="12.75" hidden="1" customHeight="1">
      <c r="A100" s="384"/>
      <c r="B100" s="385"/>
      <c r="C100" s="3056"/>
      <c r="D100" s="3056"/>
      <c r="E100" s="395"/>
      <c r="F100" s="396"/>
      <c r="G100" s="1095"/>
      <c r="H100" s="3057"/>
      <c r="I100" s="3057"/>
      <c r="J100" s="3057"/>
      <c r="K100" s="3057"/>
      <c r="L100" s="3057"/>
      <c r="M100" s="387"/>
      <c r="N100" s="3058" t="str">
        <f>IF(COUNTIF($R$14:$R$38,M100),INDEX($S$14:$S$38,MATCH(M100,$R$14:$R131,0)),"")</f>
        <v/>
      </c>
      <c r="O100" s="3058"/>
      <c r="P100" s="3058"/>
      <c r="Q100" s="388"/>
      <c r="R100" s="390"/>
      <c r="S100" s="389"/>
      <c r="T100" s="169"/>
      <c r="U100" s="169"/>
      <c r="V100" s="169"/>
      <c r="W100" s="169"/>
    </row>
    <row r="101" spans="1:23" ht="12.75" hidden="1" customHeight="1">
      <c r="A101" s="384"/>
      <c r="B101" s="385"/>
      <c r="C101" s="3056"/>
      <c r="D101" s="3056"/>
      <c r="E101" s="395"/>
      <c r="F101" s="396"/>
      <c r="G101" s="1095"/>
      <c r="H101" s="3057"/>
      <c r="I101" s="3057"/>
      <c r="J101" s="3057"/>
      <c r="K101" s="3057"/>
      <c r="L101" s="3057"/>
      <c r="M101" s="387"/>
      <c r="N101" s="3058" t="str">
        <f>IF(COUNTIF($R$14:$R$38,M101),INDEX($S$14:$S$38,MATCH(M101,$R$14:$R132,0)),"")</f>
        <v/>
      </c>
      <c r="O101" s="3058"/>
      <c r="P101" s="3058"/>
      <c r="Q101" s="388"/>
      <c r="R101" s="390"/>
      <c r="S101" s="389"/>
      <c r="T101" s="169"/>
      <c r="U101" s="169"/>
      <c r="V101" s="169"/>
      <c r="W101" s="169"/>
    </row>
    <row r="102" spans="1:23" ht="12.75" hidden="1" customHeight="1">
      <c r="A102" s="384"/>
      <c r="B102" s="385"/>
      <c r="C102" s="3056"/>
      <c r="D102" s="3056"/>
      <c r="E102" s="395"/>
      <c r="F102" s="396"/>
      <c r="G102" s="1095"/>
      <c r="H102" s="3057"/>
      <c r="I102" s="3057"/>
      <c r="J102" s="3057"/>
      <c r="K102" s="3057"/>
      <c r="L102" s="3057"/>
      <c r="M102" s="387"/>
      <c r="N102" s="3058" t="str">
        <f>IF(COUNTIF($R$14:$R$38,M102),INDEX($S$14:$S$38,MATCH(M102,$R$14:$R133,0)),"")</f>
        <v/>
      </c>
      <c r="O102" s="3058"/>
      <c r="P102" s="3058"/>
      <c r="Q102" s="388"/>
      <c r="R102" s="390"/>
      <c r="S102" s="389"/>
      <c r="T102" s="169"/>
      <c r="U102" s="169"/>
      <c r="V102" s="169"/>
      <c r="W102" s="169"/>
    </row>
    <row r="103" spans="1:23" ht="12.75" hidden="1" customHeight="1">
      <c r="A103" s="384"/>
      <c r="B103" s="385"/>
      <c r="C103" s="3056"/>
      <c r="D103" s="3056"/>
      <c r="E103" s="395"/>
      <c r="F103" s="396"/>
      <c r="G103" s="1095"/>
      <c r="H103" s="3057"/>
      <c r="I103" s="3057"/>
      <c r="J103" s="3057"/>
      <c r="K103" s="3057"/>
      <c r="L103" s="3057"/>
      <c r="M103" s="387"/>
      <c r="N103" s="3058" t="str">
        <f>IF(COUNTIF($R$14:$R$38,M103),INDEX($S$14:$S$38,MATCH(M103,$R$14:$R134,0)),"")</f>
        <v/>
      </c>
      <c r="O103" s="3058"/>
      <c r="P103" s="3058"/>
      <c r="Q103" s="388"/>
      <c r="R103" s="390"/>
      <c r="S103" s="389"/>
      <c r="T103" s="169"/>
      <c r="U103" s="169"/>
      <c r="V103" s="169"/>
      <c r="W103" s="169"/>
    </row>
    <row r="104" spans="1:23" ht="12.75" hidden="1" customHeight="1">
      <c r="A104" s="384"/>
      <c r="B104" s="385"/>
      <c r="C104" s="3056"/>
      <c r="D104" s="3056"/>
      <c r="E104" s="395"/>
      <c r="F104" s="396"/>
      <c r="G104" s="1095"/>
      <c r="H104" s="3057"/>
      <c r="I104" s="3057"/>
      <c r="J104" s="3057"/>
      <c r="K104" s="3057"/>
      <c r="L104" s="3057"/>
      <c r="M104" s="387"/>
      <c r="N104" s="3058" t="str">
        <f>IF(COUNTIF($R$14:$R$38,M104),INDEX($S$14:$S$38,MATCH(M104,$R$14:$R135,0)),"")</f>
        <v/>
      </c>
      <c r="O104" s="3058"/>
      <c r="P104" s="3058"/>
      <c r="Q104" s="388"/>
      <c r="R104" s="390"/>
      <c r="S104" s="389"/>
      <c r="T104" s="169"/>
      <c r="U104" s="169"/>
      <c r="V104" s="169"/>
      <c r="W104" s="169"/>
    </row>
    <row r="105" spans="1:23" ht="12.75" hidden="1" customHeight="1">
      <c r="A105" s="384"/>
      <c r="B105" s="385"/>
      <c r="C105" s="3056"/>
      <c r="D105" s="3056"/>
      <c r="E105" s="395"/>
      <c r="F105" s="396"/>
      <c r="G105" s="1095"/>
      <c r="H105" s="3057"/>
      <c r="I105" s="3057"/>
      <c r="J105" s="3057"/>
      <c r="K105" s="3057"/>
      <c r="L105" s="3057"/>
      <c r="M105" s="387"/>
      <c r="N105" s="3058" t="str">
        <f>IF(COUNTIF($R$14:$R$38,M105),INDEX($S$14:$S$38,MATCH(M105,$R$14:$R136,0)),"")</f>
        <v/>
      </c>
      <c r="O105" s="3058"/>
      <c r="P105" s="3058"/>
      <c r="Q105" s="388"/>
      <c r="R105" s="390"/>
      <c r="S105" s="389"/>
      <c r="T105" s="169"/>
      <c r="U105" s="169"/>
      <c r="V105" s="169"/>
      <c r="W105" s="169"/>
    </row>
    <row r="106" spans="1:23" ht="12.75" hidden="1" customHeight="1">
      <c r="A106" s="384"/>
      <c r="B106" s="385"/>
      <c r="C106" s="3056"/>
      <c r="D106" s="3056"/>
      <c r="E106" s="395"/>
      <c r="F106" s="396"/>
      <c r="G106" s="1095"/>
      <c r="H106" s="3057"/>
      <c r="I106" s="3057"/>
      <c r="J106" s="3057"/>
      <c r="K106" s="3057"/>
      <c r="L106" s="3057"/>
      <c r="M106" s="387"/>
      <c r="N106" s="3058" t="str">
        <f>IF(COUNTIF($R$14:$R$38,M106),INDEX($S$14:$S$38,MATCH(M106,$R$14:$R137,0)),"")</f>
        <v/>
      </c>
      <c r="O106" s="3058"/>
      <c r="P106" s="3058"/>
      <c r="Q106" s="388"/>
      <c r="R106" s="390"/>
      <c r="S106" s="389"/>
      <c r="T106" s="169"/>
      <c r="U106" s="169"/>
      <c r="V106" s="169"/>
      <c r="W106" s="169"/>
    </row>
    <row r="107" spans="1:23" ht="12.75" hidden="1" customHeight="1">
      <c r="A107" s="384"/>
      <c r="B107" s="385"/>
      <c r="C107" s="3056"/>
      <c r="D107" s="3056"/>
      <c r="E107" s="395"/>
      <c r="F107" s="396"/>
      <c r="G107" s="1095"/>
      <c r="H107" s="3057"/>
      <c r="I107" s="3057"/>
      <c r="J107" s="3057"/>
      <c r="K107" s="3057"/>
      <c r="L107" s="3057"/>
      <c r="M107" s="387"/>
      <c r="N107" s="3058" t="str">
        <f>IF(COUNTIF($R$14:$R$38,M107),INDEX($S$14:$S$38,MATCH(M107,$R$14:$R138,0)),"")</f>
        <v/>
      </c>
      <c r="O107" s="3058"/>
      <c r="P107" s="3058"/>
      <c r="Q107" s="388"/>
      <c r="R107" s="390"/>
      <c r="S107" s="389"/>
      <c r="T107" s="169"/>
      <c r="U107" s="169"/>
      <c r="V107" s="169"/>
      <c r="W107" s="169"/>
    </row>
    <row r="108" spans="1:23" ht="12.75" hidden="1" customHeight="1">
      <c r="A108" s="384"/>
      <c r="B108" s="385"/>
      <c r="C108" s="3056"/>
      <c r="D108" s="3056"/>
      <c r="E108" s="395"/>
      <c r="F108" s="396"/>
      <c r="G108" s="1095"/>
      <c r="H108" s="3057"/>
      <c r="I108" s="3057"/>
      <c r="J108" s="3057"/>
      <c r="K108" s="3057"/>
      <c r="L108" s="3057"/>
      <c r="M108" s="387"/>
      <c r="N108" s="3058" t="str">
        <f>IF(COUNTIF($R$14:$R$38,M108),INDEX($S$14:$S$38,MATCH(M108,$R$14:$R139,0)),"")</f>
        <v/>
      </c>
      <c r="O108" s="3058"/>
      <c r="P108" s="3058"/>
      <c r="Q108" s="388"/>
      <c r="R108" s="390"/>
      <c r="S108" s="389"/>
      <c r="T108" s="169"/>
      <c r="U108" s="169"/>
      <c r="V108" s="169"/>
      <c r="W108" s="169"/>
    </row>
    <row r="109" spans="1:23" ht="12.75" hidden="1" customHeight="1">
      <c r="A109" s="384"/>
      <c r="B109" s="385"/>
      <c r="C109" s="3056"/>
      <c r="D109" s="3056"/>
      <c r="E109" s="395"/>
      <c r="F109" s="396"/>
      <c r="G109" s="1095"/>
      <c r="H109" s="3057"/>
      <c r="I109" s="3057"/>
      <c r="J109" s="3057"/>
      <c r="K109" s="3057"/>
      <c r="L109" s="3057"/>
      <c r="M109" s="387"/>
      <c r="N109" s="3058" t="str">
        <f>IF(COUNTIF($R$14:$R$38,M109),INDEX($S$14:$S$38,MATCH(M109,$R$14:$R140,0)),"")</f>
        <v/>
      </c>
      <c r="O109" s="3058"/>
      <c r="P109" s="3058"/>
      <c r="Q109" s="388"/>
      <c r="R109" s="390"/>
      <c r="S109" s="389"/>
      <c r="T109" s="169"/>
      <c r="U109" s="169"/>
      <c r="V109" s="169"/>
      <c r="W109" s="169"/>
    </row>
    <row r="110" spans="1:23" ht="12.75" hidden="1" customHeight="1">
      <c r="A110" s="384"/>
      <c r="B110" s="385"/>
      <c r="C110" s="3056"/>
      <c r="D110" s="3056"/>
      <c r="E110" s="395"/>
      <c r="F110" s="396"/>
      <c r="G110" s="1095"/>
      <c r="H110" s="3057"/>
      <c r="I110" s="3057"/>
      <c r="J110" s="3057"/>
      <c r="K110" s="3057"/>
      <c r="L110" s="3057"/>
      <c r="M110" s="387"/>
      <c r="N110" s="3058" t="str">
        <f>IF(COUNTIF($R$14:$R$38,M110),INDEX($S$14:$S$38,MATCH(M110,$R$14:$R141,0)),"")</f>
        <v/>
      </c>
      <c r="O110" s="3058"/>
      <c r="P110" s="3058"/>
      <c r="Q110" s="388"/>
      <c r="R110" s="390"/>
      <c r="S110" s="389"/>
      <c r="T110" s="169"/>
      <c r="U110" s="169"/>
      <c r="V110" s="169"/>
      <c r="W110" s="169"/>
    </row>
    <row r="111" spans="1:23" ht="12.75" hidden="1" customHeight="1">
      <c r="A111" s="384"/>
      <c r="B111" s="385"/>
      <c r="C111" s="3056"/>
      <c r="D111" s="3056"/>
      <c r="E111" s="395"/>
      <c r="F111" s="396"/>
      <c r="G111" s="1095"/>
      <c r="H111" s="3057"/>
      <c r="I111" s="3057"/>
      <c r="J111" s="3057"/>
      <c r="K111" s="3057"/>
      <c r="L111" s="3057"/>
      <c r="M111" s="387"/>
      <c r="N111" s="3058" t="str">
        <f>IF(COUNTIF($R$14:$R$38,M111),INDEX($S$14:$S$38,MATCH(M111,$R$14:$R142,0)),"")</f>
        <v/>
      </c>
      <c r="O111" s="3058"/>
      <c r="P111" s="3058"/>
      <c r="Q111" s="388"/>
      <c r="R111" s="390"/>
      <c r="S111" s="389"/>
      <c r="T111" s="169"/>
      <c r="U111" s="169"/>
      <c r="V111" s="169"/>
      <c r="W111" s="169"/>
    </row>
    <row r="112" spans="1:23" ht="12.75" hidden="1" customHeight="1">
      <c r="A112" s="384"/>
      <c r="B112" s="385"/>
      <c r="C112" s="3056"/>
      <c r="D112" s="3056"/>
      <c r="E112" s="395"/>
      <c r="F112" s="396"/>
      <c r="G112" s="1095"/>
      <c r="H112" s="3057"/>
      <c r="I112" s="3057"/>
      <c r="J112" s="3057"/>
      <c r="K112" s="3057"/>
      <c r="L112" s="3057"/>
      <c r="M112" s="387"/>
      <c r="N112" s="3058" t="str">
        <f>IF(COUNTIF($R$14:$R$38,M112),INDEX($S$14:$S$38,MATCH(M112,$R$14:$R143,0)),"")</f>
        <v/>
      </c>
      <c r="O112" s="3058"/>
      <c r="P112" s="3058"/>
      <c r="Q112" s="388"/>
      <c r="R112" s="390"/>
      <c r="S112" s="389"/>
      <c r="T112" s="169"/>
      <c r="U112" s="169"/>
      <c r="V112" s="169"/>
      <c r="W112" s="169"/>
    </row>
    <row r="113" spans="1:23" ht="12.75" hidden="1" customHeight="1">
      <c r="A113" s="384"/>
      <c r="B113" s="385"/>
      <c r="C113" s="3056"/>
      <c r="D113" s="3056"/>
      <c r="E113" s="395"/>
      <c r="F113" s="396"/>
      <c r="G113" s="1095"/>
      <c r="H113" s="3057"/>
      <c r="I113" s="3057"/>
      <c r="J113" s="3057"/>
      <c r="K113" s="3057"/>
      <c r="L113" s="3057"/>
      <c r="M113" s="387"/>
      <c r="N113" s="3058" t="str">
        <f>IF(COUNTIF($R$14:$R$38,M113),INDEX($S$14:$S$38,MATCH(M113,$R$14:$R144,0)),"")</f>
        <v/>
      </c>
      <c r="O113" s="3058"/>
      <c r="P113" s="3058"/>
      <c r="Q113" s="388"/>
      <c r="R113" s="390"/>
      <c r="S113" s="389"/>
      <c r="T113" s="169"/>
      <c r="U113" s="169"/>
      <c r="V113" s="169"/>
      <c r="W113" s="169"/>
    </row>
    <row r="114" spans="1:23" ht="12.75" hidden="1" customHeight="1">
      <c r="A114" s="384"/>
      <c r="B114" s="385"/>
      <c r="C114" s="3056"/>
      <c r="D114" s="3056"/>
      <c r="E114" s="395"/>
      <c r="F114" s="396"/>
      <c r="G114" s="1095"/>
      <c r="H114" s="3057"/>
      <c r="I114" s="3057"/>
      <c r="J114" s="3057"/>
      <c r="K114" s="3057"/>
      <c r="L114" s="3057"/>
      <c r="M114" s="387"/>
      <c r="N114" s="3058" t="str">
        <f>IF(COUNTIF($R$14:$R$38,M114),INDEX($S$14:$S$38,MATCH(M114,$R$14:$R145,0)),"")</f>
        <v/>
      </c>
      <c r="O114" s="3058"/>
      <c r="P114" s="3058"/>
      <c r="Q114" s="388"/>
      <c r="R114" s="390"/>
      <c r="S114" s="389"/>
      <c r="T114" s="169"/>
      <c r="U114" s="169"/>
      <c r="V114" s="169"/>
      <c r="W114" s="169"/>
    </row>
    <row r="115" spans="1:23" ht="12.75" hidden="1" customHeight="1">
      <c r="A115" s="384"/>
      <c r="B115" s="385"/>
      <c r="C115" s="3056"/>
      <c r="D115" s="3056"/>
      <c r="E115" s="395"/>
      <c r="F115" s="396"/>
      <c r="G115" s="1095"/>
      <c r="H115" s="3057"/>
      <c r="I115" s="3057"/>
      <c r="J115" s="3057"/>
      <c r="K115" s="3057"/>
      <c r="L115" s="3057"/>
      <c r="M115" s="387"/>
      <c r="N115" s="3058" t="str">
        <f>IF(COUNTIF($R$14:$R$38,M115),INDEX($S$14:$S$38,MATCH(M115,$R$14:$R146,0)),"")</f>
        <v/>
      </c>
      <c r="O115" s="3058"/>
      <c r="P115" s="3058"/>
      <c r="Q115" s="388"/>
      <c r="R115" s="390"/>
      <c r="S115" s="389"/>
      <c r="T115" s="169"/>
      <c r="U115" s="169"/>
      <c r="V115" s="169"/>
      <c r="W115" s="169"/>
    </row>
    <row r="116" spans="1:23" ht="12.75" hidden="1" customHeight="1">
      <c r="A116" s="384"/>
      <c r="B116" s="385"/>
      <c r="C116" s="3056"/>
      <c r="D116" s="3056"/>
      <c r="E116" s="395"/>
      <c r="F116" s="396"/>
      <c r="G116" s="1095"/>
      <c r="H116" s="3057"/>
      <c r="I116" s="3057"/>
      <c r="J116" s="3057"/>
      <c r="K116" s="3057"/>
      <c r="L116" s="3057"/>
      <c r="M116" s="387"/>
      <c r="N116" s="3058" t="str">
        <f>IF(COUNTIF($R$14:$R$38,M116),INDEX($S$14:$S$38,MATCH(M116,$R$14:$R147,0)),"")</f>
        <v/>
      </c>
      <c r="O116" s="3058"/>
      <c r="P116" s="3058"/>
      <c r="Q116" s="388"/>
      <c r="R116" s="390"/>
      <c r="S116" s="389"/>
      <c r="T116" s="169"/>
      <c r="U116" s="169"/>
      <c r="V116" s="169"/>
      <c r="W116" s="169"/>
    </row>
    <row r="117" spans="1:23" ht="12.75" hidden="1" customHeight="1">
      <c r="A117" s="384"/>
      <c r="B117" s="385"/>
      <c r="C117" s="3056"/>
      <c r="D117" s="3056"/>
      <c r="E117" s="395"/>
      <c r="F117" s="396"/>
      <c r="G117" s="1095"/>
      <c r="H117" s="3057"/>
      <c r="I117" s="3057"/>
      <c r="J117" s="3057"/>
      <c r="K117" s="3057"/>
      <c r="L117" s="3057"/>
      <c r="M117" s="387"/>
      <c r="N117" s="3058" t="str">
        <f>IF(COUNTIF($R$14:$R$38,M117),INDEX($S$14:$S$38,MATCH(M117,$R$14:$R148,0)),"")</f>
        <v/>
      </c>
      <c r="O117" s="3058"/>
      <c r="P117" s="3058"/>
      <c r="Q117" s="388"/>
      <c r="R117" s="390"/>
      <c r="S117" s="389"/>
      <c r="T117" s="169"/>
      <c r="U117" s="169"/>
      <c r="V117" s="169"/>
      <c r="W117" s="169"/>
    </row>
    <row r="118" spans="1:23" ht="12.75" hidden="1" customHeight="1">
      <c r="A118" s="384"/>
      <c r="B118" s="385"/>
      <c r="C118" s="3056"/>
      <c r="D118" s="3056"/>
      <c r="E118" s="395"/>
      <c r="F118" s="396"/>
      <c r="G118" s="1095"/>
      <c r="H118" s="3057"/>
      <c r="I118" s="3057"/>
      <c r="J118" s="3057"/>
      <c r="K118" s="3057"/>
      <c r="L118" s="3057"/>
      <c r="M118" s="387"/>
      <c r="N118" s="3058" t="str">
        <f>IF(COUNTIF($R$14:$R$38,M118),INDEX($S$14:$S$38,MATCH(M118,$R$14:$R149,0)),"")</f>
        <v/>
      </c>
      <c r="O118" s="3058"/>
      <c r="P118" s="3058"/>
      <c r="Q118" s="388"/>
      <c r="R118" s="390"/>
      <c r="S118" s="389"/>
      <c r="T118" s="169"/>
      <c r="U118" s="169"/>
      <c r="V118" s="169"/>
      <c r="W118" s="169"/>
    </row>
    <row r="119" spans="1:23" ht="12.75" hidden="1" customHeight="1">
      <c r="A119" s="384"/>
      <c r="B119" s="385"/>
      <c r="C119" s="3056"/>
      <c r="D119" s="3056"/>
      <c r="E119" s="395"/>
      <c r="F119" s="396"/>
      <c r="G119" s="1095"/>
      <c r="H119" s="3057"/>
      <c r="I119" s="3057"/>
      <c r="J119" s="3057"/>
      <c r="K119" s="3057"/>
      <c r="L119" s="3057"/>
      <c r="M119" s="387"/>
      <c r="N119" s="3058" t="str">
        <f>IF(COUNTIF($R$14:$R$38,M119),INDEX($S$14:$S$38,MATCH(M119,$R$14:$R150,0)),"")</f>
        <v/>
      </c>
      <c r="O119" s="3058"/>
      <c r="P119" s="3058"/>
      <c r="Q119" s="388"/>
      <c r="R119" s="390"/>
      <c r="S119" s="389"/>
      <c r="T119" s="169"/>
      <c r="U119" s="169"/>
      <c r="V119" s="169"/>
      <c r="W119" s="169"/>
    </row>
    <row r="120" spans="1:23" ht="12.75" hidden="1" customHeight="1">
      <c r="A120" s="384"/>
      <c r="B120" s="385"/>
      <c r="C120" s="3056"/>
      <c r="D120" s="3056"/>
      <c r="E120" s="395"/>
      <c r="F120" s="396"/>
      <c r="G120" s="1095"/>
      <c r="H120" s="3057"/>
      <c r="I120" s="3057"/>
      <c r="J120" s="3057"/>
      <c r="K120" s="3057"/>
      <c r="L120" s="3057"/>
      <c r="M120" s="387"/>
      <c r="N120" s="3058" t="str">
        <f>IF(COUNTIF($R$14:$R$38,M120),INDEX($S$14:$S$38,MATCH(M120,$R$14:$R151,0)),"")</f>
        <v/>
      </c>
      <c r="O120" s="3058"/>
      <c r="P120" s="3058"/>
      <c r="Q120" s="388"/>
      <c r="R120" s="390"/>
      <c r="S120" s="389"/>
      <c r="T120" s="169"/>
      <c r="U120" s="169"/>
      <c r="V120" s="169"/>
      <c r="W120" s="169"/>
    </row>
    <row r="121" spans="1:23" ht="12.75" hidden="1" customHeight="1">
      <c r="A121" s="384"/>
      <c r="B121" s="385"/>
      <c r="C121" s="3056"/>
      <c r="D121" s="3056"/>
      <c r="E121" s="395"/>
      <c r="F121" s="396"/>
      <c r="G121" s="1095"/>
      <c r="H121" s="3057"/>
      <c r="I121" s="3057"/>
      <c r="J121" s="3057"/>
      <c r="K121" s="3057"/>
      <c r="L121" s="3057"/>
      <c r="M121" s="387"/>
      <c r="N121" s="3058" t="str">
        <f>IF(COUNTIF($R$14:$R$38,M121),INDEX($S$14:$S$38,MATCH(M121,$R$14:$R152,0)),"")</f>
        <v/>
      </c>
      <c r="O121" s="3058"/>
      <c r="P121" s="3058"/>
      <c r="Q121" s="388"/>
      <c r="R121" s="390"/>
      <c r="S121" s="389"/>
      <c r="T121" s="169"/>
      <c r="U121" s="169"/>
      <c r="V121" s="169"/>
      <c r="W121" s="169"/>
    </row>
    <row r="122" spans="1:23" ht="12.75" hidden="1" customHeight="1">
      <c r="A122" s="384"/>
      <c r="B122" s="385"/>
      <c r="C122" s="3056"/>
      <c r="D122" s="3056"/>
      <c r="E122" s="395"/>
      <c r="F122" s="396"/>
      <c r="G122" s="1095"/>
      <c r="H122" s="3057"/>
      <c r="I122" s="3057"/>
      <c r="J122" s="3057"/>
      <c r="K122" s="3057"/>
      <c r="L122" s="3057"/>
      <c r="M122" s="387"/>
      <c r="N122" s="3058" t="str">
        <f>IF(COUNTIF($R$14:$R$38,M122),INDEX($S$14:$S$38,MATCH(M122,$R$14:$R153,0)),"")</f>
        <v/>
      </c>
      <c r="O122" s="3058"/>
      <c r="P122" s="3058"/>
      <c r="Q122" s="388"/>
      <c r="R122" s="390"/>
      <c r="S122" s="389"/>
      <c r="T122" s="169"/>
      <c r="U122" s="169"/>
      <c r="V122" s="169"/>
      <c r="W122" s="169"/>
    </row>
    <row r="123" spans="1:23" ht="12.75" hidden="1" customHeight="1">
      <c r="A123" s="384"/>
      <c r="B123" s="385"/>
      <c r="C123" s="3056"/>
      <c r="D123" s="3056"/>
      <c r="E123" s="395"/>
      <c r="F123" s="396"/>
      <c r="G123" s="1095"/>
      <c r="H123" s="3057"/>
      <c r="I123" s="3057"/>
      <c r="J123" s="3057"/>
      <c r="K123" s="3057"/>
      <c r="L123" s="3057"/>
      <c r="M123" s="387"/>
      <c r="N123" s="3058" t="str">
        <f>IF(COUNTIF($R$14:$R$38,M123),INDEX($S$14:$S$38,MATCH(M123,$R$14:$R154,0)),"")</f>
        <v/>
      </c>
      <c r="O123" s="3058"/>
      <c r="P123" s="3058"/>
      <c r="Q123" s="388"/>
      <c r="R123" s="390"/>
      <c r="S123" s="389"/>
      <c r="T123" s="169"/>
      <c r="U123" s="169"/>
      <c r="V123" s="169"/>
      <c r="W123" s="169"/>
    </row>
    <row r="124" spans="1:23" ht="12.75" hidden="1" customHeight="1">
      <c r="A124" s="384"/>
      <c r="B124" s="385"/>
      <c r="C124" s="3056"/>
      <c r="D124" s="3056"/>
      <c r="E124" s="395"/>
      <c r="F124" s="396"/>
      <c r="G124" s="1095"/>
      <c r="H124" s="3057"/>
      <c r="I124" s="3057"/>
      <c r="J124" s="3057"/>
      <c r="K124" s="3057"/>
      <c r="L124" s="3057"/>
      <c r="M124" s="387"/>
      <c r="N124" s="3058" t="str">
        <f>IF(COUNTIF($R$14:$R$38,M124),INDEX($S$14:$S$38,MATCH(M124,$R$14:$R155,0)),"")</f>
        <v/>
      </c>
      <c r="O124" s="3058"/>
      <c r="P124" s="3058"/>
      <c r="Q124" s="388"/>
      <c r="R124" s="390"/>
      <c r="S124" s="389"/>
      <c r="T124" s="169"/>
      <c r="U124" s="169"/>
      <c r="V124" s="169"/>
      <c r="W124" s="169"/>
    </row>
    <row r="125" spans="1:23" ht="12.75" hidden="1" customHeight="1">
      <c r="A125" s="384"/>
      <c r="B125" s="385"/>
      <c r="C125" s="3056"/>
      <c r="D125" s="3056"/>
      <c r="E125" s="395"/>
      <c r="F125" s="396"/>
      <c r="G125" s="1095"/>
      <c r="H125" s="3057"/>
      <c r="I125" s="3057"/>
      <c r="J125" s="3057"/>
      <c r="K125" s="3057"/>
      <c r="L125" s="3057"/>
      <c r="M125" s="387"/>
      <c r="N125" s="3058" t="str">
        <f>IF(COUNTIF($R$14:$R$38,M125),INDEX($S$14:$S$38,MATCH(M125,$R$14:$R156,0)),"")</f>
        <v/>
      </c>
      <c r="O125" s="3058"/>
      <c r="P125" s="3058"/>
      <c r="Q125" s="388"/>
      <c r="R125" s="390"/>
      <c r="S125" s="389"/>
      <c r="T125" s="169"/>
      <c r="U125" s="169"/>
      <c r="V125" s="169"/>
      <c r="W125" s="169"/>
    </row>
    <row r="126" spans="1:23" ht="12.75" hidden="1" customHeight="1">
      <c r="A126" s="384"/>
      <c r="B126" s="385"/>
      <c r="C126" s="3056"/>
      <c r="D126" s="3056"/>
      <c r="E126" s="395"/>
      <c r="F126" s="396"/>
      <c r="G126" s="1095"/>
      <c r="H126" s="3057"/>
      <c r="I126" s="3057"/>
      <c r="J126" s="3057"/>
      <c r="K126" s="3057"/>
      <c r="L126" s="3057"/>
      <c r="M126" s="387"/>
      <c r="N126" s="3058" t="str">
        <f>IF(COUNTIF($R$14:$R$38,M126),INDEX($S$14:$S$38,MATCH(M126,$R$14:$R157,0)),"")</f>
        <v/>
      </c>
      <c r="O126" s="3058"/>
      <c r="P126" s="3058"/>
      <c r="Q126" s="388"/>
      <c r="R126" s="390"/>
      <c r="S126" s="389"/>
      <c r="T126" s="169"/>
      <c r="U126" s="169"/>
      <c r="V126" s="169"/>
      <c r="W126" s="169"/>
    </row>
    <row r="127" spans="1:23" ht="12.75" hidden="1" customHeight="1">
      <c r="A127" s="384"/>
      <c r="B127" s="385"/>
      <c r="C127" s="3056"/>
      <c r="D127" s="3056"/>
      <c r="E127" s="395"/>
      <c r="F127" s="396"/>
      <c r="G127" s="1095"/>
      <c r="H127" s="3057"/>
      <c r="I127" s="3057"/>
      <c r="J127" s="3057"/>
      <c r="K127" s="3057"/>
      <c r="L127" s="3057"/>
      <c r="M127" s="387"/>
      <c r="N127" s="3058" t="str">
        <f>IF(COUNTIF($R$14:$R$38,M127),INDEX($S$14:$S$38,MATCH(M127,$R$14:$R158,0)),"")</f>
        <v/>
      </c>
      <c r="O127" s="3058"/>
      <c r="P127" s="3058"/>
      <c r="Q127" s="388"/>
      <c r="R127" s="390"/>
      <c r="S127" s="389"/>
      <c r="T127" s="169"/>
      <c r="U127" s="169"/>
      <c r="V127" s="169"/>
      <c r="W127" s="169"/>
    </row>
    <row r="128" spans="1:23" ht="12.75" hidden="1" customHeight="1">
      <c r="A128" s="384"/>
      <c r="B128" s="385"/>
      <c r="C128" s="3056"/>
      <c r="D128" s="3056"/>
      <c r="E128" s="395"/>
      <c r="F128" s="396"/>
      <c r="G128" s="1095"/>
      <c r="H128" s="3057"/>
      <c r="I128" s="3057"/>
      <c r="J128" s="3057"/>
      <c r="K128" s="3057"/>
      <c r="L128" s="3057"/>
      <c r="M128" s="387"/>
      <c r="N128" s="3058" t="str">
        <f>IF(COUNTIF($R$14:$R$38,M128),INDEX($S$14:$S$38,MATCH(M128,$R$14:$R159,0)),"")</f>
        <v/>
      </c>
      <c r="O128" s="3058"/>
      <c r="P128" s="3058"/>
      <c r="Q128" s="388"/>
      <c r="R128" s="390"/>
      <c r="S128" s="389"/>
      <c r="T128" s="169"/>
      <c r="U128" s="169"/>
      <c r="V128" s="169"/>
      <c r="W128" s="169"/>
    </row>
    <row r="129" spans="1:23" ht="12.75" hidden="1" customHeight="1">
      <c r="A129" s="384"/>
      <c r="B129" s="385"/>
      <c r="C129" s="3056"/>
      <c r="D129" s="3056"/>
      <c r="E129" s="395"/>
      <c r="F129" s="396"/>
      <c r="G129" s="1095"/>
      <c r="H129" s="3057"/>
      <c r="I129" s="3057"/>
      <c r="J129" s="3057"/>
      <c r="K129" s="3057"/>
      <c r="L129" s="3057"/>
      <c r="M129" s="387"/>
      <c r="N129" s="3058" t="str">
        <f>IF(COUNTIF($R$14:$R$38,M129),INDEX($S$14:$S$38,MATCH(M129,$R$14:$R160,0)),"")</f>
        <v/>
      </c>
      <c r="O129" s="3058"/>
      <c r="P129" s="3058"/>
      <c r="Q129" s="388"/>
      <c r="R129" s="390"/>
      <c r="S129" s="389"/>
      <c r="T129" s="169"/>
      <c r="U129" s="169"/>
      <c r="V129" s="169"/>
      <c r="W129" s="169"/>
    </row>
    <row r="130" spans="1:23" ht="12.75" hidden="1" customHeight="1">
      <c r="A130" s="384"/>
      <c r="B130" s="385"/>
      <c r="C130" s="3056"/>
      <c r="D130" s="3056"/>
      <c r="E130" s="395"/>
      <c r="F130" s="396"/>
      <c r="G130" s="1095"/>
      <c r="H130" s="3057"/>
      <c r="I130" s="3057"/>
      <c r="J130" s="3057"/>
      <c r="K130" s="3057"/>
      <c r="L130" s="3057"/>
      <c r="M130" s="387"/>
      <c r="N130" s="3058" t="str">
        <f>IF(COUNTIF($R$14:$R$38,M130),INDEX($S$14:$S$38,MATCH(M130,$R$14:$R161,0)),"")</f>
        <v/>
      </c>
      <c r="O130" s="3058"/>
      <c r="P130" s="3058"/>
      <c r="Q130" s="388"/>
      <c r="R130" s="390"/>
      <c r="S130" s="389"/>
      <c r="T130" s="169"/>
      <c r="U130" s="169"/>
      <c r="V130" s="169"/>
      <c r="W130" s="169"/>
    </row>
    <row r="131" spans="1:23" ht="12.75" hidden="1" customHeight="1">
      <c r="A131" s="384"/>
      <c r="B131" s="385"/>
      <c r="C131" s="3056"/>
      <c r="D131" s="3056"/>
      <c r="E131" s="395"/>
      <c r="F131" s="396"/>
      <c r="G131" s="1095"/>
      <c r="H131" s="3057"/>
      <c r="I131" s="3057"/>
      <c r="J131" s="3057"/>
      <c r="K131" s="3057"/>
      <c r="L131" s="3057"/>
      <c r="M131" s="387"/>
      <c r="N131" s="3058" t="str">
        <f>IF(COUNTIF($R$14:$R$38,M131),INDEX($S$14:$S$38,MATCH(M131,$R$14:$R162,0)),"")</f>
        <v/>
      </c>
      <c r="O131" s="3058"/>
      <c r="P131" s="3058"/>
      <c r="Q131" s="388"/>
      <c r="R131" s="390"/>
      <c r="S131" s="389"/>
      <c r="T131" s="169"/>
      <c r="U131" s="169"/>
      <c r="V131" s="169"/>
      <c r="W131" s="169"/>
    </row>
    <row r="132" spans="1:23" ht="12.75" hidden="1" customHeight="1">
      <c r="A132" s="384"/>
      <c r="B132" s="385"/>
      <c r="C132" s="3056"/>
      <c r="D132" s="3056"/>
      <c r="E132" s="395"/>
      <c r="F132" s="396"/>
      <c r="G132" s="1095"/>
      <c r="H132" s="3057"/>
      <c r="I132" s="3057"/>
      <c r="J132" s="3057"/>
      <c r="K132" s="3057"/>
      <c r="L132" s="3057"/>
      <c r="M132" s="387"/>
      <c r="N132" s="3058" t="str">
        <f>IF(COUNTIF($R$14:$R$38,M132),INDEX($S$14:$S$38,MATCH(M132,$R$14:$R163,0)),"")</f>
        <v/>
      </c>
      <c r="O132" s="3058"/>
      <c r="P132" s="3058"/>
      <c r="Q132" s="388"/>
      <c r="R132" s="390"/>
      <c r="S132" s="389"/>
      <c r="T132" s="169"/>
      <c r="U132" s="169"/>
      <c r="V132" s="169"/>
      <c r="W132" s="169"/>
    </row>
    <row r="133" spans="1:23" ht="12.75" hidden="1" customHeight="1">
      <c r="A133" s="384"/>
      <c r="B133" s="385"/>
      <c r="C133" s="3056"/>
      <c r="D133" s="3056"/>
      <c r="E133" s="395"/>
      <c r="F133" s="396"/>
      <c r="G133" s="1095"/>
      <c r="H133" s="3057"/>
      <c r="I133" s="3057"/>
      <c r="J133" s="3057"/>
      <c r="K133" s="3057"/>
      <c r="L133" s="3057"/>
      <c r="M133" s="387"/>
      <c r="N133" s="3058" t="str">
        <f>IF(COUNTIF($R$14:$R$38,M133),INDEX($S$14:$S$38,MATCH(M133,$R$14:$R164,0)),"")</f>
        <v/>
      </c>
      <c r="O133" s="3058"/>
      <c r="P133" s="3058"/>
      <c r="Q133" s="388"/>
      <c r="R133" s="390"/>
      <c r="S133" s="389"/>
      <c r="T133" s="169"/>
      <c r="U133" s="169"/>
      <c r="V133" s="169"/>
      <c r="W133" s="169"/>
    </row>
    <row r="134" spans="1:23" ht="12.75" hidden="1" customHeight="1">
      <c r="A134" s="384"/>
      <c r="B134" s="385"/>
      <c r="C134" s="3056"/>
      <c r="D134" s="3056"/>
      <c r="E134" s="395"/>
      <c r="F134" s="396"/>
      <c r="G134" s="1095"/>
      <c r="H134" s="3057"/>
      <c r="I134" s="3057"/>
      <c r="J134" s="3057"/>
      <c r="K134" s="3057"/>
      <c r="L134" s="3057"/>
      <c r="M134" s="387"/>
      <c r="N134" s="3058" t="str">
        <f>IF(COUNTIF($R$14:$R$38,M134),INDEX($S$14:$S$38,MATCH(M134,$R$14:$R165,0)),"")</f>
        <v/>
      </c>
      <c r="O134" s="3058"/>
      <c r="P134" s="3058"/>
      <c r="Q134" s="388"/>
      <c r="R134" s="390"/>
      <c r="S134" s="389"/>
      <c r="T134" s="169"/>
      <c r="U134" s="169"/>
      <c r="V134" s="169"/>
      <c r="W134" s="169"/>
    </row>
    <row r="135" spans="1:23" ht="12.75" hidden="1" customHeight="1">
      <c r="A135" s="384"/>
      <c r="B135" s="385"/>
      <c r="C135" s="3056"/>
      <c r="D135" s="3056"/>
      <c r="E135" s="395"/>
      <c r="F135" s="396"/>
      <c r="G135" s="1095"/>
      <c r="H135" s="3057"/>
      <c r="I135" s="3057"/>
      <c r="J135" s="3057"/>
      <c r="K135" s="3057"/>
      <c r="L135" s="3057"/>
      <c r="M135" s="387"/>
      <c r="N135" s="3058" t="str">
        <f>IF(COUNTIF($R$14:$R$38,M135),INDEX($S$14:$S$38,MATCH(M135,$R$14:$R166,0)),"")</f>
        <v/>
      </c>
      <c r="O135" s="3058"/>
      <c r="P135" s="3058"/>
      <c r="Q135" s="388"/>
      <c r="R135" s="390"/>
      <c r="S135" s="389"/>
      <c r="T135" s="169"/>
      <c r="U135" s="169"/>
      <c r="V135" s="169"/>
      <c r="W135" s="169"/>
    </row>
    <row r="136" spans="1:23" ht="12.75" hidden="1" customHeight="1">
      <c r="A136" s="384"/>
      <c r="B136" s="385"/>
      <c r="C136" s="3056"/>
      <c r="D136" s="3056"/>
      <c r="E136" s="395"/>
      <c r="F136" s="396"/>
      <c r="G136" s="1095"/>
      <c r="H136" s="3057"/>
      <c r="I136" s="3057"/>
      <c r="J136" s="3057"/>
      <c r="K136" s="3057"/>
      <c r="L136" s="3057"/>
      <c r="M136" s="387"/>
      <c r="N136" s="3058" t="str">
        <f>IF(COUNTIF($R$14:$R$38,M136),INDEX($S$14:$S$38,MATCH(M136,$R$14:$R167,0)),"")</f>
        <v/>
      </c>
      <c r="O136" s="3058"/>
      <c r="P136" s="3058"/>
      <c r="Q136" s="388"/>
      <c r="R136" s="390"/>
      <c r="S136" s="389"/>
      <c r="T136" s="169"/>
      <c r="U136" s="169"/>
      <c r="V136" s="169"/>
      <c r="W136" s="169"/>
    </row>
    <row r="137" spans="1:23" ht="12.75" hidden="1" customHeight="1">
      <c r="A137" s="384"/>
      <c r="B137" s="385"/>
      <c r="C137" s="3056"/>
      <c r="D137" s="3056"/>
      <c r="E137" s="395"/>
      <c r="F137" s="396"/>
      <c r="G137" s="1095"/>
      <c r="H137" s="3057"/>
      <c r="I137" s="3057"/>
      <c r="J137" s="3057"/>
      <c r="K137" s="3057"/>
      <c r="L137" s="3057"/>
      <c r="M137" s="387"/>
      <c r="N137" s="3058" t="str">
        <f>IF(COUNTIF($R$14:$R$38,M137),INDEX($S$14:$S$38,MATCH(M137,$R$14:$R168,0)),"")</f>
        <v/>
      </c>
      <c r="O137" s="3058"/>
      <c r="P137" s="3058"/>
      <c r="Q137" s="388"/>
      <c r="R137" s="390"/>
      <c r="S137" s="389"/>
      <c r="T137" s="169"/>
      <c r="U137" s="169"/>
      <c r="V137" s="169"/>
      <c r="W137" s="169"/>
    </row>
    <row r="138" spans="1:23" ht="12.75" hidden="1" customHeight="1">
      <c r="A138" s="384"/>
      <c r="B138" s="385"/>
      <c r="C138" s="3056"/>
      <c r="D138" s="3056"/>
      <c r="E138" s="395"/>
      <c r="F138" s="396"/>
      <c r="G138" s="1095"/>
      <c r="H138" s="3057"/>
      <c r="I138" s="3057"/>
      <c r="J138" s="3057"/>
      <c r="K138" s="3057"/>
      <c r="L138" s="3057"/>
      <c r="M138" s="387"/>
      <c r="N138" s="3058" t="str">
        <f>IF(COUNTIF($R$14:$R$38,M138),INDEX($S$14:$S$38,MATCH(M138,$R$14:$R169,0)),"")</f>
        <v/>
      </c>
      <c r="O138" s="3058"/>
      <c r="P138" s="3058"/>
      <c r="Q138" s="388"/>
      <c r="R138" s="390"/>
      <c r="S138" s="389"/>
      <c r="T138" s="169"/>
      <c r="U138" s="169"/>
      <c r="V138" s="169"/>
      <c r="W138" s="169"/>
    </row>
    <row r="139" spans="1:23" ht="12.75" hidden="1" customHeight="1">
      <c r="A139" s="384"/>
      <c r="B139" s="385"/>
      <c r="C139" s="3056"/>
      <c r="D139" s="3056"/>
      <c r="E139" s="395"/>
      <c r="F139" s="396"/>
      <c r="G139" s="1095"/>
      <c r="H139" s="3057"/>
      <c r="I139" s="3057"/>
      <c r="J139" s="3057"/>
      <c r="K139" s="3057"/>
      <c r="L139" s="3057"/>
      <c r="M139" s="387"/>
      <c r="N139" s="3058" t="str">
        <f>IF(COUNTIF($R$14:$R$38,M139),INDEX($S$14:$S$38,MATCH(M139,$R$14:$R170,0)),"")</f>
        <v/>
      </c>
      <c r="O139" s="3058"/>
      <c r="P139" s="3058"/>
      <c r="Q139" s="388"/>
      <c r="R139" s="390"/>
      <c r="S139" s="389"/>
      <c r="T139" s="169"/>
      <c r="U139" s="169"/>
      <c r="V139" s="169"/>
      <c r="W139" s="169"/>
    </row>
    <row r="140" spans="1:23" ht="12.75" hidden="1" customHeight="1">
      <c r="A140" s="384"/>
      <c r="B140" s="385"/>
      <c r="C140" s="3056"/>
      <c r="D140" s="3056"/>
      <c r="E140" s="395"/>
      <c r="F140" s="396"/>
      <c r="G140" s="1095"/>
      <c r="H140" s="3057"/>
      <c r="I140" s="3057"/>
      <c r="J140" s="3057"/>
      <c r="K140" s="3057"/>
      <c r="L140" s="3057"/>
      <c r="M140" s="387"/>
      <c r="N140" s="3058" t="str">
        <f>IF(COUNTIF($R$14:$R$38,M140),INDEX($S$14:$S$38,MATCH(M140,$R$14:$R171,0)),"")</f>
        <v/>
      </c>
      <c r="O140" s="3058"/>
      <c r="P140" s="3058"/>
      <c r="Q140" s="388"/>
      <c r="R140" s="390"/>
      <c r="S140" s="389"/>
      <c r="T140" s="169"/>
      <c r="U140" s="169"/>
      <c r="V140" s="169"/>
      <c r="W140" s="169"/>
    </row>
    <row r="141" spans="1:23" ht="12.75" hidden="1" customHeight="1">
      <c r="A141" s="384"/>
      <c r="B141" s="385"/>
      <c r="C141" s="3056"/>
      <c r="D141" s="3056"/>
      <c r="E141" s="395"/>
      <c r="F141" s="396"/>
      <c r="G141" s="1095"/>
      <c r="H141" s="3057"/>
      <c r="I141" s="3057"/>
      <c r="J141" s="3057"/>
      <c r="K141" s="3057"/>
      <c r="L141" s="3057"/>
      <c r="M141" s="387"/>
      <c r="N141" s="3058" t="str">
        <f>IF(COUNTIF($R$14:$R$38,M141),INDEX($S$14:$S$38,MATCH(M141,$R$14:$R172,0)),"")</f>
        <v/>
      </c>
      <c r="O141" s="3058"/>
      <c r="P141" s="3058"/>
      <c r="Q141" s="388"/>
      <c r="R141" s="390"/>
      <c r="S141" s="389"/>
      <c r="T141" s="169"/>
      <c r="U141" s="169"/>
      <c r="V141" s="169"/>
      <c r="W141" s="169"/>
    </row>
    <row r="142" spans="1:23" ht="12.75" hidden="1" customHeight="1">
      <c r="A142" s="384"/>
      <c r="B142" s="385"/>
      <c r="C142" s="3056"/>
      <c r="D142" s="3056"/>
      <c r="E142" s="395"/>
      <c r="F142" s="396"/>
      <c r="G142" s="1095"/>
      <c r="H142" s="3057"/>
      <c r="I142" s="3057"/>
      <c r="J142" s="3057"/>
      <c r="K142" s="3057"/>
      <c r="L142" s="3057"/>
      <c r="M142" s="387"/>
      <c r="N142" s="3058" t="str">
        <f>IF(COUNTIF($R$14:$R$38,M142),INDEX($S$14:$S$38,MATCH(M142,$R$14:$R173,0)),"")</f>
        <v/>
      </c>
      <c r="O142" s="3058"/>
      <c r="P142" s="3058"/>
      <c r="Q142" s="388"/>
      <c r="R142" s="390"/>
      <c r="S142" s="389"/>
      <c r="T142" s="169"/>
      <c r="U142" s="169"/>
      <c r="V142" s="169"/>
      <c r="W142" s="169"/>
    </row>
    <row r="143" spans="1:23" ht="12.75" hidden="1" customHeight="1">
      <c r="A143" s="384"/>
      <c r="B143" s="385"/>
      <c r="C143" s="3056"/>
      <c r="D143" s="3056"/>
      <c r="E143" s="395"/>
      <c r="F143" s="396"/>
      <c r="G143" s="1095"/>
      <c r="H143" s="3057"/>
      <c r="I143" s="3057"/>
      <c r="J143" s="3057"/>
      <c r="K143" s="3057"/>
      <c r="L143" s="3057"/>
      <c r="M143" s="387"/>
      <c r="N143" s="3058" t="str">
        <f>IF(COUNTIF($R$14:$R$38,M143),INDEX($S$14:$S$38,MATCH(M143,$R$14:$R174,0)),"")</f>
        <v/>
      </c>
      <c r="O143" s="3058"/>
      <c r="P143" s="3058"/>
      <c r="Q143" s="388"/>
      <c r="R143" s="390"/>
      <c r="S143" s="389"/>
      <c r="T143" s="169"/>
      <c r="U143" s="169"/>
      <c r="V143" s="169"/>
      <c r="W143" s="169"/>
    </row>
    <row r="144" spans="1:23" ht="12.75" hidden="1" customHeight="1">
      <c r="A144" s="384"/>
      <c r="B144" s="385"/>
      <c r="C144" s="3056"/>
      <c r="D144" s="3056"/>
      <c r="E144" s="395"/>
      <c r="F144" s="396"/>
      <c r="G144" s="1095"/>
      <c r="H144" s="3057"/>
      <c r="I144" s="3057"/>
      <c r="J144" s="3057"/>
      <c r="K144" s="3057"/>
      <c r="L144" s="3057"/>
      <c r="M144" s="387"/>
      <c r="N144" s="3058" t="str">
        <f>IF(COUNTIF($R$14:$R$38,M144),INDEX($S$14:$S$38,MATCH(M144,$R$14:$R175,0)),"")</f>
        <v/>
      </c>
      <c r="O144" s="3058"/>
      <c r="P144" s="3058"/>
      <c r="Q144" s="388"/>
      <c r="R144" s="390"/>
      <c r="S144" s="389"/>
      <c r="T144" s="169"/>
      <c r="U144" s="169"/>
      <c r="V144" s="169"/>
      <c r="W144" s="169"/>
    </row>
    <row r="145" spans="1:23" ht="12.75" hidden="1" customHeight="1">
      <c r="A145" s="384"/>
      <c r="B145" s="385"/>
      <c r="C145" s="3056"/>
      <c r="D145" s="3056"/>
      <c r="E145" s="395"/>
      <c r="F145" s="396"/>
      <c r="G145" s="1095"/>
      <c r="H145" s="3057"/>
      <c r="I145" s="3057"/>
      <c r="J145" s="3057"/>
      <c r="K145" s="3057"/>
      <c r="L145" s="3057"/>
      <c r="M145" s="387"/>
      <c r="N145" s="3058" t="str">
        <f>IF(COUNTIF($R$14:$R$38,M145),INDEX($S$14:$S$38,MATCH(M145,$R$14:$R176,0)),"")</f>
        <v/>
      </c>
      <c r="O145" s="3058"/>
      <c r="P145" s="3058"/>
      <c r="Q145" s="388"/>
      <c r="R145" s="390"/>
      <c r="S145" s="389"/>
      <c r="T145" s="169"/>
      <c r="U145" s="169"/>
      <c r="V145" s="169"/>
      <c r="W145" s="169"/>
    </row>
    <row r="146" spans="1:23" ht="12.75" hidden="1" customHeight="1">
      <c r="A146" s="384"/>
      <c r="B146" s="385"/>
      <c r="C146" s="3056"/>
      <c r="D146" s="3056"/>
      <c r="E146" s="395"/>
      <c r="F146" s="396"/>
      <c r="G146" s="1095"/>
      <c r="H146" s="3057"/>
      <c r="I146" s="3057"/>
      <c r="J146" s="3057"/>
      <c r="K146" s="3057"/>
      <c r="L146" s="3057"/>
      <c r="M146" s="387"/>
      <c r="N146" s="3058" t="str">
        <f>IF(COUNTIF($R$14:$R$38,M146),INDEX($S$14:$S$38,MATCH(M146,$R$14:$R177,0)),"")</f>
        <v/>
      </c>
      <c r="O146" s="3058"/>
      <c r="P146" s="3058"/>
      <c r="Q146" s="388"/>
      <c r="R146" s="390"/>
      <c r="S146" s="389"/>
      <c r="T146" s="169"/>
      <c r="U146" s="169"/>
      <c r="V146" s="169"/>
      <c r="W146" s="169"/>
    </row>
    <row r="147" spans="1:23" ht="12.75" hidden="1" customHeight="1">
      <c r="A147" s="384"/>
      <c r="B147" s="385"/>
      <c r="C147" s="3056"/>
      <c r="D147" s="3056"/>
      <c r="E147" s="395"/>
      <c r="F147" s="396"/>
      <c r="G147" s="1095"/>
      <c r="H147" s="3057"/>
      <c r="I147" s="3057"/>
      <c r="J147" s="3057"/>
      <c r="K147" s="3057"/>
      <c r="L147" s="3057"/>
      <c r="M147" s="387"/>
      <c r="N147" s="3058" t="str">
        <f>IF(COUNTIF($R$14:$R$38,M147),INDEX($S$14:$S$38,MATCH(M147,$R$14:$R178,0)),"")</f>
        <v/>
      </c>
      <c r="O147" s="3058"/>
      <c r="P147" s="3058"/>
      <c r="Q147" s="388"/>
      <c r="R147" s="390"/>
      <c r="S147" s="389"/>
      <c r="T147" s="169"/>
      <c r="U147" s="169"/>
      <c r="V147" s="169"/>
      <c r="W147" s="169"/>
    </row>
    <row r="148" spans="1:23" ht="12.75" hidden="1" customHeight="1">
      <c r="A148" s="384"/>
      <c r="B148" s="385"/>
      <c r="C148" s="3056"/>
      <c r="D148" s="3056"/>
      <c r="E148" s="395"/>
      <c r="F148" s="396"/>
      <c r="G148" s="1095"/>
      <c r="H148" s="3057"/>
      <c r="I148" s="3057"/>
      <c r="J148" s="3057"/>
      <c r="K148" s="3057"/>
      <c r="L148" s="3057"/>
      <c r="M148" s="387"/>
      <c r="N148" s="3058" t="str">
        <f>IF(COUNTIF($R$14:$R$38,M148),INDEX($S$14:$S$38,MATCH(M148,$R$14:$R179,0)),"")</f>
        <v/>
      </c>
      <c r="O148" s="3058"/>
      <c r="P148" s="3058"/>
      <c r="Q148" s="388"/>
      <c r="R148" s="390"/>
      <c r="S148" s="389"/>
      <c r="T148" s="169"/>
      <c r="U148" s="169"/>
      <c r="V148" s="169"/>
      <c r="W148" s="169"/>
    </row>
    <row r="149" spans="1:23" ht="12.75" hidden="1" customHeight="1">
      <c r="A149" s="384"/>
      <c r="B149" s="385"/>
      <c r="C149" s="3056"/>
      <c r="D149" s="3056"/>
      <c r="E149" s="395"/>
      <c r="F149" s="396"/>
      <c r="G149" s="1095"/>
      <c r="H149" s="3057"/>
      <c r="I149" s="3057"/>
      <c r="J149" s="3057"/>
      <c r="K149" s="3057"/>
      <c r="L149" s="3057"/>
      <c r="M149" s="387"/>
      <c r="N149" s="3058" t="str">
        <f>IF(COUNTIF($R$14:$R$38,M149),INDEX($S$14:$S$38,MATCH(M149,$R$14:$R180,0)),"")</f>
        <v/>
      </c>
      <c r="O149" s="3058"/>
      <c r="P149" s="3058"/>
      <c r="Q149" s="388"/>
      <c r="R149" s="390"/>
      <c r="S149" s="389"/>
      <c r="T149" s="169"/>
      <c r="U149" s="169"/>
      <c r="V149" s="169"/>
      <c r="W149" s="169"/>
    </row>
    <row r="150" spans="1:23" ht="12.75" hidden="1" customHeight="1">
      <c r="A150" s="384"/>
      <c r="B150" s="385"/>
      <c r="C150" s="3056"/>
      <c r="D150" s="3056"/>
      <c r="E150" s="395"/>
      <c r="F150" s="396"/>
      <c r="G150" s="1095"/>
      <c r="H150" s="3057"/>
      <c r="I150" s="3057"/>
      <c r="J150" s="3057"/>
      <c r="K150" s="3057"/>
      <c r="L150" s="3057"/>
      <c r="M150" s="387"/>
      <c r="N150" s="3058" t="str">
        <f>IF(COUNTIF($R$14:$R$38,M150),INDEX($S$14:$S$38,MATCH(M150,$R$14:$R181,0)),"")</f>
        <v/>
      </c>
      <c r="O150" s="3058"/>
      <c r="P150" s="3058"/>
      <c r="Q150" s="388"/>
      <c r="R150" s="390"/>
      <c r="S150" s="389"/>
      <c r="T150" s="169"/>
      <c r="U150" s="169"/>
      <c r="V150" s="169"/>
      <c r="W150" s="169"/>
    </row>
    <row r="151" spans="1:23" ht="12.75" hidden="1" customHeight="1">
      <c r="A151" s="384"/>
      <c r="B151" s="385"/>
      <c r="C151" s="3056"/>
      <c r="D151" s="3056"/>
      <c r="E151" s="395"/>
      <c r="F151" s="396"/>
      <c r="G151" s="1095"/>
      <c r="H151" s="3057"/>
      <c r="I151" s="3057"/>
      <c r="J151" s="3057"/>
      <c r="K151" s="3057"/>
      <c r="L151" s="3057"/>
      <c r="M151" s="387"/>
      <c r="N151" s="3058" t="str">
        <f>IF(COUNTIF($R$14:$R$38,M151),INDEX($S$14:$S$38,MATCH(M151,$R$14:$R182,0)),"")</f>
        <v/>
      </c>
      <c r="O151" s="3058"/>
      <c r="P151" s="3058"/>
      <c r="Q151" s="388"/>
      <c r="R151" s="390"/>
      <c r="S151" s="389"/>
      <c r="T151" s="169"/>
      <c r="U151" s="169"/>
      <c r="V151" s="169"/>
      <c r="W151" s="169"/>
    </row>
    <row r="152" spans="1:23" ht="12.75" hidden="1" customHeight="1">
      <c r="A152" s="384"/>
      <c r="B152" s="385"/>
      <c r="C152" s="3056"/>
      <c r="D152" s="3056"/>
      <c r="E152" s="395"/>
      <c r="F152" s="396"/>
      <c r="G152" s="1095"/>
      <c r="H152" s="3057"/>
      <c r="I152" s="3057"/>
      <c r="J152" s="3057"/>
      <c r="K152" s="3057"/>
      <c r="L152" s="3057"/>
      <c r="M152" s="387"/>
      <c r="N152" s="3058" t="str">
        <f>IF(COUNTIF($R$14:$R$38,M152),INDEX($S$14:$S$38,MATCH(M152,$R$14:$R183,0)),"")</f>
        <v/>
      </c>
      <c r="O152" s="3058"/>
      <c r="P152" s="3058"/>
      <c r="Q152" s="388"/>
      <c r="R152" s="390"/>
      <c r="S152" s="389"/>
      <c r="T152" s="169"/>
      <c r="U152" s="169"/>
      <c r="V152" s="169"/>
      <c r="W152" s="169"/>
    </row>
    <row r="153" spans="1:23" ht="12.75" hidden="1" customHeight="1">
      <c r="A153" s="384"/>
      <c r="B153" s="385"/>
      <c r="C153" s="3056"/>
      <c r="D153" s="3056"/>
      <c r="E153" s="395"/>
      <c r="F153" s="396"/>
      <c r="G153" s="1095"/>
      <c r="H153" s="3057"/>
      <c r="I153" s="3057"/>
      <c r="J153" s="3057"/>
      <c r="K153" s="3057"/>
      <c r="L153" s="3057"/>
      <c r="M153" s="387"/>
      <c r="N153" s="3058" t="str">
        <f>IF(COUNTIF($R$14:$R$38,M153),INDEX($S$14:$S$38,MATCH(M153,$R$14:$R184,0)),"")</f>
        <v/>
      </c>
      <c r="O153" s="3058"/>
      <c r="P153" s="3058"/>
      <c r="Q153" s="388"/>
      <c r="R153" s="390"/>
      <c r="S153" s="389"/>
      <c r="T153" s="169"/>
      <c r="U153" s="169"/>
      <c r="V153" s="169"/>
      <c r="W153" s="169"/>
    </row>
    <row r="154" spans="1:23" ht="12.75" hidden="1" customHeight="1">
      <c r="A154" s="384"/>
      <c r="B154" s="385"/>
      <c r="C154" s="3056"/>
      <c r="D154" s="3056"/>
      <c r="E154" s="395"/>
      <c r="F154" s="396"/>
      <c r="G154" s="1095"/>
      <c r="H154" s="3057"/>
      <c r="I154" s="3057"/>
      <c r="J154" s="3057"/>
      <c r="K154" s="3057"/>
      <c r="L154" s="3057"/>
      <c r="M154" s="387"/>
      <c r="N154" s="3058" t="str">
        <f>IF(COUNTIF($R$14:$R$38,M154),INDEX($S$14:$S$38,MATCH(M154,$R$14:$R185,0)),"")</f>
        <v/>
      </c>
      <c r="O154" s="3058"/>
      <c r="P154" s="3058"/>
      <c r="Q154" s="388"/>
      <c r="R154" s="390"/>
      <c r="S154" s="389"/>
      <c r="T154" s="169"/>
      <c r="U154" s="169"/>
      <c r="V154" s="169"/>
      <c r="W154" s="169"/>
    </row>
    <row r="155" spans="1:23" ht="12.75" hidden="1" customHeight="1">
      <c r="A155" s="384"/>
      <c r="B155" s="385"/>
      <c r="C155" s="3056"/>
      <c r="D155" s="3056"/>
      <c r="E155" s="395"/>
      <c r="F155" s="396"/>
      <c r="G155" s="1095"/>
      <c r="H155" s="3057"/>
      <c r="I155" s="3057"/>
      <c r="J155" s="3057"/>
      <c r="K155" s="3057"/>
      <c r="L155" s="3057"/>
      <c r="M155" s="387"/>
      <c r="N155" s="3058" t="str">
        <f>IF(COUNTIF($R$14:$R$38,M155),INDEX($S$14:$S$38,MATCH(M155,$R$14:$R186,0)),"")</f>
        <v/>
      </c>
      <c r="O155" s="3058"/>
      <c r="P155" s="3058"/>
      <c r="Q155" s="388"/>
      <c r="R155" s="390"/>
      <c r="S155" s="389"/>
      <c r="T155" s="169"/>
      <c r="U155" s="169"/>
      <c r="V155" s="169"/>
      <c r="W155" s="169"/>
    </row>
    <row r="156" spans="1:23" ht="12.75" hidden="1" customHeight="1">
      <c r="A156" s="384"/>
      <c r="B156" s="385"/>
      <c r="C156" s="3056"/>
      <c r="D156" s="3056"/>
      <c r="E156" s="395"/>
      <c r="F156" s="396"/>
      <c r="G156" s="1095"/>
      <c r="H156" s="3057"/>
      <c r="I156" s="3057"/>
      <c r="J156" s="3057"/>
      <c r="K156" s="3057"/>
      <c r="L156" s="3057"/>
      <c r="M156" s="387"/>
      <c r="N156" s="3058" t="str">
        <f>IF(COUNTIF($R$14:$R$38,M156),INDEX($S$14:$S$38,MATCH(M156,$R$14:$R187,0)),"")</f>
        <v/>
      </c>
      <c r="O156" s="3058"/>
      <c r="P156" s="3058"/>
      <c r="Q156" s="388"/>
      <c r="R156" s="390"/>
      <c r="S156" s="389"/>
      <c r="T156" s="169"/>
      <c r="U156" s="169"/>
      <c r="V156" s="169"/>
      <c r="W156" s="169"/>
    </row>
    <row r="157" spans="1:23" ht="12.75" hidden="1" customHeight="1">
      <c r="A157" s="384"/>
      <c r="B157" s="385"/>
      <c r="C157" s="3056"/>
      <c r="D157" s="3056"/>
      <c r="E157" s="395"/>
      <c r="F157" s="396"/>
      <c r="G157" s="1095"/>
      <c r="H157" s="3057"/>
      <c r="I157" s="3057"/>
      <c r="J157" s="3057"/>
      <c r="K157" s="3057"/>
      <c r="L157" s="3057"/>
      <c r="M157" s="387"/>
      <c r="N157" s="3058" t="str">
        <f>IF(COUNTIF($R$14:$R$38,M157),INDEX($S$14:$S$38,MATCH(M157,$R$14:$R188,0)),"")</f>
        <v/>
      </c>
      <c r="O157" s="3058"/>
      <c r="P157" s="3058"/>
      <c r="Q157" s="388"/>
      <c r="R157" s="390"/>
      <c r="S157" s="389"/>
      <c r="T157" s="169"/>
      <c r="U157" s="169"/>
      <c r="V157" s="169"/>
      <c r="W157" s="169"/>
    </row>
    <row r="158" spans="1:23" ht="12.75" hidden="1" customHeight="1">
      <c r="A158" s="384"/>
      <c r="B158" s="385"/>
      <c r="C158" s="3056"/>
      <c r="D158" s="3056"/>
      <c r="E158" s="395"/>
      <c r="F158" s="396"/>
      <c r="G158" s="1095"/>
      <c r="H158" s="3057"/>
      <c r="I158" s="3057"/>
      <c r="J158" s="3057"/>
      <c r="K158" s="3057"/>
      <c r="L158" s="3057"/>
      <c r="M158" s="387"/>
      <c r="N158" s="3058" t="str">
        <f>IF(COUNTIF($R$14:$R$38,M158),INDEX($S$14:$S$38,MATCH(M158,$R$14:$R189,0)),"")</f>
        <v/>
      </c>
      <c r="O158" s="3058"/>
      <c r="P158" s="3058"/>
      <c r="Q158" s="388"/>
      <c r="R158" s="390"/>
      <c r="S158" s="389"/>
      <c r="T158" s="169"/>
      <c r="U158" s="169"/>
      <c r="V158" s="169"/>
      <c r="W158" s="169"/>
    </row>
    <row r="159" spans="1:23" ht="12.75" hidden="1" customHeight="1">
      <c r="A159" s="384"/>
      <c r="B159" s="385"/>
      <c r="C159" s="3056"/>
      <c r="D159" s="3056"/>
      <c r="E159" s="395"/>
      <c r="F159" s="396"/>
      <c r="G159" s="1095"/>
      <c r="H159" s="3057"/>
      <c r="I159" s="3057"/>
      <c r="J159" s="3057"/>
      <c r="K159" s="3057"/>
      <c r="L159" s="3057"/>
      <c r="M159" s="387"/>
      <c r="N159" s="3058" t="str">
        <f>IF(COUNTIF($R$14:$R$38,M159),INDEX($S$14:$S$38,MATCH(M159,$R$14:$R190,0)),"")</f>
        <v/>
      </c>
      <c r="O159" s="3058"/>
      <c r="P159" s="3058"/>
      <c r="Q159" s="388"/>
      <c r="R159" s="390"/>
      <c r="S159" s="389"/>
      <c r="T159" s="169"/>
      <c r="U159" s="169"/>
      <c r="V159" s="169"/>
      <c r="W159" s="169"/>
    </row>
    <row r="160" spans="1:23" ht="12.75" hidden="1" customHeight="1">
      <c r="A160" s="384"/>
      <c r="B160" s="385"/>
      <c r="C160" s="3056"/>
      <c r="D160" s="3056"/>
      <c r="E160" s="395"/>
      <c r="F160" s="396"/>
      <c r="G160" s="1095"/>
      <c r="H160" s="3057"/>
      <c r="I160" s="3057"/>
      <c r="J160" s="3057"/>
      <c r="K160" s="3057"/>
      <c r="L160" s="3057"/>
      <c r="M160" s="387"/>
      <c r="N160" s="3058" t="str">
        <f>IF(COUNTIF($R$14:$R$38,M160),INDEX($S$14:$S$38,MATCH(M160,$R$14:$R191,0)),"")</f>
        <v/>
      </c>
      <c r="O160" s="3058"/>
      <c r="P160" s="3058"/>
      <c r="Q160" s="388"/>
      <c r="R160" s="390"/>
      <c r="S160" s="389"/>
      <c r="T160" s="169"/>
      <c r="U160" s="169"/>
      <c r="V160" s="169"/>
      <c r="W160" s="169"/>
    </row>
    <row r="161" spans="1:23" ht="12.75" hidden="1" customHeight="1">
      <c r="A161" s="384"/>
      <c r="B161" s="385"/>
      <c r="C161" s="3056"/>
      <c r="D161" s="3056"/>
      <c r="E161" s="395"/>
      <c r="F161" s="396"/>
      <c r="G161" s="1095"/>
      <c r="H161" s="3057"/>
      <c r="I161" s="3057"/>
      <c r="J161" s="3057"/>
      <c r="K161" s="3057"/>
      <c r="L161" s="3057"/>
      <c r="M161" s="387"/>
      <c r="N161" s="3058" t="str">
        <f>IF(COUNTIF($R$14:$R$38,M161),INDEX($S$14:$S$38,MATCH(M161,$R$14:$R192,0)),"")</f>
        <v/>
      </c>
      <c r="O161" s="3058"/>
      <c r="P161" s="3058"/>
      <c r="Q161" s="388"/>
      <c r="R161" s="390"/>
      <c r="S161" s="389"/>
      <c r="T161" s="169"/>
      <c r="U161" s="169"/>
      <c r="V161" s="169"/>
      <c r="W161" s="169"/>
    </row>
    <row r="162" spans="1:23" ht="12.75" hidden="1" customHeight="1">
      <c r="A162" s="384"/>
      <c r="B162" s="385"/>
      <c r="C162" s="3056"/>
      <c r="D162" s="3056"/>
      <c r="E162" s="395"/>
      <c r="F162" s="396"/>
      <c r="G162" s="1095"/>
      <c r="H162" s="3057"/>
      <c r="I162" s="3057"/>
      <c r="J162" s="3057"/>
      <c r="K162" s="3057"/>
      <c r="L162" s="3057"/>
      <c r="M162" s="387"/>
      <c r="N162" s="3058" t="str">
        <f>IF(COUNTIF($R$14:$R$38,M162),INDEX($S$14:$S$38,MATCH(M162,$R$14:$R193,0)),"")</f>
        <v/>
      </c>
      <c r="O162" s="3058"/>
      <c r="P162" s="3058"/>
      <c r="Q162" s="388"/>
      <c r="R162" s="390"/>
      <c r="S162" s="389"/>
      <c r="T162" s="169"/>
      <c r="U162" s="169"/>
      <c r="V162" s="169"/>
      <c r="W162" s="169"/>
    </row>
    <row r="163" spans="1:23" ht="12.75" hidden="1" customHeight="1">
      <c r="A163" s="384"/>
      <c r="B163" s="385"/>
      <c r="C163" s="3056"/>
      <c r="D163" s="3056"/>
      <c r="E163" s="395"/>
      <c r="F163" s="396"/>
      <c r="G163" s="1095"/>
      <c r="H163" s="3057"/>
      <c r="I163" s="3057"/>
      <c r="J163" s="3057"/>
      <c r="K163" s="3057"/>
      <c r="L163" s="3057"/>
      <c r="M163" s="387"/>
      <c r="N163" s="3058" t="str">
        <f>IF(COUNTIF($R$14:$R$38,M163),INDEX($S$14:$S$38,MATCH(M163,$R$14:$R194,0)),"")</f>
        <v/>
      </c>
      <c r="O163" s="3058"/>
      <c r="P163" s="3058"/>
      <c r="Q163" s="388"/>
      <c r="R163" s="390"/>
      <c r="S163" s="389"/>
      <c r="T163" s="169"/>
      <c r="U163" s="169"/>
      <c r="V163" s="169"/>
      <c r="W163" s="169"/>
    </row>
    <row r="164" spans="1:23" ht="12.75" hidden="1" customHeight="1">
      <c r="A164" s="384"/>
      <c r="B164" s="385"/>
      <c r="C164" s="3056"/>
      <c r="D164" s="3056"/>
      <c r="E164" s="395"/>
      <c r="F164" s="396"/>
      <c r="G164" s="1095"/>
      <c r="H164" s="3057"/>
      <c r="I164" s="3057"/>
      <c r="J164" s="3057"/>
      <c r="K164" s="3057"/>
      <c r="L164" s="3057"/>
      <c r="M164" s="387"/>
      <c r="N164" s="3058" t="str">
        <f>IF(COUNTIF($R$14:$R$38,M164),INDEX($S$14:$S$38,MATCH(M164,$R$14:$R195,0)),"")</f>
        <v/>
      </c>
      <c r="O164" s="3058"/>
      <c r="P164" s="3058"/>
      <c r="Q164" s="388"/>
      <c r="R164" s="390"/>
      <c r="S164" s="389"/>
      <c r="T164" s="169"/>
      <c r="U164" s="169"/>
      <c r="V164" s="169"/>
      <c r="W164" s="169"/>
    </row>
    <row r="165" spans="1:23" ht="12.75" hidden="1" customHeight="1">
      <c r="A165" s="384"/>
      <c r="B165" s="385"/>
      <c r="C165" s="3056"/>
      <c r="D165" s="3056"/>
      <c r="E165" s="395"/>
      <c r="F165" s="396"/>
      <c r="G165" s="1095"/>
      <c r="H165" s="3057"/>
      <c r="I165" s="3057"/>
      <c r="J165" s="3057"/>
      <c r="K165" s="3057"/>
      <c r="L165" s="3057"/>
      <c r="M165" s="387"/>
      <c r="N165" s="3058" t="str">
        <f>IF(COUNTIF($R$14:$R$38,M165),INDEX($S$14:$S$38,MATCH(M165,$R$14:$R196,0)),"")</f>
        <v/>
      </c>
      <c r="O165" s="3058"/>
      <c r="P165" s="3058"/>
      <c r="Q165" s="388"/>
      <c r="R165" s="390"/>
      <c r="S165" s="389"/>
      <c r="T165" s="169"/>
      <c r="U165" s="169"/>
      <c r="V165" s="169"/>
      <c r="W165" s="169"/>
    </row>
    <row r="166" spans="1:23" ht="12.75" hidden="1" customHeight="1">
      <c r="A166" s="384"/>
      <c r="B166" s="385"/>
      <c r="C166" s="3056"/>
      <c r="D166" s="3056"/>
      <c r="E166" s="395"/>
      <c r="F166" s="396"/>
      <c r="G166" s="1095"/>
      <c r="H166" s="3057"/>
      <c r="I166" s="3057"/>
      <c r="J166" s="3057"/>
      <c r="K166" s="3057"/>
      <c r="L166" s="3057"/>
      <c r="M166" s="387"/>
      <c r="N166" s="3058" t="str">
        <f>IF(COUNTIF($R$14:$R$38,M166),INDEX($S$14:$S$38,MATCH(M166,$R$14:$R197,0)),"")</f>
        <v/>
      </c>
      <c r="O166" s="3058"/>
      <c r="P166" s="3058"/>
      <c r="Q166" s="388"/>
      <c r="R166" s="390"/>
      <c r="S166" s="389"/>
      <c r="T166" s="169"/>
      <c r="U166" s="169"/>
      <c r="V166" s="169"/>
      <c r="W166" s="169"/>
    </row>
    <row r="167" spans="1:23" ht="12.75" hidden="1" customHeight="1">
      <c r="A167" s="384"/>
      <c r="B167" s="385"/>
      <c r="C167" s="3056"/>
      <c r="D167" s="3056"/>
      <c r="E167" s="395"/>
      <c r="F167" s="396"/>
      <c r="G167" s="1095"/>
      <c r="H167" s="3057"/>
      <c r="I167" s="3057"/>
      <c r="J167" s="3057"/>
      <c r="K167" s="3057"/>
      <c r="L167" s="3057"/>
      <c r="M167" s="387"/>
      <c r="N167" s="3058" t="str">
        <f>IF(COUNTIF($R$14:$R$38,M167),INDEX($S$14:$S$38,MATCH(M167,$R$14:$R198,0)),"")</f>
        <v/>
      </c>
      <c r="O167" s="3058"/>
      <c r="P167" s="3058"/>
      <c r="Q167" s="388"/>
      <c r="R167" s="390"/>
      <c r="S167" s="389"/>
      <c r="T167" s="169"/>
      <c r="U167" s="169"/>
      <c r="V167" s="169"/>
      <c r="W167" s="169"/>
    </row>
    <row r="168" spans="1:23" ht="12.75" hidden="1" customHeight="1">
      <c r="A168" s="384"/>
      <c r="B168" s="385"/>
      <c r="C168" s="3056"/>
      <c r="D168" s="3056"/>
      <c r="E168" s="395"/>
      <c r="F168" s="396"/>
      <c r="G168" s="1095"/>
      <c r="H168" s="3057"/>
      <c r="I168" s="3057"/>
      <c r="J168" s="3057"/>
      <c r="K168" s="3057"/>
      <c r="L168" s="3057"/>
      <c r="M168" s="387"/>
      <c r="N168" s="3058" t="str">
        <f>IF(COUNTIF($R$14:$R$38,M168),INDEX($S$14:$S$38,MATCH(M168,$R$14:$R199,0)),"")</f>
        <v/>
      </c>
      <c r="O168" s="3058"/>
      <c r="P168" s="3058"/>
      <c r="Q168" s="388"/>
      <c r="R168" s="390"/>
      <c r="S168" s="389"/>
      <c r="T168" s="169"/>
      <c r="U168" s="169"/>
      <c r="V168" s="169"/>
      <c r="W168" s="169"/>
    </row>
    <row r="169" spans="1:23" ht="12.75" hidden="1" customHeight="1">
      <c r="A169" s="384"/>
      <c r="B169" s="385"/>
      <c r="C169" s="3056"/>
      <c r="D169" s="3056"/>
      <c r="E169" s="395"/>
      <c r="F169" s="396"/>
      <c r="G169" s="1095"/>
      <c r="H169" s="3057"/>
      <c r="I169" s="3057"/>
      <c r="J169" s="3057"/>
      <c r="K169" s="3057"/>
      <c r="L169" s="3057"/>
      <c r="M169" s="387"/>
      <c r="N169" s="3058" t="str">
        <f>IF(COUNTIF($R$14:$R$38,M169),INDEX($S$14:$S$38,MATCH(M169,$R$14:$R200,0)),"")</f>
        <v/>
      </c>
      <c r="O169" s="3058"/>
      <c r="P169" s="3058"/>
      <c r="Q169" s="388"/>
      <c r="R169" s="390"/>
      <c r="S169" s="389"/>
      <c r="T169" s="169"/>
      <c r="U169" s="169"/>
      <c r="V169" s="169"/>
      <c r="W169" s="169"/>
    </row>
    <row r="170" spans="1:23" ht="12.75" hidden="1" customHeight="1">
      <c r="A170" s="384"/>
      <c r="B170" s="385"/>
      <c r="C170" s="3056"/>
      <c r="D170" s="3056"/>
      <c r="E170" s="395"/>
      <c r="F170" s="396"/>
      <c r="G170" s="1095"/>
      <c r="H170" s="3057"/>
      <c r="I170" s="3057"/>
      <c r="J170" s="3057"/>
      <c r="K170" s="3057"/>
      <c r="L170" s="3057"/>
      <c r="M170" s="387"/>
      <c r="N170" s="3058" t="str">
        <f>IF(COUNTIF($R$14:$R$38,M170),INDEX($S$14:$S$38,MATCH(M170,$R$14:$R201,0)),"")</f>
        <v/>
      </c>
      <c r="O170" s="3058"/>
      <c r="P170" s="3058"/>
      <c r="Q170" s="388"/>
      <c r="R170" s="390"/>
      <c r="S170" s="389"/>
      <c r="T170" s="169"/>
      <c r="U170" s="169"/>
      <c r="V170" s="169"/>
      <c r="W170" s="169"/>
    </row>
    <row r="171" spans="1:23" ht="12.75" hidden="1" customHeight="1">
      <c r="A171" s="384"/>
      <c r="B171" s="385"/>
      <c r="C171" s="3056"/>
      <c r="D171" s="3056"/>
      <c r="E171" s="395"/>
      <c r="F171" s="396"/>
      <c r="G171" s="1095"/>
      <c r="H171" s="3057"/>
      <c r="I171" s="3057"/>
      <c r="J171" s="3057"/>
      <c r="K171" s="3057"/>
      <c r="L171" s="3057"/>
      <c r="M171" s="387"/>
      <c r="N171" s="3058" t="str">
        <f>IF(COUNTIF($R$14:$R$38,M171),INDEX($S$14:$S$38,MATCH(M171,$R$14:$R202,0)),"")</f>
        <v/>
      </c>
      <c r="O171" s="3058"/>
      <c r="P171" s="3058"/>
      <c r="Q171" s="388"/>
      <c r="R171" s="390"/>
      <c r="S171" s="389"/>
      <c r="T171" s="169"/>
      <c r="U171" s="169"/>
      <c r="V171" s="169"/>
      <c r="W171" s="169"/>
    </row>
    <row r="172" spans="1:23" ht="12.75" hidden="1" customHeight="1">
      <c r="A172" s="384"/>
      <c r="B172" s="385"/>
      <c r="C172" s="3056"/>
      <c r="D172" s="3056"/>
      <c r="E172" s="395"/>
      <c r="F172" s="396"/>
      <c r="G172" s="1095"/>
      <c r="H172" s="3057"/>
      <c r="I172" s="3057"/>
      <c r="J172" s="3057"/>
      <c r="K172" s="3057"/>
      <c r="L172" s="3057"/>
      <c r="M172" s="387"/>
      <c r="N172" s="3058" t="str">
        <f>IF(COUNTIF($R$14:$R$38,M172),INDEX($S$14:$S$38,MATCH(M172,$R$14:$R203,0)),"")</f>
        <v/>
      </c>
      <c r="O172" s="3058"/>
      <c r="P172" s="3058"/>
      <c r="Q172" s="388"/>
      <c r="R172" s="390"/>
      <c r="S172" s="389"/>
      <c r="T172" s="169"/>
      <c r="U172" s="169"/>
      <c r="V172" s="169"/>
      <c r="W172" s="169"/>
    </row>
    <row r="173" spans="1:23" ht="12.75" hidden="1" customHeight="1">
      <c r="A173" s="384"/>
      <c r="B173" s="385"/>
      <c r="C173" s="3056"/>
      <c r="D173" s="3056"/>
      <c r="E173" s="395"/>
      <c r="F173" s="396"/>
      <c r="G173" s="1095"/>
      <c r="H173" s="3057"/>
      <c r="I173" s="3057"/>
      <c r="J173" s="3057"/>
      <c r="K173" s="3057"/>
      <c r="L173" s="3057"/>
      <c r="M173" s="387"/>
      <c r="N173" s="3058" t="str">
        <f>IF(COUNTIF($R$14:$R$38,M173),INDEX($S$14:$S$38,MATCH(M173,$R$14:$R204,0)),"")</f>
        <v/>
      </c>
      <c r="O173" s="3058"/>
      <c r="P173" s="3058"/>
      <c r="Q173" s="388"/>
      <c r="R173" s="390"/>
      <c r="S173" s="389"/>
      <c r="T173" s="169"/>
      <c r="U173" s="169"/>
      <c r="V173" s="169"/>
      <c r="W173" s="169"/>
    </row>
    <row r="174" spans="1:23" ht="12.75" hidden="1" customHeight="1">
      <c r="A174" s="384"/>
      <c r="B174" s="385"/>
      <c r="C174" s="3056"/>
      <c r="D174" s="3056"/>
      <c r="E174" s="395"/>
      <c r="F174" s="396"/>
      <c r="G174" s="1095"/>
      <c r="H174" s="3057"/>
      <c r="I174" s="3057"/>
      <c r="J174" s="3057"/>
      <c r="K174" s="3057"/>
      <c r="L174" s="3057"/>
      <c r="M174" s="387"/>
      <c r="N174" s="3058" t="str">
        <f>IF(COUNTIF($R$14:$R$38,M174),INDEX($S$14:$S$38,MATCH(M174,$R$14:$R205,0)),"")</f>
        <v/>
      </c>
      <c r="O174" s="3058"/>
      <c r="P174" s="3058"/>
      <c r="Q174" s="388"/>
      <c r="R174" s="390"/>
      <c r="S174" s="389"/>
      <c r="T174" s="169"/>
      <c r="U174" s="169"/>
      <c r="V174" s="169"/>
      <c r="W174" s="169"/>
    </row>
    <row r="175" spans="1:23" ht="12.75" hidden="1" customHeight="1">
      <c r="A175" s="384"/>
      <c r="B175" s="385"/>
      <c r="C175" s="3056"/>
      <c r="D175" s="3056"/>
      <c r="E175" s="395"/>
      <c r="F175" s="396"/>
      <c r="G175" s="1095"/>
      <c r="H175" s="3057"/>
      <c r="I175" s="3057"/>
      <c r="J175" s="3057"/>
      <c r="K175" s="3057"/>
      <c r="L175" s="3057"/>
      <c r="M175" s="387"/>
      <c r="N175" s="3058" t="str">
        <f>IF(COUNTIF($R$14:$R$38,M175),INDEX($S$14:$S$38,MATCH(M175,$R$14:$R206,0)),"")</f>
        <v/>
      </c>
      <c r="O175" s="3058"/>
      <c r="P175" s="3058"/>
      <c r="Q175" s="388"/>
      <c r="R175" s="390"/>
      <c r="S175" s="389"/>
      <c r="T175" s="169"/>
      <c r="U175" s="169"/>
      <c r="V175" s="169"/>
      <c r="W175" s="169"/>
    </row>
    <row r="176" spans="1:23" ht="12.75" hidden="1" customHeight="1">
      <c r="A176" s="384"/>
      <c r="B176" s="385"/>
      <c r="C176" s="3056"/>
      <c r="D176" s="3056"/>
      <c r="E176" s="395"/>
      <c r="F176" s="396"/>
      <c r="G176" s="1095"/>
      <c r="H176" s="3057"/>
      <c r="I176" s="3057"/>
      <c r="J176" s="3057"/>
      <c r="K176" s="3057"/>
      <c r="L176" s="3057"/>
      <c r="M176" s="387"/>
      <c r="N176" s="3058" t="str">
        <f>IF(COUNTIF($R$14:$R$38,M176),INDEX($S$14:$S$38,MATCH(M176,$R$14:$R207,0)),"")</f>
        <v/>
      </c>
      <c r="O176" s="3058"/>
      <c r="P176" s="3058"/>
      <c r="Q176" s="388"/>
      <c r="R176" s="390"/>
      <c r="S176" s="389"/>
      <c r="T176" s="169"/>
      <c r="U176" s="169"/>
      <c r="V176" s="169"/>
      <c r="W176" s="169"/>
    </row>
    <row r="177" spans="1:23" ht="12.75" hidden="1" customHeight="1">
      <c r="A177" s="384"/>
      <c r="B177" s="385"/>
      <c r="C177" s="3056"/>
      <c r="D177" s="3056"/>
      <c r="E177" s="395"/>
      <c r="F177" s="396"/>
      <c r="G177" s="1095"/>
      <c r="H177" s="3057"/>
      <c r="I177" s="3057"/>
      <c r="J177" s="3057"/>
      <c r="K177" s="3057"/>
      <c r="L177" s="3057"/>
      <c r="M177" s="387"/>
      <c r="N177" s="3058" t="str">
        <f>IF(COUNTIF($R$14:$R$38,M177),INDEX($S$14:$S$38,MATCH(M177,$R$14:$R208,0)),"")</f>
        <v/>
      </c>
      <c r="O177" s="3058"/>
      <c r="P177" s="3058"/>
      <c r="Q177" s="388"/>
      <c r="R177" s="390"/>
      <c r="S177" s="389"/>
      <c r="T177" s="169"/>
      <c r="U177" s="169"/>
      <c r="V177" s="169"/>
      <c r="W177" s="169"/>
    </row>
    <row r="178" spans="1:23" ht="12.75" hidden="1" customHeight="1">
      <c r="A178" s="384"/>
      <c r="B178" s="385"/>
      <c r="C178" s="3056"/>
      <c r="D178" s="3056"/>
      <c r="E178" s="395"/>
      <c r="F178" s="396"/>
      <c r="G178" s="1095"/>
      <c r="H178" s="3057"/>
      <c r="I178" s="3057"/>
      <c r="J178" s="3057"/>
      <c r="K178" s="3057"/>
      <c r="L178" s="3057"/>
      <c r="M178" s="387"/>
      <c r="N178" s="3058" t="str">
        <f>IF(COUNTIF($R$14:$R$38,M178),INDEX($S$14:$S$38,MATCH(M178,$R$14:$R209,0)),"")</f>
        <v/>
      </c>
      <c r="O178" s="3058"/>
      <c r="P178" s="3058"/>
      <c r="Q178" s="388"/>
      <c r="R178" s="390"/>
      <c r="S178" s="389"/>
      <c r="T178" s="169"/>
      <c r="U178" s="169"/>
      <c r="V178" s="169"/>
      <c r="W178" s="169"/>
    </row>
    <row r="179" spans="1:23" ht="12.75" hidden="1" customHeight="1">
      <c r="A179" s="384"/>
      <c r="B179" s="385"/>
      <c r="C179" s="3056"/>
      <c r="D179" s="3056"/>
      <c r="E179" s="395"/>
      <c r="F179" s="396"/>
      <c r="G179" s="1095"/>
      <c r="H179" s="3057"/>
      <c r="I179" s="3057"/>
      <c r="J179" s="3057"/>
      <c r="K179" s="3057"/>
      <c r="L179" s="3057"/>
      <c r="M179" s="387"/>
      <c r="N179" s="3058" t="str">
        <f>IF(COUNTIF($R$14:$R$38,M179),INDEX($S$14:$S$38,MATCH(M179,$R$14:$R210,0)),"")</f>
        <v/>
      </c>
      <c r="O179" s="3058"/>
      <c r="P179" s="3058"/>
      <c r="Q179" s="388"/>
      <c r="R179" s="390"/>
      <c r="S179" s="389"/>
      <c r="T179" s="169"/>
      <c r="U179" s="169"/>
      <c r="V179" s="169"/>
      <c r="W179" s="169"/>
    </row>
    <row r="180" spans="1:23" ht="12.75" hidden="1" customHeight="1">
      <c r="A180" s="384"/>
      <c r="B180" s="385"/>
      <c r="C180" s="3056"/>
      <c r="D180" s="3056"/>
      <c r="E180" s="395"/>
      <c r="F180" s="396"/>
      <c r="G180" s="1095"/>
      <c r="H180" s="3057"/>
      <c r="I180" s="3057"/>
      <c r="J180" s="3057"/>
      <c r="K180" s="3057"/>
      <c r="L180" s="3057"/>
      <c r="M180" s="387"/>
      <c r="N180" s="3058" t="str">
        <f>IF(COUNTIF($R$14:$R$38,M180),INDEX($S$14:$S$38,MATCH(M180,$R$14:$R211,0)),"")</f>
        <v/>
      </c>
      <c r="O180" s="3058"/>
      <c r="P180" s="3058"/>
      <c r="Q180" s="388"/>
      <c r="R180" s="390"/>
      <c r="S180" s="389"/>
      <c r="T180" s="169"/>
      <c r="U180" s="169"/>
      <c r="V180" s="169"/>
      <c r="W180" s="169"/>
    </row>
    <row r="181" spans="1:23" ht="12.75" hidden="1" customHeight="1">
      <c r="A181" s="384"/>
      <c r="B181" s="385"/>
      <c r="C181" s="3056"/>
      <c r="D181" s="3056"/>
      <c r="E181" s="395"/>
      <c r="F181" s="396"/>
      <c r="G181" s="1095"/>
      <c r="H181" s="3057"/>
      <c r="I181" s="3057"/>
      <c r="J181" s="3057"/>
      <c r="K181" s="3057"/>
      <c r="L181" s="3057"/>
      <c r="M181" s="387"/>
      <c r="N181" s="3058" t="str">
        <f>IF(COUNTIF($R$14:$R$38,M181),INDEX($S$14:$S$38,MATCH(M181,$R$14:$R212,0)),"")</f>
        <v/>
      </c>
      <c r="O181" s="3058"/>
      <c r="P181" s="3058"/>
      <c r="Q181" s="388"/>
      <c r="R181" s="390"/>
      <c r="S181" s="389"/>
      <c r="T181" s="169"/>
      <c r="U181" s="169"/>
      <c r="V181" s="169"/>
      <c r="W181" s="169"/>
    </row>
    <row r="182" spans="1:23" ht="12.75" hidden="1" customHeight="1">
      <c r="A182" s="384"/>
      <c r="B182" s="385"/>
      <c r="C182" s="3056"/>
      <c r="D182" s="3056"/>
      <c r="E182" s="395"/>
      <c r="F182" s="396"/>
      <c r="G182" s="1095"/>
      <c r="H182" s="3057"/>
      <c r="I182" s="3057"/>
      <c r="J182" s="3057"/>
      <c r="K182" s="3057"/>
      <c r="L182" s="3057"/>
      <c r="M182" s="387"/>
      <c r="N182" s="3058" t="str">
        <f>IF(COUNTIF($R$14:$R$38,M182),INDEX($S$14:$S$38,MATCH(M182,$R$14:$R213,0)),"")</f>
        <v/>
      </c>
      <c r="O182" s="3058"/>
      <c r="P182" s="3058"/>
      <c r="Q182" s="388"/>
      <c r="R182" s="390"/>
      <c r="S182" s="389"/>
      <c r="T182" s="169"/>
      <c r="U182" s="169"/>
      <c r="V182" s="169"/>
      <c r="W182" s="169"/>
    </row>
    <row r="183" spans="1:23" ht="12.75" hidden="1" customHeight="1">
      <c r="A183" s="384"/>
      <c r="B183" s="385"/>
      <c r="C183" s="3056"/>
      <c r="D183" s="3056"/>
      <c r="E183" s="395"/>
      <c r="F183" s="396"/>
      <c r="G183" s="1095"/>
      <c r="H183" s="3057"/>
      <c r="I183" s="3057"/>
      <c r="J183" s="3057"/>
      <c r="K183" s="3057"/>
      <c r="L183" s="3057"/>
      <c r="M183" s="387"/>
      <c r="N183" s="3058" t="str">
        <f>IF(COUNTIF($R$14:$R$38,M183),INDEX($S$14:$S$38,MATCH(M183,$R$14:$R214,0)),"")</f>
        <v/>
      </c>
      <c r="O183" s="3058"/>
      <c r="P183" s="3058"/>
      <c r="Q183" s="388"/>
      <c r="R183" s="390"/>
      <c r="S183" s="389"/>
      <c r="T183" s="169"/>
      <c r="U183" s="169"/>
      <c r="V183" s="169"/>
      <c r="W183" s="169"/>
    </row>
    <row r="184" spans="1:23" ht="12.75" hidden="1" customHeight="1">
      <c r="A184" s="384"/>
      <c r="B184" s="385"/>
      <c r="C184" s="3056"/>
      <c r="D184" s="3056"/>
      <c r="E184" s="395"/>
      <c r="F184" s="396"/>
      <c r="G184" s="1095"/>
      <c r="H184" s="3057"/>
      <c r="I184" s="3057"/>
      <c r="J184" s="3057"/>
      <c r="K184" s="3057"/>
      <c r="L184" s="3057"/>
      <c r="M184" s="387"/>
      <c r="N184" s="3058" t="str">
        <f>IF(COUNTIF($R$14:$R$38,M184),INDEX($S$14:$S$38,MATCH(M184,$R$14:$R215,0)),"")</f>
        <v/>
      </c>
      <c r="O184" s="3058"/>
      <c r="P184" s="3058"/>
      <c r="Q184" s="388"/>
      <c r="R184" s="390"/>
      <c r="S184" s="389"/>
      <c r="T184" s="169"/>
      <c r="U184" s="169"/>
      <c r="V184" s="169"/>
      <c r="W184" s="169"/>
    </row>
    <row r="185" spans="1:23" ht="12.75" hidden="1" customHeight="1">
      <c r="A185" s="384"/>
      <c r="B185" s="385"/>
      <c r="C185" s="3056"/>
      <c r="D185" s="3056"/>
      <c r="E185" s="395"/>
      <c r="F185" s="396"/>
      <c r="G185" s="1095"/>
      <c r="H185" s="3057"/>
      <c r="I185" s="3057"/>
      <c r="J185" s="3057"/>
      <c r="K185" s="3057"/>
      <c r="L185" s="3057"/>
      <c r="M185" s="387"/>
      <c r="N185" s="3058" t="str">
        <f>IF(COUNTIF($R$14:$R$38,M185),INDEX($S$14:$S$38,MATCH(M185,$R$14:$R216,0)),"")</f>
        <v/>
      </c>
      <c r="O185" s="3058"/>
      <c r="P185" s="3058"/>
      <c r="Q185" s="388"/>
      <c r="R185" s="390"/>
      <c r="S185" s="389"/>
      <c r="T185" s="169"/>
      <c r="U185" s="169"/>
      <c r="V185" s="169"/>
      <c r="W185" s="169"/>
    </row>
    <row r="186" spans="1:23" ht="12.75" hidden="1" customHeight="1">
      <c r="A186" s="384"/>
      <c r="B186" s="385"/>
      <c r="C186" s="3056"/>
      <c r="D186" s="3056"/>
      <c r="E186" s="395"/>
      <c r="F186" s="396"/>
      <c r="G186" s="1095"/>
      <c r="H186" s="3057"/>
      <c r="I186" s="3057"/>
      <c r="J186" s="3057"/>
      <c r="K186" s="3057"/>
      <c r="L186" s="3057"/>
      <c r="M186" s="387"/>
      <c r="N186" s="3058" t="str">
        <f>IF(COUNTIF($R$14:$R$38,M186),INDEX($S$14:$S$38,MATCH(M186,$R$14:$R217,0)),"")</f>
        <v/>
      </c>
      <c r="O186" s="3058"/>
      <c r="P186" s="3058"/>
      <c r="Q186" s="388"/>
      <c r="R186" s="390"/>
      <c r="S186" s="389"/>
      <c r="T186" s="169"/>
      <c r="U186" s="169"/>
      <c r="V186" s="169"/>
      <c r="W186" s="169"/>
    </row>
    <row r="187" spans="1:23" ht="12.75" hidden="1" customHeight="1">
      <c r="A187" s="384"/>
      <c r="B187" s="385"/>
      <c r="C187" s="3056"/>
      <c r="D187" s="3056"/>
      <c r="E187" s="395"/>
      <c r="F187" s="396"/>
      <c r="G187" s="1095"/>
      <c r="H187" s="3057"/>
      <c r="I187" s="3057"/>
      <c r="J187" s="3057"/>
      <c r="K187" s="3057"/>
      <c r="L187" s="3057"/>
      <c r="M187" s="387"/>
      <c r="N187" s="3058" t="str">
        <f>IF(COUNTIF($R$14:$R$38,M187),INDEX($S$14:$S$38,MATCH(M187,$R$14:$R218,0)),"")</f>
        <v/>
      </c>
      <c r="O187" s="3058"/>
      <c r="P187" s="3058"/>
      <c r="Q187" s="388"/>
      <c r="R187" s="390"/>
      <c r="S187" s="389"/>
      <c r="T187" s="169"/>
      <c r="U187" s="169"/>
      <c r="V187" s="169"/>
      <c r="W187" s="169"/>
    </row>
    <row r="188" spans="1:23" ht="12.75" hidden="1" customHeight="1">
      <c r="A188" s="384"/>
      <c r="B188" s="385"/>
      <c r="C188" s="3056"/>
      <c r="D188" s="3056"/>
      <c r="E188" s="395"/>
      <c r="F188" s="396"/>
      <c r="G188" s="1095"/>
      <c r="H188" s="3057"/>
      <c r="I188" s="3057"/>
      <c r="J188" s="3057"/>
      <c r="K188" s="3057"/>
      <c r="L188" s="3057"/>
      <c r="M188" s="387"/>
      <c r="N188" s="3058" t="str">
        <f>IF(COUNTIF($R$14:$R$38,M188),INDEX($S$14:$S$38,MATCH(M188,$R$14:$R219,0)),"")</f>
        <v/>
      </c>
      <c r="O188" s="3058"/>
      <c r="P188" s="3058"/>
      <c r="Q188" s="388"/>
      <c r="R188" s="390"/>
      <c r="S188" s="389"/>
      <c r="T188" s="169"/>
      <c r="U188" s="169"/>
      <c r="V188" s="169"/>
      <c r="W188" s="169"/>
    </row>
    <row r="189" spans="1:23" ht="12.75" hidden="1" customHeight="1">
      <c r="A189" s="384"/>
      <c r="B189" s="385"/>
      <c r="C189" s="3056"/>
      <c r="D189" s="3056"/>
      <c r="E189" s="395"/>
      <c r="F189" s="396"/>
      <c r="G189" s="1095"/>
      <c r="H189" s="3057"/>
      <c r="I189" s="3057"/>
      <c r="J189" s="3057"/>
      <c r="K189" s="3057"/>
      <c r="L189" s="3057"/>
      <c r="M189" s="387"/>
      <c r="N189" s="3058" t="str">
        <f>IF(COUNTIF($R$14:$R$38,M189),INDEX($S$14:$S$38,MATCH(M189,$R$14:$R220,0)),"")</f>
        <v/>
      </c>
      <c r="O189" s="3058"/>
      <c r="P189" s="3058"/>
      <c r="Q189" s="388"/>
      <c r="R189" s="390"/>
      <c r="S189" s="389"/>
      <c r="T189" s="169"/>
      <c r="U189" s="169"/>
      <c r="V189" s="169"/>
      <c r="W189" s="169"/>
    </row>
    <row r="190" spans="1:23" ht="12.75" hidden="1" customHeight="1">
      <c r="A190" s="384"/>
      <c r="B190" s="385"/>
      <c r="C190" s="3056"/>
      <c r="D190" s="3056"/>
      <c r="E190" s="395"/>
      <c r="F190" s="396"/>
      <c r="G190" s="1095"/>
      <c r="H190" s="3057"/>
      <c r="I190" s="3057"/>
      <c r="J190" s="3057"/>
      <c r="K190" s="3057"/>
      <c r="L190" s="3057"/>
      <c r="M190" s="387"/>
      <c r="N190" s="3058" t="str">
        <f>IF(COUNTIF($R$14:$R$38,M190),INDEX($S$14:$S$38,MATCH(M190,$R$14:$R221,0)),"")</f>
        <v/>
      </c>
      <c r="O190" s="3058"/>
      <c r="P190" s="3058"/>
      <c r="Q190" s="388"/>
      <c r="R190" s="390"/>
      <c r="S190" s="389"/>
      <c r="T190" s="169"/>
      <c r="U190" s="169"/>
      <c r="V190" s="169"/>
      <c r="W190" s="169"/>
    </row>
    <row r="191" spans="1:23" ht="12.75" hidden="1" customHeight="1">
      <c r="A191" s="384"/>
      <c r="B191" s="385"/>
      <c r="C191" s="3056"/>
      <c r="D191" s="3056"/>
      <c r="E191" s="395"/>
      <c r="F191" s="396"/>
      <c r="G191" s="1095"/>
      <c r="H191" s="3057"/>
      <c r="I191" s="3057"/>
      <c r="J191" s="3057"/>
      <c r="K191" s="3057"/>
      <c r="L191" s="3057"/>
      <c r="M191" s="387"/>
      <c r="N191" s="3058" t="str">
        <f>IF(COUNTIF($R$14:$R$38,M191),INDEX($S$14:$S$38,MATCH(M191,$R$14:$R222,0)),"")</f>
        <v/>
      </c>
      <c r="O191" s="3058"/>
      <c r="P191" s="3058"/>
      <c r="Q191" s="388"/>
      <c r="R191" s="390"/>
      <c r="S191" s="389"/>
      <c r="T191" s="169"/>
      <c r="U191" s="169"/>
      <c r="V191" s="169"/>
      <c r="W191" s="169"/>
    </row>
    <row r="192" spans="1:23" ht="12.75" hidden="1" customHeight="1">
      <c r="A192" s="384"/>
      <c r="B192" s="385"/>
      <c r="C192" s="3056"/>
      <c r="D192" s="3056"/>
      <c r="E192" s="395"/>
      <c r="F192" s="396"/>
      <c r="G192" s="1095"/>
      <c r="H192" s="3057"/>
      <c r="I192" s="3057"/>
      <c r="J192" s="3057"/>
      <c r="K192" s="3057"/>
      <c r="L192" s="3057"/>
      <c r="M192" s="387"/>
      <c r="N192" s="3058" t="str">
        <f>IF(COUNTIF($R$14:$R$38,M192),INDEX($S$14:$S$38,MATCH(M192,$R$14:$R223,0)),"")</f>
        <v/>
      </c>
      <c r="O192" s="3058"/>
      <c r="P192" s="3058"/>
      <c r="Q192" s="388"/>
      <c r="R192" s="390"/>
      <c r="S192" s="389"/>
      <c r="T192" s="169"/>
      <c r="U192" s="169"/>
      <c r="V192" s="169"/>
      <c r="W192" s="169"/>
    </row>
    <row r="193" spans="1:23" ht="12.75" hidden="1" customHeight="1">
      <c r="A193" s="384"/>
      <c r="B193" s="385"/>
      <c r="C193" s="3056"/>
      <c r="D193" s="3056"/>
      <c r="E193" s="395"/>
      <c r="F193" s="396"/>
      <c r="G193" s="1095"/>
      <c r="H193" s="3057"/>
      <c r="I193" s="3057"/>
      <c r="J193" s="3057"/>
      <c r="K193" s="3057"/>
      <c r="L193" s="3057"/>
      <c r="M193" s="387"/>
      <c r="N193" s="3058" t="str">
        <f>IF(COUNTIF($R$14:$R$38,M193),INDEX($S$14:$S$38,MATCH(M193,$R$14:$R224,0)),"")</f>
        <v/>
      </c>
      <c r="O193" s="3058"/>
      <c r="P193" s="3058"/>
      <c r="Q193" s="388"/>
      <c r="R193" s="390"/>
      <c r="S193" s="389"/>
      <c r="T193" s="169"/>
      <c r="U193" s="169"/>
      <c r="V193" s="169"/>
      <c r="W193" s="169"/>
    </row>
    <row r="194" spans="1:23" ht="12.75" hidden="1" customHeight="1">
      <c r="A194" s="384"/>
      <c r="B194" s="385"/>
      <c r="C194" s="3056"/>
      <c r="D194" s="3056"/>
      <c r="E194" s="395"/>
      <c r="F194" s="396"/>
      <c r="G194" s="1095"/>
      <c r="H194" s="3057"/>
      <c r="I194" s="3057"/>
      <c r="J194" s="3057"/>
      <c r="K194" s="3057"/>
      <c r="L194" s="3057"/>
      <c r="M194" s="387"/>
      <c r="N194" s="3058" t="str">
        <f>IF(COUNTIF($R$14:$R$38,M194),INDEX($S$14:$S$38,MATCH(M194,$R$14:$R225,0)),"")</f>
        <v/>
      </c>
      <c r="O194" s="3058"/>
      <c r="P194" s="3058"/>
      <c r="Q194" s="388"/>
      <c r="R194" s="390"/>
      <c r="S194" s="389"/>
      <c r="T194" s="169"/>
      <c r="U194" s="169"/>
      <c r="V194" s="169"/>
      <c r="W194" s="169"/>
    </row>
    <row r="195" spans="1:23" ht="12.75" hidden="1" customHeight="1">
      <c r="A195" s="384"/>
      <c r="B195" s="385"/>
      <c r="C195" s="3056"/>
      <c r="D195" s="3056"/>
      <c r="E195" s="395"/>
      <c r="F195" s="396"/>
      <c r="G195" s="1095"/>
      <c r="H195" s="3057"/>
      <c r="I195" s="3057"/>
      <c r="J195" s="3057"/>
      <c r="K195" s="3057"/>
      <c r="L195" s="3057"/>
      <c r="M195" s="387"/>
      <c r="N195" s="3058" t="str">
        <f>IF(COUNTIF($R$14:$R$38,M195),INDEX($S$14:$S$38,MATCH(M195,$R$14:$R226,0)),"")</f>
        <v/>
      </c>
      <c r="O195" s="3058"/>
      <c r="P195" s="3058"/>
      <c r="Q195" s="388"/>
      <c r="R195" s="390"/>
      <c r="S195" s="389"/>
      <c r="T195" s="169"/>
      <c r="U195" s="169"/>
      <c r="V195" s="169"/>
      <c r="W195" s="169"/>
    </row>
    <row r="196" spans="1:23" ht="12.75" hidden="1" customHeight="1">
      <c r="A196" s="384"/>
      <c r="B196" s="385"/>
      <c r="C196" s="3056"/>
      <c r="D196" s="3056"/>
      <c r="E196" s="395"/>
      <c r="F196" s="396"/>
      <c r="G196" s="1095"/>
      <c r="H196" s="3057"/>
      <c r="I196" s="3057"/>
      <c r="J196" s="3057"/>
      <c r="K196" s="3057"/>
      <c r="L196" s="3057"/>
      <c r="M196" s="387"/>
      <c r="N196" s="3058" t="str">
        <f>IF(COUNTIF($R$14:$R$38,M196),INDEX($S$14:$S$38,MATCH(M196,$R$14:$R227,0)),"")</f>
        <v/>
      </c>
      <c r="O196" s="3058"/>
      <c r="P196" s="3058"/>
      <c r="Q196" s="388"/>
      <c r="R196" s="169"/>
      <c r="S196" s="169"/>
      <c r="T196" s="169"/>
      <c r="U196" s="169"/>
      <c r="V196" s="169"/>
      <c r="W196" s="169"/>
    </row>
    <row r="197" spans="1:23" ht="12.75" hidden="1" customHeight="1">
      <c r="A197" s="384"/>
      <c r="B197" s="385"/>
      <c r="C197" s="3056"/>
      <c r="D197" s="3056"/>
      <c r="E197" s="395"/>
      <c r="F197" s="396"/>
      <c r="G197" s="1095"/>
      <c r="H197" s="3057"/>
      <c r="I197" s="3057"/>
      <c r="J197" s="3057"/>
      <c r="K197" s="3057"/>
      <c r="L197" s="3057"/>
      <c r="M197" s="387"/>
      <c r="N197" s="3058" t="str">
        <f>IF(COUNTIF($R$14:$R$38,M197),INDEX($S$14:$S$38,MATCH(M197,$R$14:$R228,0)),"")</f>
        <v/>
      </c>
      <c r="O197" s="3058"/>
      <c r="P197" s="3058"/>
      <c r="Q197" s="388"/>
      <c r="R197" s="169"/>
      <c r="S197" s="169"/>
      <c r="T197" s="169"/>
      <c r="U197" s="169"/>
      <c r="V197" s="169"/>
      <c r="W197" s="169"/>
    </row>
    <row r="198" spans="1:23" ht="12.75" hidden="1" customHeight="1">
      <c r="A198" s="384"/>
      <c r="B198" s="385"/>
      <c r="C198" s="3056"/>
      <c r="D198" s="3056"/>
      <c r="E198" s="395"/>
      <c r="F198" s="396"/>
      <c r="G198" s="1095"/>
      <c r="H198" s="3057"/>
      <c r="I198" s="3057"/>
      <c r="J198" s="3057"/>
      <c r="K198" s="3057"/>
      <c r="L198" s="3057"/>
      <c r="M198" s="387"/>
      <c r="N198" s="3058" t="str">
        <f>IF(COUNTIF($R$14:$R$38,M198),INDEX($S$14:$S$38,MATCH(M198,$R$14:$R229,0)),"")</f>
        <v/>
      </c>
      <c r="O198" s="3058"/>
      <c r="P198" s="3058"/>
      <c r="Q198" s="388"/>
      <c r="R198" s="169"/>
      <c r="S198" s="169"/>
      <c r="T198" s="169"/>
      <c r="U198" s="169"/>
      <c r="V198" s="169"/>
      <c r="W198" s="169"/>
    </row>
    <row r="199" spans="1:23" ht="12.75" hidden="1" customHeight="1">
      <c r="A199" s="384"/>
      <c r="B199" s="385"/>
      <c r="C199" s="3056"/>
      <c r="D199" s="3056"/>
      <c r="E199" s="395"/>
      <c r="F199" s="396"/>
      <c r="G199" s="1095"/>
      <c r="H199" s="3057"/>
      <c r="I199" s="3057"/>
      <c r="J199" s="3057"/>
      <c r="K199" s="3057"/>
      <c r="L199" s="3057"/>
      <c r="M199" s="387"/>
      <c r="N199" s="3058" t="str">
        <f>IF(COUNTIF($R$14:$R$38,M199),INDEX($S$14:$S$38,MATCH(M199,$R$14:$R230,0)),"")</f>
        <v/>
      </c>
      <c r="O199" s="3058"/>
      <c r="P199" s="3058"/>
      <c r="Q199" s="388"/>
      <c r="R199" s="169"/>
      <c r="S199" s="169"/>
      <c r="T199" s="169"/>
      <c r="U199" s="169"/>
      <c r="V199" s="169"/>
      <c r="W199" s="169"/>
    </row>
    <row r="200" spans="1:23" ht="12.75" hidden="1" customHeight="1">
      <c r="A200" s="384"/>
      <c r="B200" s="385"/>
      <c r="C200" s="3056"/>
      <c r="D200" s="3056"/>
      <c r="E200" s="395"/>
      <c r="F200" s="396"/>
      <c r="G200" s="1095"/>
      <c r="H200" s="3057"/>
      <c r="I200" s="3057"/>
      <c r="J200" s="3057"/>
      <c r="K200" s="3057"/>
      <c r="L200" s="3057"/>
      <c r="M200" s="387"/>
      <c r="N200" s="3058" t="str">
        <f>IF(COUNTIF($R$14:$R$38,M200),INDEX($S$14:$S$38,MATCH(M200,$R$14:$R231,0)),"")</f>
        <v/>
      </c>
      <c r="O200" s="3058"/>
      <c r="P200" s="3058"/>
      <c r="Q200" s="388"/>
      <c r="R200" s="169"/>
      <c r="S200" s="169"/>
      <c r="T200" s="169"/>
      <c r="U200" s="169"/>
      <c r="V200" s="169"/>
      <c r="W200" s="169"/>
    </row>
    <row r="201" spans="1:23" ht="12.75" hidden="1" customHeight="1">
      <c r="A201" s="384"/>
      <c r="B201" s="385"/>
      <c r="C201" s="3056"/>
      <c r="D201" s="3056"/>
      <c r="E201" s="395"/>
      <c r="F201" s="396"/>
      <c r="G201" s="1095"/>
      <c r="H201" s="3057"/>
      <c r="I201" s="3057"/>
      <c r="J201" s="3057"/>
      <c r="K201" s="3057"/>
      <c r="L201" s="3057"/>
      <c r="M201" s="387"/>
      <c r="N201" s="3058" t="str">
        <f>IF(COUNTIF($R$14:$R$38,M201),INDEX($S$14:$S$38,MATCH(M201,$R$14:$R232,0)),"")</f>
        <v/>
      </c>
      <c r="O201" s="3058"/>
      <c r="P201" s="3058"/>
      <c r="Q201" s="388"/>
      <c r="R201" s="169"/>
      <c r="S201" s="169"/>
      <c r="T201" s="169"/>
      <c r="U201" s="169"/>
      <c r="V201" s="169"/>
      <c r="W201" s="169"/>
    </row>
    <row r="202" spans="1:23" ht="12.75" hidden="1" customHeight="1">
      <c r="A202" s="384"/>
      <c r="B202" s="385"/>
      <c r="C202" s="3056"/>
      <c r="D202" s="3056"/>
      <c r="E202" s="395"/>
      <c r="F202" s="396"/>
      <c r="G202" s="1095"/>
      <c r="H202" s="3057"/>
      <c r="I202" s="3057"/>
      <c r="J202" s="3057"/>
      <c r="K202" s="3057"/>
      <c r="L202" s="3057"/>
      <c r="M202" s="387"/>
      <c r="N202" s="3058" t="str">
        <f>IF(COUNTIF($R$14:$R$38,M202),INDEX($S$14:$S$38,MATCH(M202,$R$14:$R233,0)),"")</f>
        <v/>
      </c>
      <c r="O202" s="3058"/>
      <c r="P202" s="3058"/>
      <c r="Q202" s="388"/>
      <c r="R202" s="169"/>
      <c r="S202" s="169"/>
      <c r="T202" s="169"/>
      <c r="U202" s="169"/>
      <c r="V202" s="169"/>
      <c r="W202" s="169"/>
    </row>
    <row r="203" spans="1:23" ht="12.75" hidden="1" customHeight="1">
      <c r="A203" s="384"/>
      <c r="B203" s="385"/>
      <c r="C203" s="3056"/>
      <c r="D203" s="3056"/>
      <c r="E203" s="395"/>
      <c r="F203" s="396"/>
      <c r="G203" s="1095"/>
      <c r="H203" s="3057"/>
      <c r="I203" s="3057"/>
      <c r="J203" s="3057"/>
      <c r="K203" s="3057"/>
      <c r="L203" s="3057"/>
      <c r="M203" s="387"/>
      <c r="N203" s="3058" t="str">
        <f>IF(COUNTIF($R$14:$R$38,M203),INDEX($S$14:$S$38,MATCH(M203,$R$14:$R234,0)),"")</f>
        <v/>
      </c>
      <c r="O203" s="3058"/>
      <c r="P203" s="3058"/>
      <c r="Q203" s="388"/>
      <c r="R203" s="169"/>
      <c r="S203" s="169"/>
      <c r="T203" s="169"/>
      <c r="U203" s="169"/>
      <c r="V203" s="169"/>
      <c r="W203" s="169"/>
    </row>
    <row r="204" spans="1:23" ht="12.75" hidden="1" customHeight="1">
      <c r="A204" s="384"/>
      <c r="B204" s="385"/>
      <c r="C204" s="3056"/>
      <c r="D204" s="3056"/>
      <c r="E204" s="395"/>
      <c r="F204" s="396"/>
      <c r="G204" s="1095"/>
      <c r="H204" s="3057"/>
      <c r="I204" s="3057"/>
      <c r="J204" s="3057"/>
      <c r="K204" s="3057"/>
      <c r="L204" s="3057"/>
      <c r="M204" s="387"/>
      <c r="N204" s="3058" t="str">
        <f>IF(COUNTIF($R$14:$R$38,M204),INDEX($S$14:$S$38,MATCH(M204,$R$14:$R235,0)),"")</f>
        <v/>
      </c>
      <c r="O204" s="3058"/>
      <c r="P204" s="3058"/>
      <c r="Q204" s="388"/>
      <c r="R204" s="169"/>
      <c r="S204" s="169"/>
      <c r="T204" s="169"/>
      <c r="U204" s="169"/>
      <c r="V204" s="169"/>
      <c r="W204" s="169"/>
    </row>
    <row r="205" spans="1:23" ht="12.75" hidden="1" customHeight="1">
      <c r="A205" s="384"/>
      <c r="B205" s="385"/>
      <c r="C205" s="3056"/>
      <c r="D205" s="3056"/>
      <c r="E205" s="395"/>
      <c r="F205" s="396"/>
      <c r="G205" s="1095"/>
      <c r="H205" s="3057"/>
      <c r="I205" s="3057"/>
      <c r="J205" s="3057"/>
      <c r="K205" s="3057"/>
      <c r="L205" s="3057"/>
      <c r="M205" s="387"/>
      <c r="N205" s="3058" t="str">
        <f>IF(COUNTIF($R$14:$R$38,M205),INDEX($S$14:$S$38,MATCH(M205,$R$14:$R236,0)),"")</f>
        <v/>
      </c>
      <c r="O205" s="3058"/>
      <c r="P205" s="3058"/>
      <c r="Q205" s="398"/>
      <c r="R205" s="169"/>
      <c r="S205" s="169"/>
      <c r="T205" s="169"/>
      <c r="U205" s="169"/>
      <c r="V205" s="169"/>
      <c r="W205" s="169"/>
    </row>
    <row r="206" spans="1:23" ht="16.5" customHeight="1">
      <c r="A206" s="3043" t="s">
        <v>574</v>
      </c>
      <c r="B206" s="3043"/>
      <c r="C206" s="399">
        <v>1</v>
      </c>
      <c r="D206" s="3060" t="str">
        <f t="shared" ref="D206:D211" si="0">IF(ISERROR(VLOOKUP(C206,$R$14:$S$38,2,FALSE)),"",VLOOKUP(C206,$R$14:$S$38,2,FALSE)&amp;"： "&amp;DOLLAR(SUMIF($M$6:$M$205,C206,$G$6:$G$205),2)&amp;"元。")</f>
        <v>未取得合法有效票据的支出： ¥0.00元。</v>
      </c>
      <c r="E206" s="3060"/>
      <c r="F206" s="3060"/>
      <c r="G206" s="3060"/>
      <c r="H206" s="3060"/>
      <c r="I206" s="3060"/>
      <c r="J206" s="399">
        <v>7</v>
      </c>
      <c r="K206" s="3061" t="str">
        <f t="shared" ref="K206:K211" si="1">IF(ISERROR(VLOOKUP(J206,$R$14:$S$38,2,FALSE)),"",VLOOKUP(J206,$R$14:$S$38,2,FALSE)&amp;"： "&amp;DOLLAR(SUMIF($M$6:$M$205,J206,$G$6:$G$205),2)&amp;"元。")</f>
        <v>不属于应付福利费开支范围的支出： ¥0.00元。</v>
      </c>
      <c r="L206" s="3061"/>
      <c r="M206" s="3061"/>
      <c r="N206" s="3061"/>
      <c r="O206" s="3061"/>
      <c r="P206" s="3061"/>
      <c r="Q206" s="3061"/>
      <c r="R206" s="3062" t="s">
        <v>456</v>
      </c>
      <c r="S206" s="3062"/>
      <c r="T206" s="3062"/>
      <c r="U206" s="3062"/>
      <c r="V206" s="3062"/>
      <c r="W206" s="3062"/>
    </row>
    <row r="207" spans="1:23" ht="16.5" customHeight="1">
      <c r="A207" s="3043"/>
      <c r="B207" s="3043"/>
      <c r="C207" s="400">
        <v>2</v>
      </c>
      <c r="D207" s="3063" t="str">
        <f t="shared" si="0"/>
        <v>跨期扣除项目： ¥0.00元。</v>
      </c>
      <c r="E207" s="3063"/>
      <c r="F207" s="3063"/>
      <c r="G207" s="3063"/>
      <c r="H207" s="3063"/>
      <c r="I207" s="3063"/>
      <c r="J207" s="400">
        <v>8</v>
      </c>
      <c r="K207" s="3064" t="str">
        <f t="shared" si="1"/>
        <v>税收滞纳金： ¥0.00元。</v>
      </c>
      <c r="L207" s="3064"/>
      <c r="M207" s="3064"/>
      <c r="N207" s="3064"/>
      <c r="O207" s="3064"/>
      <c r="P207" s="3064"/>
      <c r="Q207" s="3064"/>
      <c r="R207" s="2705" t="s">
        <v>575</v>
      </c>
      <c r="S207" s="2705"/>
      <c r="T207" s="2705"/>
      <c r="U207" s="2705"/>
      <c r="V207" s="2705"/>
      <c r="W207" s="2705"/>
    </row>
    <row r="208" spans="1:23" ht="16.5" customHeight="1">
      <c r="A208" s="3043"/>
      <c r="B208" s="3043"/>
      <c r="C208" s="400">
        <v>3</v>
      </c>
      <c r="D208" s="3063" t="str">
        <f t="shared" si="0"/>
        <v>与取得收入无关的支出： ¥0.00元。</v>
      </c>
      <c r="E208" s="3063"/>
      <c r="F208" s="3063"/>
      <c r="G208" s="3063"/>
      <c r="H208" s="3063"/>
      <c r="I208" s="3063"/>
      <c r="J208" s="400">
        <v>9</v>
      </c>
      <c r="K208" s="3064" t="str">
        <f t="shared" si="1"/>
        <v>大额购物未附清单： ¥0.00元。</v>
      </c>
      <c r="L208" s="3064"/>
      <c r="M208" s="3064"/>
      <c r="N208" s="3064"/>
      <c r="O208" s="3064"/>
      <c r="P208" s="3064"/>
      <c r="Q208" s="3064"/>
      <c r="R208" s="3062" t="s">
        <v>576</v>
      </c>
      <c r="S208" s="3062"/>
      <c r="T208" s="3062"/>
      <c r="U208" s="3062"/>
      <c r="V208" s="3062"/>
      <c r="W208" s="3062"/>
    </row>
    <row r="209" spans="1:23" ht="16.5" customHeight="1">
      <c r="A209" s="3043"/>
      <c r="B209" s="3043"/>
      <c r="C209" s="400">
        <v>4</v>
      </c>
      <c r="D209" s="3063" t="str">
        <f t="shared" si="0"/>
        <v>非本公司费用： ¥0.00元。</v>
      </c>
      <c r="E209" s="3063"/>
      <c r="F209" s="3063"/>
      <c r="G209" s="3063"/>
      <c r="H209" s="3063"/>
      <c r="I209" s="3063"/>
      <c r="J209" s="400">
        <v>10</v>
      </c>
      <c r="K209" s="3064" t="str">
        <f t="shared" si="1"/>
        <v>罚金、违法经营罚款和被没收财物损失： ¥0.00元。</v>
      </c>
      <c r="L209" s="3064"/>
      <c r="M209" s="3064"/>
      <c r="N209" s="3064"/>
      <c r="O209" s="3064"/>
      <c r="P209" s="3064"/>
      <c r="Q209" s="3064"/>
      <c r="R209" s="3068" t="s">
        <v>577</v>
      </c>
      <c r="S209" s="3068"/>
      <c r="T209" s="3068"/>
      <c r="U209" s="3068"/>
      <c r="V209" s="3068"/>
      <c r="W209" s="3068"/>
    </row>
    <row r="210" spans="1:23" ht="16.5" customHeight="1">
      <c r="A210" s="3043"/>
      <c r="B210" s="3043"/>
      <c r="C210" s="400">
        <v>5</v>
      </c>
      <c r="D210" s="3063" t="str">
        <f t="shared" si="0"/>
        <v>应并入业务招待费的费用： ¥0.00元。</v>
      </c>
      <c r="E210" s="3063"/>
      <c r="F210" s="3063"/>
      <c r="G210" s="3063"/>
      <c r="H210" s="3063"/>
      <c r="I210" s="3063"/>
      <c r="J210" s="400">
        <v>11</v>
      </c>
      <c r="K210" s="3064" t="str">
        <f t="shared" si="1"/>
        <v>不允许直接在损益中列支的当年福利费： ¥0.00元。</v>
      </c>
      <c r="L210" s="3064"/>
      <c r="M210" s="3064"/>
      <c r="N210" s="3064"/>
      <c r="O210" s="3064"/>
      <c r="P210" s="3064"/>
      <c r="Q210" s="3064"/>
      <c r="R210" s="3068" t="s">
        <v>578</v>
      </c>
      <c r="S210" s="3068"/>
      <c r="T210" s="3068"/>
      <c r="U210" s="3068"/>
      <c r="V210" s="3068"/>
      <c r="W210" s="3068"/>
    </row>
    <row r="211" spans="1:23" ht="16.5" customHeight="1">
      <c r="A211" s="3043"/>
      <c r="B211" s="3043"/>
      <c r="C211" s="402">
        <v>6</v>
      </c>
      <c r="D211" s="3066" t="str">
        <f t="shared" si="0"/>
        <v>产权不属于公司的汽车费用： ¥0.00元。</v>
      </c>
      <c r="E211" s="3066"/>
      <c r="F211" s="3066"/>
      <c r="G211" s="3066"/>
      <c r="H211" s="3066"/>
      <c r="I211" s="3066"/>
      <c r="J211" s="402">
        <v>12</v>
      </c>
      <c r="K211" s="3067" t="str">
        <f t="shared" si="1"/>
        <v>跨期费用： ¥0.00元。</v>
      </c>
      <c r="L211" s="3067"/>
      <c r="M211" s="3067"/>
      <c r="N211" s="3067"/>
      <c r="O211" s="3067"/>
      <c r="P211" s="3067"/>
      <c r="Q211" s="3067"/>
      <c r="R211" s="2705" t="s">
        <v>579</v>
      </c>
      <c r="S211" s="2705"/>
      <c r="T211" s="2705"/>
      <c r="U211" s="2705"/>
      <c r="V211" s="2705"/>
      <c r="W211" s="2705"/>
    </row>
    <row r="212" spans="1:23">
      <c r="A212" s="403"/>
      <c r="Q212" s="404"/>
      <c r="R212" s="3065" t="s">
        <v>580</v>
      </c>
      <c r="S212" s="3065"/>
      <c r="T212" s="3065"/>
      <c r="U212" s="3065"/>
      <c r="V212" s="3065"/>
      <c r="W212" s="3065"/>
    </row>
    <row r="213" spans="1:23">
      <c r="A213" s="403" t="s">
        <v>581</v>
      </c>
      <c r="Q213" s="405"/>
      <c r="R213" s="3065" t="s">
        <v>582</v>
      </c>
      <c r="S213" s="3065"/>
      <c r="T213" s="3065"/>
      <c r="U213" s="3065"/>
      <c r="V213" s="3065"/>
      <c r="W213" s="3065"/>
    </row>
    <row r="214" spans="1:23">
      <c r="Q214" s="405"/>
      <c r="R214" s="3065" t="s">
        <v>583</v>
      </c>
      <c r="S214" s="3065"/>
      <c r="T214" s="3065"/>
      <c r="U214" s="3065"/>
      <c r="V214" s="3065"/>
      <c r="W214" s="3065"/>
    </row>
    <row r="215" spans="1:23">
      <c r="Q215" s="405"/>
      <c r="R215" s="3065" t="s">
        <v>584</v>
      </c>
      <c r="S215" s="3065"/>
      <c r="T215" s="3065"/>
      <c r="U215" s="3065"/>
      <c r="V215" s="3065"/>
      <c r="W215" s="3065"/>
    </row>
    <row r="216" spans="1:23">
      <c r="Q216" s="405"/>
      <c r="R216" s="3065" t="s">
        <v>585</v>
      </c>
      <c r="S216" s="3065"/>
      <c r="T216" s="3065"/>
      <c r="U216" s="3065"/>
      <c r="V216" s="3065"/>
      <c r="W216" s="3065"/>
    </row>
    <row r="217" spans="1:23">
      <c r="Q217" s="405"/>
      <c r="R217" s="3065" t="s">
        <v>586</v>
      </c>
      <c r="S217" s="3065"/>
      <c r="T217" s="3065"/>
      <c r="U217" s="3065"/>
      <c r="V217" s="3065"/>
      <c r="W217" s="3065"/>
    </row>
    <row r="218" spans="1:23">
      <c r="Q218" s="405"/>
      <c r="R218" s="3065" t="s">
        <v>587</v>
      </c>
      <c r="S218" s="3065"/>
      <c r="T218" s="3065"/>
      <c r="U218" s="3065"/>
      <c r="V218" s="3065"/>
      <c r="W218" s="3065"/>
    </row>
    <row r="219" spans="1:23">
      <c r="Q219" s="405"/>
      <c r="R219" s="3065" t="s">
        <v>588</v>
      </c>
      <c r="S219" s="3065"/>
      <c r="T219" s="3065"/>
      <c r="U219" s="3065"/>
      <c r="V219" s="3065"/>
      <c r="W219" s="3065"/>
    </row>
    <row r="220" spans="1:23">
      <c r="R220" s="3065" t="s">
        <v>589</v>
      </c>
      <c r="S220" s="3065"/>
      <c r="T220" s="3065"/>
      <c r="U220" s="3065"/>
      <c r="V220" s="3065"/>
      <c r="W220" s="3065"/>
    </row>
    <row r="221" spans="1:23">
      <c r="R221" s="3065" t="s">
        <v>590</v>
      </c>
      <c r="S221" s="3065"/>
      <c r="T221" s="3065"/>
      <c r="U221" s="3065"/>
      <c r="V221" s="3065"/>
      <c r="W221" s="3065"/>
    </row>
    <row r="222" spans="1:23">
      <c r="R222" s="3065" t="s">
        <v>591</v>
      </c>
      <c r="S222" s="3065"/>
      <c r="T222" s="3065"/>
      <c r="U222" s="3065"/>
      <c r="V222" s="3065"/>
      <c r="W222" s="3065"/>
    </row>
    <row r="223" spans="1:23" ht="14.25" customHeight="1">
      <c r="R223" s="3070" t="s">
        <v>592</v>
      </c>
      <c r="S223" s="3070"/>
      <c r="T223" s="3070"/>
      <c r="U223" s="3070"/>
      <c r="V223" s="3070"/>
      <c r="W223" s="3070"/>
    </row>
    <row r="224" spans="1:23">
      <c r="R224" s="3070"/>
      <c r="S224" s="3070"/>
      <c r="T224" s="3070"/>
      <c r="U224" s="3070"/>
      <c r="V224" s="3070"/>
      <c r="W224" s="3070"/>
    </row>
    <row r="225" spans="18:23">
      <c r="R225" s="3070"/>
      <c r="S225" s="3070"/>
      <c r="T225" s="3070"/>
      <c r="U225" s="3070"/>
      <c r="V225" s="3070"/>
      <c r="W225" s="3070"/>
    </row>
    <row r="226" spans="18:23">
      <c r="R226" s="3070"/>
      <c r="S226" s="3070"/>
      <c r="T226" s="3070"/>
      <c r="U226" s="3070"/>
      <c r="V226" s="3070"/>
      <c r="W226" s="3070"/>
    </row>
    <row r="227" spans="18:23">
      <c r="R227" s="3070"/>
      <c r="S227" s="3070"/>
      <c r="T227" s="3070"/>
      <c r="U227" s="3070"/>
      <c r="V227" s="3070"/>
      <c r="W227" s="3070"/>
    </row>
    <row r="228" spans="18:23">
      <c r="R228" s="406"/>
      <c r="S228" s="406"/>
      <c r="T228" s="406"/>
      <c r="U228" s="406"/>
      <c r="V228" s="406"/>
      <c r="W228" s="406"/>
    </row>
    <row r="229" spans="18:23">
      <c r="R229" s="3069"/>
      <c r="S229" s="3069"/>
      <c r="T229" s="3069"/>
      <c r="U229" s="3069"/>
      <c r="V229" s="3069"/>
      <c r="W229" s="3069"/>
    </row>
    <row r="230" spans="18:23">
      <c r="R230" s="3069"/>
      <c r="S230" s="3069"/>
      <c r="T230" s="3069"/>
      <c r="U230" s="3069"/>
      <c r="V230" s="3069"/>
      <c r="W230" s="3069"/>
    </row>
    <row r="231" spans="18:23">
      <c r="R231" s="3069"/>
      <c r="S231" s="3069"/>
      <c r="T231" s="3069"/>
      <c r="U231" s="3069"/>
      <c r="V231" s="3069"/>
      <c r="W231" s="3069"/>
    </row>
  </sheetData>
  <sheetProtection selectLockedCells="1" selectUnlockedCells="1"/>
  <autoFilter ref="A5:W227"/>
  <mergeCells count="655">
    <mergeCell ref="R230:W230"/>
    <mergeCell ref="R231:W231"/>
    <mergeCell ref="R221:W221"/>
    <mergeCell ref="R222:W222"/>
    <mergeCell ref="R223:W227"/>
    <mergeCell ref="R229:W229"/>
    <mergeCell ref="R219:W219"/>
    <mergeCell ref="R220:W220"/>
    <mergeCell ref="R217:W217"/>
    <mergeCell ref="R218:W21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A206:B211"/>
    <mergeCell ref="D206:I206"/>
    <mergeCell ref="K206:Q206"/>
    <mergeCell ref="R206:W206"/>
    <mergeCell ref="D207:I207"/>
    <mergeCell ref="K207:Q207"/>
    <mergeCell ref="R207:W207"/>
    <mergeCell ref="D208:I208"/>
    <mergeCell ref="K208:Q208"/>
    <mergeCell ref="R208:W208"/>
    <mergeCell ref="C204:D204"/>
    <mergeCell ref="H204:L204"/>
    <mergeCell ref="N204:P204"/>
    <mergeCell ref="C205:D205"/>
    <mergeCell ref="H205:L205"/>
    <mergeCell ref="N205:P205"/>
    <mergeCell ref="C202:D202"/>
    <mergeCell ref="H202:L202"/>
    <mergeCell ref="N202:P202"/>
    <mergeCell ref="C203:D203"/>
    <mergeCell ref="H203:L203"/>
    <mergeCell ref="N203:P203"/>
    <mergeCell ref="C200:D200"/>
    <mergeCell ref="H200:L200"/>
    <mergeCell ref="N200:P200"/>
    <mergeCell ref="C201:D201"/>
    <mergeCell ref="H201:L201"/>
    <mergeCell ref="N201:P201"/>
    <mergeCell ref="C198:D198"/>
    <mergeCell ref="H198:L198"/>
    <mergeCell ref="N198:P198"/>
    <mergeCell ref="C199:D199"/>
    <mergeCell ref="H199:L199"/>
    <mergeCell ref="N199:P199"/>
    <mergeCell ref="C196:D196"/>
    <mergeCell ref="H196:L196"/>
    <mergeCell ref="N196:P196"/>
    <mergeCell ref="C197:D197"/>
    <mergeCell ref="H197:L197"/>
    <mergeCell ref="N197:P197"/>
    <mergeCell ref="C194:D194"/>
    <mergeCell ref="H194:L194"/>
    <mergeCell ref="N194:P194"/>
    <mergeCell ref="C195:D195"/>
    <mergeCell ref="H195:L195"/>
    <mergeCell ref="N195:P195"/>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0:D100"/>
    <mergeCell ref="H100:L100"/>
    <mergeCell ref="N100:P100"/>
    <mergeCell ref="C101:D101"/>
    <mergeCell ref="H101:L101"/>
    <mergeCell ref="N101:P101"/>
    <mergeCell ref="C98:D98"/>
    <mergeCell ref="H98:L98"/>
    <mergeCell ref="N98:P98"/>
    <mergeCell ref="C99:D99"/>
    <mergeCell ref="H99:L99"/>
    <mergeCell ref="N99:P99"/>
    <mergeCell ref="C96:D96"/>
    <mergeCell ref="H96:L96"/>
    <mergeCell ref="N96:P96"/>
    <mergeCell ref="C97:D97"/>
    <mergeCell ref="H97:L97"/>
    <mergeCell ref="N97:P97"/>
    <mergeCell ref="C94:D94"/>
    <mergeCell ref="H94:L94"/>
    <mergeCell ref="N94:P94"/>
    <mergeCell ref="C95:D95"/>
    <mergeCell ref="H95:L95"/>
    <mergeCell ref="N95:P95"/>
    <mergeCell ref="C92:D92"/>
    <mergeCell ref="H92:L92"/>
    <mergeCell ref="N92:P92"/>
    <mergeCell ref="C93:D93"/>
    <mergeCell ref="H93:L93"/>
    <mergeCell ref="N93:P93"/>
    <mergeCell ref="C90:D90"/>
    <mergeCell ref="H90:L90"/>
    <mergeCell ref="N90:P90"/>
    <mergeCell ref="C91:D91"/>
    <mergeCell ref="H91:L91"/>
    <mergeCell ref="N91:P91"/>
    <mergeCell ref="C88:D88"/>
    <mergeCell ref="H88:L88"/>
    <mergeCell ref="N88:P88"/>
    <mergeCell ref="C89:D89"/>
    <mergeCell ref="H89:L89"/>
    <mergeCell ref="N89:P89"/>
    <mergeCell ref="C86:D86"/>
    <mergeCell ref="H86:L86"/>
    <mergeCell ref="N86:P86"/>
    <mergeCell ref="C87:D87"/>
    <mergeCell ref="H87:L87"/>
    <mergeCell ref="N87:P87"/>
    <mergeCell ref="C84:D84"/>
    <mergeCell ref="H84:L84"/>
    <mergeCell ref="N84:P84"/>
    <mergeCell ref="C85:D85"/>
    <mergeCell ref="H85:L85"/>
    <mergeCell ref="N85:P85"/>
    <mergeCell ref="C82:D82"/>
    <mergeCell ref="H82:L82"/>
    <mergeCell ref="N82:P82"/>
    <mergeCell ref="C83:D83"/>
    <mergeCell ref="H83:L83"/>
    <mergeCell ref="N83:P83"/>
    <mergeCell ref="C80:D80"/>
    <mergeCell ref="H80:L80"/>
    <mergeCell ref="N80:P80"/>
    <mergeCell ref="C81:D81"/>
    <mergeCell ref="H81:L81"/>
    <mergeCell ref="N81:P81"/>
    <mergeCell ref="C78:D78"/>
    <mergeCell ref="H78:L78"/>
    <mergeCell ref="N78:P78"/>
    <mergeCell ref="C79:D79"/>
    <mergeCell ref="H79:L79"/>
    <mergeCell ref="N79:P79"/>
    <mergeCell ref="C76:D76"/>
    <mergeCell ref="H76:L76"/>
    <mergeCell ref="N76:P76"/>
    <mergeCell ref="C77:D77"/>
    <mergeCell ref="H77:L77"/>
    <mergeCell ref="N77:P77"/>
    <mergeCell ref="C74:D74"/>
    <mergeCell ref="H74:L74"/>
    <mergeCell ref="N74:P74"/>
    <mergeCell ref="C75:D75"/>
    <mergeCell ref="H75:L75"/>
    <mergeCell ref="N75:P75"/>
    <mergeCell ref="C72:D72"/>
    <mergeCell ref="H72:L72"/>
    <mergeCell ref="N72:P72"/>
    <mergeCell ref="C73:D73"/>
    <mergeCell ref="H73:L73"/>
    <mergeCell ref="N73:P73"/>
    <mergeCell ref="C70:D70"/>
    <mergeCell ref="H70:L70"/>
    <mergeCell ref="N70:P70"/>
    <mergeCell ref="C71:D71"/>
    <mergeCell ref="H71:L71"/>
    <mergeCell ref="N71:P71"/>
    <mergeCell ref="C68:D68"/>
    <mergeCell ref="H68:L68"/>
    <mergeCell ref="N68:P68"/>
    <mergeCell ref="C69:D69"/>
    <mergeCell ref="H69:L69"/>
    <mergeCell ref="N69:P69"/>
    <mergeCell ref="C66:D66"/>
    <mergeCell ref="H66:L66"/>
    <mergeCell ref="N66:P66"/>
    <mergeCell ref="C67:D67"/>
    <mergeCell ref="H67:L67"/>
    <mergeCell ref="N67:P67"/>
    <mergeCell ref="C64:D64"/>
    <mergeCell ref="H64:L64"/>
    <mergeCell ref="N64:P64"/>
    <mergeCell ref="C65:D65"/>
    <mergeCell ref="H65:L65"/>
    <mergeCell ref="N65:P65"/>
    <mergeCell ref="C62:D62"/>
    <mergeCell ref="H62:L62"/>
    <mergeCell ref="N62:P62"/>
    <mergeCell ref="C63:D63"/>
    <mergeCell ref="H63:L63"/>
    <mergeCell ref="N63:P63"/>
    <mergeCell ref="C60:D60"/>
    <mergeCell ref="H60:L60"/>
    <mergeCell ref="N60:P60"/>
    <mergeCell ref="C61:D61"/>
    <mergeCell ref="H61:L61"/>
    <mergeCell ref="N61:P61"/>
    <mergeCell ref="C58:D58"/>
    <mergeCell ref="H58:L58"/>
    <mergeCell ref="N58:P58"/>
    <mergeCell ref="C59:D59"/>
    <mergeCell ref="H59:L59"/>
    <mergeCell ref="N59:P59"/>
    <mergeCell ref="C56:D56"/>
    <mergeCell ref="H56:L56"/>
    <mergeCell ref="N56:P56"/>
    <mergeCell ref="C57:D57"/>
    <mergeCell ref="H57:L57"/>
    <mergeCell ref="N57:P57"/>
    <mergeCell ref="C54:D54"/>
    <mergeCell ref="H54:L54"/>
    <mergeCell ref="N54:P54"/>
    <mergeCell ref="C55:D55"/>
    <mergeCell ref="H55:L55"/>
    <mergeCell ref="N55:P55"/>
    <mergeCell ref="C52:D52"/>
    <mergeCell ref="H52:L52"/>
    <mergeCell ref="N52:P52"/>
    <mergeCell ref="C53:D53"/>
    <mergeCell ref="H53:L53"/>
    <mergeCell ref="N53:P53"/>
    <mergeCell ref="C50:D50"/>
    <mergeCell ref="H50:L50"/>
    <mergeCell ref="N50:P50"/>
    <mergeCell ref="C51:D51"/>
    <mergeCell ref="H51:L51"/>
    <mergeCell ref="N51:P51"/>
    <mergeCell ref="C48:D48"/>
    <mergeCell ref="H48:L48"/>
    <mergeCell ref="N48:P48"/>
    <mergeCell ref="C49:D49"/>
    <mergeCell ref="H49:L49"/>
    <mergeCell ref="N49:P49"/>
    <mergeCell ref="C46:D46"/>
    <mergeCell ref="H46:L46"/>
    <mergeCell ref="N46:P46"/>
    <mergeCell ref="C47:D47"/>
    <mergeCell ref="H47:L47"/>
    <mergeCell ref="N47:P47"/>
    <mergeCell ref="C44:D44"/>
    <mergeCell ref="H44:L44"/>
    <mergeCell ref="N44:P44"/>
    <mergeCell ref="C45:D45"/>
    <mergeCell ref="H45:L45"/>
    <mergeCell ref="N45:P45"/>
    <mergeCell ref="C42:D42"/>
    <mergeCell ref="H42:L42"/>
    <mergeCell ref="N42:P42"/>
    <mergeCell ref="C43:D43"/>
    <mergeCell ref="H43:L43"/>
    <mergeCell ref="N43:P43"/>
    <mergeCell ref="C40:D40"/>
    <mergeCell ref="H40:L40"/>
    <mergeCell ref="N40:P40"/>
    <mergeCell ref="C41:D41"/>
    <mergeCell ref="H41:L41"/>
    <mergeCell ref="N41:P41"/>
    <mergeCell ref="C38:D38"/>
    <mergeCell ref="H38:L38"/>
    <mergeCell ref="N38:P38"/>
    <mergeCell ref="C39:D39"/>
    <mergeCell ref="H39:L39"/>
    <mergeCell ref="N39:P39"/>
    <mergeCell ref="C36:D36"/>
    <mergeCell ref="H36:L36"/>
    <mergeCell ref="N36:P36"/>
    <mergeCell ref="C37:D37"/>
    <mergeCell ref="H37:L37"/>
    <mergeCell ref="N37:P37"/>
    <mergeCell ref="C34:D34"/>
    <mergeCell ref="H34:L34"/>
    <mergeCell ref="N34:P34"/>
    <mergeCell ref="C35:D35"/>
    <mergeCell ref="H35:L35"/>
    <mergeCell ref="N35:P35"/>
    <mergeCell ref="C32:D32"/>
    <mergeCell ref="H32:L32"/>
    <mergeCell ref="N32:P32"/>
    <mergeCell ref="C33:D33"/>
    <mergeCell ref="H33:L33"/>
    <mergeCell ref="N33:P33"/>
    <mergeCell ref="C30:D30"/>
    <mergeCell ref="H30:L30"/>
    <mergeCell ref="N30:P30"/>
    <mergeCell ref="C31:D31"/>
    <mergeCell ref="H31:L31"/>
    <mergeCell ref="N31:P31"/>
    <mergeCell ref="C28:D28"/>
    <mergeCell ref="H28:L28"/>
    <mergeCell ref="N28:P28"/>
    <mergeCell ref="C29:D29"/>
    <mergeCell ref="H29:L29"/>
    <mergeCell ref="N29:P29"/>
    <mergeCell ref="C26:D26"/>
    <mergeCell ref="H26:L26"/>
    <mergeCell ref="N26:P26"/>
    <mergeCell ref="C27:D27"/>
    <mergeCell ref="H27:L27"/>
    <mergeCell ref="N27:P27"/>
    <mergeCell ref="C24:D24"/>
    <mergeCell ref="H24:L24"/>
    <mergeCell ref="N24:P24"/>
    <mergeCell ref="C25:D25"/>
    <mergeCell ref="H25:L25"/>
    <mergeCell ref="N25:P25"/>
    <mergeCell ref="C22:D22"/>
    <mergeCell ref="H22:L22"/>
    <mergeCell ref="N22:P22"/>
    <mergeCell ref="C23:D23"/>
    <mergeCell ref="H23:L23"/>
    <mergeCell ref="N23:P23"/>
    <mergeCell ref="C20:D20"/>
    <mergeCell ref="H20:L20"/>
    <mergeCell ref="N20:P20"/>
    <mergeCell ref="C21:D21"/>
    <mergeCell ref="H21:L21"/>
    <mergeCell ref="N21:P21"/>
    <mergeCell ref="C18:D18"/>
    <mergeCell ref="H18:L18"/>
    <mergeCell ref="N18:P18"/>
    <mergeCell ref="C19:D19"/>
    <mergeCell ref="H19:L19"/>
    <mergeCell ref="N19:P19"/>
    <mergeCell ref="C16:D16"/>
    <mergeCell ref="H16:L16"/>
    <mergeCell ref="N16:P16"/>
    <mergeCell ref="C17:D17"/>
    <mergeCell ref="H17:L17"/>
    <mergeCell ref="N17:P17"/>
    <mergeCell ref="C14:D14"/>
    <mergeCell ref="H14:L14"/>
    <mergeCell ref="N14:P14"/>
    <mergeCell ref="C15:D15"/>
    <mergeCell ref="H15:L15"/>
    <mergeCell ref="N15:P15"/>
    <mergeCell ref="C11:D11"/>
    <mergeCell ref="H11:L11"/>
    <mergeCell ref="N11:P11"/>
    <mergeCell ref="C12:D12"/>
    <mergeCell ref="H12:L12"/>
    <mergeCell ref="N12:P12"/>
    <mergeCell ref="R12:W13"/>
    <mergeCell ref="C13:D13"/>
    <mergeCell ref="H13:L13"/>
    <mergeCell ref="N13:P13"/>
    <mergeCell ref="C9:D9"/>
    <mergeCell ref="H9:L9"/>
    <mergeCell ref="N9:P9"/>
    <mergeCell ref="C10:D10"/>
    <mergeCell ref="H10:L10"/>
    <mergeCell ref="N10:P10"/>
    <mergeCell ref="C7:D7"/>
    <mergeCell ref="H7:L7"/>
    <mergeCell ref="N7:P7"/>
    <mergeCell ref="C8:D8"/>
    <mergeCell ref="H8:L8"/>
    <mergeCell ref="N8:P8"/>
    <mergeCell ref="C6:D6"/>
    <mergeCell ref="H6:L6"/>
    <mergeCell ref="N6:P6"/>
    <mergeCell ref="N3:O3"/>
    <mergeCell ref="N4:P5"/>
    <mergeCell ref="H4:L5"/>
    <mergeCell ref="M4:M5"/>
    <mergeCell ref="Q4:Q5"/>
    <mergeCell ref="R5:T5"/>
    <mergeCell ref="A4:A5"/>
    <mergeCell ref="B4:B5"/>
    <mergeCell ref="C4:D5"/>
    <mergeCell ref="E4:G4"/>
    <mergeCell ref="A1:Q1"/>
    <mergeCell ref="A2:D2"/>
    <mergeCell ref="E2:H2"/>
    <mergeCell ref="J2:L2"/>
    <mergeCell ref="N2:O2"/>
    <mergeCell ref="P2:P3"/>
    <mergeCell ref="Q2:Q3"/>
    <mergeCell ref="A3:D3"/>
    <mergeCell ref="E3:H3"/>
    <mergeCell ref="J3:L3"/>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5.6"/>
  <cols>
    <col min="1" max="1" width="9" style="407"/>
    <col min="2" max="2" width="107.59765625" style="408" customWidth="1"/>
    <col min="3" max="16384" width="9" style="407"/>
  </cols>
  <sheetData>
    <row r="1" spans="2:6" ht="48.75" customHeight="1">
      <c r="C1" s="409"/>
      <c r="D1" s="409"/>
    </row>
    <row r="2" spans="2:6" ht="15" customHeight="1">
      <c r="C2" s="409"/>
      <c r="D2" s="409"/>
    </row>
    <row r="3" spans="2:6" ht="30.75" customHeight="1">
      <c r="B3" s="410" t="s">
        <v>593</v>
      </c>
      <c r="C3" s="409"/>
      <c r="D3" s="409"/>
      <c r="E3" s="409"/>
    </row>
    <row r="4" spans="2:6" ht="37.5" customHeight="1">
      <c r="B4" s="408" t="s">
        <v>594</v>
      </c>
      <c r="C4" s="411"/>
      <c r="D4" s="411"/>
      <c r="E4" s="411"/>
      <c r="F4" s="411"/>
    </row>
    <row r="5" spans="2:6">
      <c r="B5" s="408" t="s">
        <v>595</v>
      </c>
      <c r="C5" s="411"/>
      <c r="D5" s="411"/>
      <c r="E5" s="411"/>
      <c r="F5" s="411"/>
    </row>
    <row r="6" spans="2:6">
      <c r="C6" s="411"/>
      <c r="D6" s="411"/>
      <c r="E6" s="411"/>
      <c r="F6" s="411"/>
    </row>
    <row r="7" spans="2:6" ht="31.5" customHeight="1">
      <c r="B7" s="412" t="s">
        <v>596</v>
      </c>
      <c r="C7" s="411"/>
      <c r="D7" s="411"/>
      <c r="E7" s="411"/>
      <c r="F7" s="411"/>
    </row>
    <row r="8" spans="2:6">
      <c r="B8" s="413" t="s">
        <v>597</v>
      </c>
      <c r="C8" s="411"/>
      <c r="D8" s="411"/>
      <c r="E8" s="411"/>
      <c r="F8" s="411"/>
    </row>
    <row r="9" spans="2:6">
      <c r="B9" s="414" t="s">
        <v>598</v>
      </c>
      <c r="C9" s="411"/>
      <c r="D9" s="411"/>
      <c r="E9" s="411"/>
      <c r="F9" s="411"/>
    </row>
    <row r="10" spans="2:6">
      <c r="B10" s="415" t="s">
        <v>599</v>
      </c>
      <c r="C10" s="411"/>
      <c r="D10" s="411"/>
      <c r="E10" s="411"/>
      <c r="F10" s="411"/>
    </row>
    <row r="11" spans="2:6">
      <c r="B11" s="416" t="s">
        <v>600</v>
      </c>
      <c r="C11" s="411"/>
      <c r="D11" s="411"/>
      <c r="E11" s="411"/>
      <c r="F11" s="411"/>
    </row>
    <row r="12" spans="2:6">
      <c r="B12" s="417" t="s">
        <v>601</v>
      </c>
      <c r="C12" s="411"/>
      <c r="D12" s="411"/>
      <c r="E12" s="411"/>
      <c r="F12" s="411"/>
    </row>
    <row r="13" spans="2:6">
      <c r="B13" s="418" t="s">
        <v>602</v>
      </c>
      <c r="C13" s="411"/>
      <c r="D13" s="411"/>
      <c r="E13" s="411"/>
      <c r="F13" s="411"/>
    </row>
    <row r="14" spans="2:6">
      <c r="B14" s="419" t="s">
        <v>603</v>
      </c>
      <c r="C14" s="411"/>
      <c r="D14" s="411"/>
      <c r="E14" s="411"/>
      <c r="F14" s="411"/>
    </row>
    <row r="15" spans="2:6">
      <c r="B15" s="420"/>
      <c r="C15" s="411"/>
      <c r="D15" s="411"/>
      <c r="E15" s="411"/>
      <c r="F15" s="411"/>
    </row>
    <row r="16" spans="2:6" ht="26.25" customHeight="1">
      <c r="B16" s="412" t="s">
        <v>604</v>
      </c>
      <c r="C16" s="411"/>
      <c r="D16" s="411"/>
      <c r="E16" s="411"/>
      <c r="F16" s="411"/>
    </row>
    <row r="17" spans="2:6">
      <c r="B17" s="421" t="s">
        <v>605</v>
      </c>
      <c r="C17" s="411"/>
      <c r="D17" s="411"/>
      <c r="E17" s="411"/>
      <c r="F17" s="411"/>
    </row>
    <row r="18" spans="2:6" ht="31.2">
      <c r="B18" s="408" t="s">
        <v>606</v>
      </c>
    </row>
    <row r="19" spans="2:6">
      <c r="B19" s="408" t="s">
        <v>607</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topLeftCell="A17" workbookViewId="0">
      <selection activeCell="C29" sqref="C29"/>
    </sheetView>
  </sheetViews>
  <sheetFormatPr defaultColWidth="9" defaultRowHeight="20.100000000000001" customHeight="1"/>
  <cols>
    <col min="1" max="1" width="24.09765625" style="422" customWidth="1"/>
    <col min="2" max="2" width="5.59765625" style="422" customWidth="1"/>
    <col min="3" max="4" width="15.59765625" style="423" customWidth="1"/>
    <col min="5" max="5" width="27.5" style="422" customWidth="1"/>
    <col min="6" max="6" width="5.59765625" style="422" customWidth="1"/>
    <col min="7" max="8" width="15.59765625" style="423" customWidth="1"/>
    <col min="9" max="9" width="25.8984375" style="424" customWidth="1"/>
    <col min="10" max="16384" width="9" style="424"/>
  </cols>
  <sheetData>
    <row r="1" spans="1:13" ht="22.5" customHeight="1">
      <c r="A1" s="425"/>
      <c r="B1" s="3071" t="s">
        <v>608</v>
      </c>
      <c r="C1" s="3071"/>
      <c r="D1" s="3071"/>
      <c r="E1" s="3071"/>
      <c r="F1" s="3071"/>
      <c r="G1" s="3071"/>
      <c r="H1" s="426" t="s">
        <v>1551</v>
      </c>
      <c r="I1" s="427"/>
      <c r="J1" s="58"/>
      <c r="K1" s="58"/>
      <c r="L1" s="58"/>
      <c r="M1" s="58"/>
    </row>
    <row r="2" spans="1:13" ht="18" customHeight="1">
      <c r="A2" s="3072" t="str">
        <f>"编制单位："&amp;基本情况!B2</f>
        <v>编制单位：0</v>
      </c>
      <c r="B2" s="3072"/>
      <c r="C2" s="3072"/>
      <c r="D2" s="3073" t="str">
        <f>本年度&amp;"年"&amp;截止月&amp;"月"&amp;截止日&amp;"日"</f>
        <v>2016年12月31日</v>
      </c>
      <c r="E2" s="3073"/>
      <c r="F2" s="428"/>
      <c r="G2" s="2296" t="s">
        <v>6902</v>
      </c>
      <c r="H2" s="429" t="s">
        <v>609</v>
      </c>
      <c r="I2" s="427"/>
      <c r="J2" s="58"/>
      <c r="K2" s="58"/>
      <c r="L2" s="58"/>
      <c r="M2" s="58"/>
    </row>
    <row r="3" spans="1:13" s="435" customFormat="1" ht="18" customHeight="1">
      <c r="A3" s="430" t="s">
        <v>610</v>
      </c>
      <c r="B3" s="431" t="s">
        <v>611</v>
      </c>
      <c r="C3" s="432" t="s">
        <v>6900</v>
      </c>
      <c r="D3" s="432" t="s">
        <v>613</v>
      </c>
      <c r="E3" s="431" t="s">
        <v>6901</v>
      </c>
      <c r="F3" s="431" t="s">
        <v>611</v>
      </c>
      <c r="G3" s="432" t="s">
        <v>612</v>
      </c>
      <c r="H3" s="433" t="s">
        <v>613</v>
      </c>
      <c r="I3" s="427"/>
      <c r="J3" s="434"/>
      <c r="K3" s="434"/>
      <c r="L3" s="434"/>
      <c r="M3" s="434"/>
    </row>
    <row r="4" spans="1:13" s="435" customFormat="1" ht="15.75" customHeight="1">
      <c r="A4" s="436" t="s">
        <v>614</v>
      </c>
      <c r="B4" s="437"/>
      <c r="C4" s="438"/>
      <c r="D4" s="438"/>
      <c r="E4" s="2295" t="s">
        <v>615</v>
      </c>
      <c r="F4" s="437"/>
      <c r="G4" s="438"/>
      <c r="H4" s="439"/>
      <c r="I4" s="427"/>
      <c r="J4" s="434"/>
      <c r="K4" s="434"/>
      <c r="L4" s="434"/>
      <c r="M4" s="434"/>
    </row>
    <row r="5" spans="1:13" s="435" customFormat="1" ht="15.75" customHeight="1">
      <c r="A5" s="440" t="s">
        <v>616</v>
      </c>
      <c r="B5" s="437">
        <v>1</v>
      </c>
      <c r="C5" s="1096"/>
      <c r="D5" s="1096"/>
      <c r="E5" s="441" t="s">
        <v>617</v>
      </c>
      <c r="F5" s="437">
        <v>31</v>
      </c>
      <c r="G5" s="1097"/>
      <c r="H5" s="1099"/>
      <c r="I5" s="58" t="s">
        <v>395</v>
      </c>
      <c r="J5" s="434"/>
      <c r="K5" s="434"/>
      <c r="L5" s="434"/>
      <c r="M5" s="434"/>
    </row>
    <row r="6" spans="1:13" s="435" customFormat="1" ht="15.75" customHeight="1">
      <c r="A6" s="436" t="s">
        <v>618</v>
      </c>
      <c r="B6" s="437">
        <v>2</v>
      </c>
      <c r="C6" s="1097"/>
      <c r="D6" s="1097"/>
      <c r="E6" s="441" t="s">
        <v>6898</v>
      </c>
      <c r="F6" s="437">
        <v>32</v>
      </c>
      <c r="G6" s="1097"/>
      <c r="H6" s="1099"/>
      <c r="I6" s="442" t="s">
        <v>619</v>
      </c>
      <c r="J6" s="434"/>
      <c r="K6" s="434"/>
      <c r="L6" s="434"/>
      <c r="M6" s="434"/>
    </row>
    <row r="7" spans="1:13" s="435" customFormat="1" ht="15.75" customHeight="1">
      <c r="A7" s="436" t="s">
        <v>620</v>
      </c>
      <c r="B7" s="437">
        <v>3</v>
      </c>
      <c r="C7" s="1097"/>
      <c r="D7" s="1097"/>
      <c r="E7" s="443" t="s">
        <v>621</v>
      </c>
      <c r="F7" s="437">
        <v>33</v>
      </c>
      <c r="G7" s="1097"/>
      <c r="H7" s="1099"/>
      <c r="I7" s="434"/>
      <c r="J7" s="434"/>
      <c r="K7" s="434"/>
      <c r="L7" s="434"/>
      <c r="M7" s="434"/>
    </row>
    <row r="8" spans="1:13" s="435" customFormat="1" ht="15.75" customHeight="1">
      <c r="A8" s="440" t="s">
        <v>623</v>
      </c>
      <c r="B8" s="437">
        <v>4</v>
      </c>
      <c r="C8" s="1097"/>
      <c r="D8" s="1097"/>
      <c r="E8" s="443" t="s">
        <v>622</v>
      </c>
      <c r="F8" s="437">
        <v>34</v>
      </c>
      <c r="G8" s="1097"/>
      <c r="H8" s="1099"/>
      <c r="I8" s="2453" t="s">
        <v>7153</v>
      </c>
      <c r="J8" s="2453" t="s">
        <v>7154</v>
      </c>
      <c r="K8" s="434"/>
      <c r="L8" s="434"/>
      <c r="M8" s="434"/>
    </row>
    <row r="9" spans="1:13" s="435" customFormat="1" ht="15.75" customHeight="1">
      <c r="A9" s="440" t="s">
        <v>624</v>
      </c>
      <c r="B9" s="437">
        <v>5</v>
      </c>
      <c r="C9" s="1097"/>
      <c r="D9" s="1097"/>
      <c r="E9" s="443" t="s">
        <v>6896</v>
      </c>
      <c r="F9" s="437">
        <v>35</v>
      </c>
      <c r="G9" s="1098"/>
      <c r="H9" s="1099"/>
      <c r="I9" s="2454"/>
      <c r="J9" s="2453" t="s">
        <v>7155</v>
      </c>
      <c r="K9" s="434"/>
      <c r="L9" s="434"/>
      <c r="M9" s="434"/>
    </row>
    <row r="10" spans="1:13" s="435" customFormat="1" ht="15.75" customHeight="1">
      <c r="A10" s="2294" t="s">
        <v>6894</v>
      </c>
      <c r="B10" s="437">
        <v>6</v>
      </c>
      <c r="C10" s="1101"/>
      <c r="D10" s="1097"/>
      <c r="E10" s="443" t="s">
        <v>6897</v>
      </c>
      <c r="F10" s="437">
        <v>36</v>
      </c>
      <c r="G10" s="1098"/>
      <c r="H10" s="1099"/>
      <c r="I10" s="2455"/>
      <c r="J10" s="2453" t="s">
        <v>7156</v>
      </c>
      <c r="K10" s="434"/>
      <c r="L10" s="434"/>
      <c r="M10" s="434"/>
    </row>
    <row r="11" spans="1:13" s="435" customFormat="1" ht="15.75" customHeight="1">
      <c r="A11" s="2294" t="s">
        <v>6895</v>
      </c>
      <c r="B11" s="437">
        <v>7</v>
      </c>
      <c r="C11" s="1101"/>
      <c r="D11" s="1097"/>
      <c r="E11" s="2311" t="s">
        <v>6899</v>
      </c>
      <c r="F11" s="437">
        <v>37</v>
      </c>
      <c r="G11" s="1098"/>
      <c r="H11" s="1099"/>
      <c r="I11" s="2455"/>
      <c r="J11" s="2453" t="s">
        <v>7157</v>
      </c>
      <c r="K11" s="434"/>
      <c r="L11" s="434"/>
      <c r="M11" s="434"/>
    </row>
    <row r="12" spans="1:13" s="435" customFormat="1" ht="15.75" customHeight="1">
      <c r="A12" s="440" t="s">
        <v>625</v>
      </c>
      <c r="B12" s="437">
        <v>8</v>
      </c>
      <c r="C12" s="1097"/>
      <c r="D12" s="1097"/>
      <c r="E12" s="441" t="s">
        <v>626</v>
      </c>
      <c r="F12" s="437">
        <v>38</v>
      </c>
      <c r="G12" s="1098"/>
      <c r="H12" s="1099"/>
      <c r="I12" s="2455"/>
      <c r="J12" s="2453" t="s">
        <v>7158</v>
      </c>
      <c r="K12" s="434"/>
      <c r="L12" s="434"/>
      <c r="M12" s="434"/>
    </row>
    <row r="13" spans="1:13" s="435" customFormat="1" ht="15.75" customHeight="1">
      <c r="A13" s="440" t="s">
        <v>627</v>
      </c>
      <c r="B13" s="437">
        <v>9</v>
      </c>
      <c r="C13" s="1097"/>
      <c r="D13" s="1097"/>
      <c r="E13" s="443" t="s">
        <v>6964</v>
      </c>
      <c r="F13" s="437">
        <v>39</v>
      </c>
      <c r="G13" s="1098"/>
      <c r="H13" s="1099"/>
      <c r="I13" s="2455"/>
      <c r="J13" s="2453" t="s">
        <v>7159</v>
      </c>
      <c r="K13" s="434"/>
      <c r="L13" s="434"/>
      <c r="M13" s="434"/>
    </row>
    <row r="14" spans="1:13" s="435" customFormat="1" ht="15.75" customHeight="1">
      <c r="A14" s="2294" t="s">
        <v>6931</v>
      </c>
      <c r="B14" s="437">
        <v>10</v>
      </c>
      <c r="C14" s="1097"/>
      <c r="D14" s="1097"/>
      <c r="E14" s="441" t="s">
        <v>630</v>
      </c>
      <c r="F14" s="437">
        <v>40</v>
      </c>
      <c r="G14" s="1098"/>
      <c r="H14" s="1099"/>
      <c r="I14" s="2455"/>
      <c r="J14" s="2453" t="s">
        <v>7160</v>
      </c>
      <c r="K14" s="434"/>
      <c r="L14" s="434"/>
      <c r="M14" s="434"/>
    </row>
    <row r="15" spans="1:13" s="435" customFormat="1" ht="15.75" customHeight="1">
      <c r="A15" s="2294" t="s">
        <v>6932</v>
      </c>
      <c r="B15" s="437">
        <v>11</v>
      </c>
      <c r="C15" s="1097"/>
      <c r="D15" s="1097"/>
      <c r="E15" s="437"/>
      <c r="F15" s="437"/>
      <c r="G15" s="2427"/>
      <c r="H15" s="2306"/>
      <c r="I15" s="2455"/>
      <c r="J15" s="2453" t="s">
        <v>7161</v>
      </c>
      <c r="K15" s="434"/>
      <c r="L15" s="434"/>
      <c r="M15" s="434"/>
    </row>
    <row r="16" spans="1:13" s="435" customFormat="1" ht="15.75" customHeight="1">
      <c r="A16" s="2301" t="s">
        <v>6933</v>
      </c>
      <c r="B16" s="437">
        <v>12</v>
      </c>
      <c r="C16" s="1097"/>
      <c r="D16" s="1097"/>
      <c r="E16" s="1258"/>
      <c r="F16" s="437"/>
      <c r="G16" s="2426"/>
      <c r="H16" s="2306"/>
      <c r="I16" s="2455"/>
      <c r="J16" s="2453" t="s">
        <v>7162</v>
      </c>
      <c r="K16" s="434"/>
      <c r="L16" s="434"/>
      <c r="M16" s="434"/>
    </row>
    <row r="17" spans="1:13" s="435" customFormat="1" ht="15.75" customHeight="1">
      <c r="A17" s="436" t="s">
        <v>6934</v>
      </c>
      <c r="B17" s="437">
        <v>13</v>
      </c>
      <c r="C17" s="1097"/>
      <c r="D17" s="1097"/>
      <c r="E17" s="443"/>
      <c r="F17" s="437"/>
      <c r="G17" s="2427"/>
      <c r="H17" s="2306"/>
      <c r="I17" s="2455"/>
      <c r="J17" s="2453" t="s">
        <v>7163</v>
      </c>
      <c r="K17" s="434"/>
      <c r="L17" s="434"/>
      <c r="M17" s="434"/>
    </row>
    <row r="18" spans="1:13" s="435" customFormat="1" ht="15.75" customHeight="1">
      <c r="A18" s="436" t="s">
        <v>628</v>
      </c>
      <c r="B18" s="437">
        <v>14</v>
      </c>
      <c r="C18" s="1097"/>
      <c r="D18" s="1097"/>
      <c r="E18" s="444"/>
      <c r="F18" s="437"/>
      <c r="G18" s="2428"/>
      <c r="H18" s="2306"/>
      <c r="I18" s="2455"/>
      <c r="J18" s="2453" t="s">
        <v>7164</v>
      </c>
      <c r="K18" s="434"/>
      <c r="L18" s="434"/>
      <c r="M18" s="434"/>
    </row>
    <row r="19" spans="1:13" s="435" customFormat="1" ht="15.75" customHeight="1">
      <c r="A19" s="445" t="s">
        <v>629</v>
      </c>
      <c r="B19" s="437">
        <v>15</v>
      </c>
      <c r="C19" s="446">
        <f>SUM(C5:C13)+C18</f>
        <v>0</v>
      </c>
      <c r="D19" s="446">
        <f>SUM(D5:D13)+D18</f>
        <v>0</v>
      </c>
      <c r="E19" s="437" t="s">
        <v>632</v>
      </c>
      <c r="F19" s="437">
        <v>41</v>
      </c>
      <c r="G19" s="2422">
        <f>SUM(G5:G18)</f>
        <v>0</v>
      </c>
      <c r="H19" s="2423">
        <f>SUM(H5:H18)</f>
        <v>0</v>
      </c>
      <c r="I19" s="2455"/>
      <c r="J19" s="2453" t="s">
        <v>7165</v>
      </c>
      <c r="K19" s="434"/>
      <c r="L19" s="434"/>
      <c r="M19" s="434"/>
    </row>
    <row r="20" spans="1:13" s="435" customFormat="1" ht="15.75" customHeight="1">
      <c r="A20" s="2297" t="s">
        <v>6903</v>
      </c>
      <c r="B20" s="437"/>
      <c r="C20" s="441"/>
      <c r="D20" s="441"/>
      <c r="E20" s="441" t="s">
        <v>6910</v>
      </c>
      <c r="F20" s="437"/>
      <c r="G20" s="2298"/>
      <c r="H20" s="444"/>
      <c r="I20" s="2456">
        <f>SUM(I9:I19)</f>
        <v>0</v>
      </c>
      <c r="J20" s="434"/>
      <c r="K20" s="434"/>
      <c r="L20" s="434"/>
      <c r="M20" s="434"/>
    </row>
    <row r="21" spans="1:13" s="435" customFormat="1" ht="15.75" customHeight="1">
      <c r="A21" s="436" t="s">
        <v>6904</v>
      </c>
      <c r="B21" s="437">
        <v>16</v>
      </c>
      <c r="C21" s="1097"/>
      <c r="D21" s="1097"/>
      <c r="E21" s="441" t="s">
        <v>633</v>
      </c>
      <c r="F21" s="437">
        <v>42</v>
      </c>
      <c r="G21" s="1097"/>
      <c r="H21" s="1099"/>
      <c r="I21" s="434"/>
      <c r="J21" s="434"/>
      <c r="K21" s="434"/>
      <c r="L21" s="434"/>
      <c r="M21" s="434"/>
    </row>
    <row r="22" spans="1:13" s="435" customFormat="1" ht="15.75" customHeight="1">
      <c r="A22" s="436" t="s">
        <v>631</v>
      </c>
      <c r="B22" s="437">
        <v>17</v>
      </c>
      <c r="C22" s="1098"/>
      <c r="D22" s="1097"/>
      <c r="E22" s="441" t="s">
        <v>7045</v>
      </c>
      <c r="F22" s="437">
        <v>43</v>
      </c>
      <c r="G22" s="1097"/>
      <c r="H22" s="1099"/>
      <c r="I22" s="434"/>
      <c r="J22" s="434"/>
      <c r="K22" s="434"/>
      <c r="L22" s="434"/>
      <c r="M22" s="434"/>
    </row>
    <row r="23" spans="1:13" s="435" customFormat="1" ht="15.75" customHeight="1">
      <c r="A23" s="440" t="s">
        <v>634</v>
      </c>
      <c r="B23" s="437">
        <v>18</v>
      </c>
      <c r="C23" s="1098"/>
      <c r="D23" s="1098"/>
      <c r="E23" s="441" t="s">
        <v>6911</v>
      </c>
      <c r="F23" s="437">
        <v>44</v>
      </c>
      <c r="G23" s="1097"/>
      <c r="H23" s="1099"/>
      <c r="I23" s="434"/>
      <c r="J23" s="434"/>
      <c r="K23" s="434"/>
      <c r="L23" s="434"/>
      <c r="M23" s="434"/>
    </row>
    <row r="24" spans="1:13" s="435" customFormat="1" ht="15.75" customHeight="1">
      <c r="A24" s="440" t="s">
        <v>635</v>
      </c>
      <c r="B24" s="437">
        <v>19</v>
      </c>
      <c r="C24" s="1097"/>
      <c r="D24" s="1097"/>
      <c r="E24" s="441" t="s">
        <v>6912</v>
      </c>
      <c r="F24" s="437">
        <v>45</v>
      </c>
      <c r="G24" s="1098"/>
      <c r="H24" s="1099"/>
      <c r="I24" s="434"/>
      <c r="J24" s="434"/>
      <c r="K24" s="434"/>
      <c r="L24" s="434"/>
      <c r="M24" s="434"/>
    </row>
    <row r="25" spans="1:13" s="435" customFormat="1" ht="15.75" customHeight="1">
      <c r="A25" s="2294" t="s">
        <v>6905</v>
      </c>
      <c r="B25" s="437">
        <v>20</v>
      </c>
      <c r="C25" s="446">
        <f>C23-C24</f>
        <v>0</v>
      </c>
      <c r="D25" s="446">
        <f>D23-D24</f>
        <v>0</v>
      </c>
      <c r="E25" s="445" t="s">
        <v>6913</v>
      </c>
      <c r="F25" s="437">
        <v>46</v>
      </c>
      <c r="G25" s="446">
        <f>SUM(G21:G24)</f>
        <v>0</v>
      </c>
      <c r="H25" s="2421">
        <f>SUM(H21:H24)</f>
        <v>0</v>
      </c>
      <c r="I25" s="434"/>
      <c r="J25" s="434"/>
      <c r="K25" s="434"/>
      <c r="L25" s="434"/>
      <c r="M25" s="434"/>
    </row>
    <row r="26" spans="1:13" s="435" customFormat="1" ht="15.75" customHeight="1">
      <c r="A26" s="440" t="s">
        <v>7042</v>
      </c>
      <c r="B26" s="437">
        <v>21</v>
      </c>
      <c r="C26" s="1098"/>
      <c r="D26" s="1098"/>
      <c r="E26" s="437" t="s">
        <v>6915</v>
      </c>
      <c r="F26" s="437">
        <v>47</v>
      </c>
      <c r="G26" s="446">
        <f>G25+G19</f>
        <v>0</v>
      </c>
      <c r="H26" s="2299">
        <f>H25+H19</f>
        <v>0</v>
      </c>
      <c r="I26" s="434"/>
      <c r="J26" s="434"/>
      <c r="K26" s="434"/>
      <c r="L26" s="434"/>
      <c r="M26" s="434"/>
    </row>
    <row r="27" spans="1:13" s="435" customFormat="1" ht="15.75" customHeight="1">
      <c r="A27" s="2294" t="s">
        <v>7043</v>
      </c>
      <c r="B27" s="437">
        <v>22</v>
      </c>
      <c r="C27" s="1098"/>
      <c r="D27" s="1098"/>
      <c r="E27" s="437"/>
      <c r="F27" s="437"/>
      <c r="G27" s="2424"/>
      <c r="H27" s="2305"/>
      <c r="I27" s="434"/>
      <c r="J27" s="434"/>
      <c r="K27" s="434"/>
      <c r="L27" s="434"/>
      <c r="M27" s="434"/>
    </row>
    <row r="28" spans="1:13" s="435" customFormat="1" ht="15.75" customHeight="1">
      <c r="A28" s="436" t="s">
        <v>6906</v>
      </c>
      <c r="B28" s="437">
        <v>23</v>
      </c>
      <c r="C28" s="1098"/>
      <c r="D28" s="1098"/>
      <c r="E28" s="441"/>
      <c r="F28" s="437"/>
      <c r="G28" s="2298"/>
      <c r="H28" s="2425"/>
      <c r="I28" s="434"/>
      <c r="J28" s="434"/>
      <c r="K28" s="434"/>
      <c r="L28" s="434"/>
      <c r="M28" s="434"/>
    </row>
    <row r="29" spans="1:13" s="435" customFormat="1" ht="15.75" customHeight="1">
      <c r="A29" s="436" t="s">
        <v>6907</v>
      </c>
      <c r="B29" s="437">
        <v>24</v>
      </c>
      <c r="C29" s="1096"/>
      <c r="D29" s="1096"/>
      <c r="E29" s="441" t="s">
        <v>6918</v>
      </c>
      <c r="F29" s="437">
        <v>44</v>
      </c>
      <c r="G29" s="2426"/>
      <c r="H29" s="2306"/>
      <c r="I29" s="434"/>
      <c r="J29" s="434"/>
      <c r="K29" s="434"/>
      <c r="L29" s="434"/>
      <c r="M29" s="434"/>
    </row>
    <row r="30" spans="1:13" s="435" customFormat="1" ht="15.75" customHeight="1">
      <c r="A30" s="440" t="s">
        <v>638</v>
      </c>
      <c r="B30" s="437">
        <v>25</v>
      </c>
      <c r="C30" s="1101"/>
      <c r="D30" s="1101"/>
      <c r="E30" s="443" t="s">
        <v>6916</v>
      </c>
      <c r="F30" s="437">
        <v>48</v>
      </c>
      <c r="G30" s="1097"/>
      <c r="H30" s="1099"/>
      <c r="I30" s="434"/>
      <c r="J30" s="434"/>
      <c r="K30" s="434"/>
      <c r="L30" s="434"/>
      <c r="M30" s="434"/>
    </row>
    <row r="31" spans="1:13" s="435" customFormat="1" ht="15.75" customHeight="1">
      <c r="A31" s="2294" t="s">
        <v>7044</v>
      </c>
      <c r="B31" s="437">
        <v>26</v>
      </c>
      <c r="C31" s="1101"/>
      <c r="D31" s="1101"/>
      <c r="E31" s="443" t="s">
        <v>636</v>
      </c>
      <c r="F31" s="437">
        <v>49</v>
      </c>
      <c r="G31" s="1097"/>
      <c r="H31" s="1099"/>
      <c r="I31" s="434"/>
      <c r="J31" s="434"/>
      <c r="K31" s="434"/>
      <c r="L31" s="434"/>
      <c r="M31" s="434"/>
    </row>
    <row r="32" spans="1:13" s="435" customFormat="1" ht="15.75" customHeight="1">
      <c r="A32" s="440" t="s">
        <v>639</v>
      </c>
      <c r="B32" s="437">
        <v>27</v>
      </c>
      <c r="C32" s="1101"/>
      <c r="D32" s="1101"/>
      <c r="E32" s="443" t="s">
        <v>637</v>
      </c>
      <c r="F32" s="437">
        <v>50</v>
      </c>
      <c r="G32" s="1097"/>
      <c r="H32" s="1099"/>
      <c r="I32" s="434"/>
      <c r="J32" s="434"/>
      <c r="K32" s="434"/>
      <c r="L32" s="434"/>
      <c r="M32" s="434"/>
    </row>
    <row r="33" spans="1:13" s="435" customFormat="1" ht="15.75" customHeight="1">
      <c r="A33" s="2294" t="s">
        <v>6908</v>
      </c>
      <c r="B33" s="437">
        <v>28</v>
      </c>
      <c r="C33" s="1098"/>
      <c r="D33" s="1098"/>
      <c r="E33" s="443" t="s">
        <v>6917</v>
      </c>
      <c r="F33" s="437">
        <v>51</v>
      </c>
      <c r="G33" s="1097"/>
      <c r="H33" s="1099"/>
      <c r="I33" s="232" t="s">
        <v>640</v>
      </c>
      <c r="J33" s="434"/>
      <c r="K33" s="434"/>
      <c r="L33" s="434"/>
      <c r="M33" s="434"/>
    </row>
    <row r="34" spans="1:13" s="435" customFormat="1" ht="15.75" customHeight="1">
      <c r="A34" s="445" t="s">
        <v>6909</v>
      </c>
      <c r="B34" s="437">
        <v>29</v>
      </c>
      <c r="C34" s="446">
        <f>C21+C22+SUM(C25:C33)</f>
        <v>0</v>
      </c>
      <c r="D34" s="446">
        <f>D21+D22+SUM(D25:D33)</f>
        <v>0</v>
      </c>
      <c r="E34" s="437" t="s">
        <v>6919</v>
      </c>
      <c r="F34" s="437">
        <v>52</v>
      </c>
      <c r="G34" s="446">
        <f>SUM(G30:G33)</f>
        <v>0</v>
      </c>
      <c r="H34" s="2299">
        <f>SUM(H30:H33)</f>
        <v>0</v>
      </c>
      <c r="I34" s="434"/>
      <c r="J34" s="434"/>
      <c r="K34" s="434"/>
      <c r="L34" s="434"/>
      <c r="M34" s="434"/>
    </row>
    <row r="35" spans="1:13" s="435" customFormat="1" ht="15.75" customHeight="1">
      <c r="A35" s="448" t="s">
        <v>6914</v>
      </c>
      <c r="B35" s="437">
        <v>30</v>
      </c>
      <c r="C35" s="450">
        <f>C19+C34</f>
        <v>0</v>
      </c>
      <c r="D35" s="450">
        <f>D19+D34</f>
        <v>0</v>
      </c>
      <c r="E35" s="449" t="s">
        <v>6920</v>
      </c>
      <c r="F35" s="437">
        <v>53</v>
      </c>
      <c r="G35" s="450">
        <f>G26+G34</f>
        <v>0</v>
      </c>
      <c r="H35" s="2300">
        <f>H26+H34</f>
        <v>0</v>
      </c>
      <c r="I35" s="434"/>
      <c r="J35" s="434"/>
      <c r="K35" s="434"/>
      <c r="L35" s="434"/>
      <c r="M35" s="434"/>
    </row>
    <row r="36" spans="1:13" ht="18.75" customHeight="1">
      <c r="A36" s="3074" t="s">
        <v>641</v>
      </c>
      <c r="B36" s="3075" t="str">
        <f>IF(C35&lt;&gt;G35,"期初数不平，差额如右!!!","期初数平衡!!!")</f>
        <v>期初数平衡!!!</v>
      </c>
      <c r="C36" s="3075"/>
      <c r="D36" s="3075"/>
      <c r="E36" s="3075"/>
      <c r="F36" s="3075"/>
      <c r="G36" s="3075"/>
      <c r="H36" s="451">
        <f>C35-G35</f>
        <v>0</v>
      </c>
      <c r="I36" s="58"/>
      <c r="J36" s="58"/>
      <c r="K36" s="58"/>
      <c r="L36" s="58"/>
      <c r="M36" s="58"/>
    </row>
    <row r="37" spans="1:13" ht="18.75" customHeight="1">
      <c r="A37" s="3074"/>
      <c r="B37" s="3076" t="str">
        <f>IF(H37=0,"期末数平衡!!!","期末数不平，差额如右!!!")</f>
        <v>期末数平衡!!!</v>
      </c>
      <c r="C37" s="3076"/>
      <c r="D37" s="3076"/>
      <c r="E37" s="3076"/>
      <c r="F37" s="3076"/>
      <c r="G37" s="3076"/>
      <c r="H37" s="452">
        <f>D35-H35</f>
        <v>0</v>
      </c>
      <c r="I37" s="58"/>
      <c r="J37" s="58"/>
      <c r="K37" s="58"/>
      <c r="L37" s="58"/>
      <c r="M37" s="58"/>
    </row>
    <row r="38" spans="1:13" ht="18.75" customHeight="1">
      <c r="A38" s="3074"/>
      <c r="B38" s="3076"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76"/>
      <c r="D38" s="3076"/>
      <c r="E38" s="3076"/>
      <c r="F38" s="3076"/>
      <c r="G38" s="3076"/>
      <c r="H38" s="452">
        <f>H33-利润!$G$22</f>
        <v>0</v>
      </c>
      <c r="I38" s="58"/>
      <c r="J38" s="58"/>
      <c r="K38" s="58"/>
      <c r="L38" s="58"/>
      <c r="M38" s="58"/>
    </row>
    <row r="39" spans="1:13" ht="24.9" customHeight="1">
      <c r="H39" s="453"/>
    </row>
    <row r="40" spans="1:13" ht="24.9" customHeight="1"/>
    <row r="41" spans="1:13" ht="24.9" customHeight="1"/>
    <row r="42" spans="1:13" ht="24.9" customHeight="1"/>
    <row r="43" spans="1:13" ht="24.9" customHeight="1"/>
    <row r="44" spans="1:13" ht="24.9" customHeight="1"/>
    <row r="45" spans="1:13" ht="24.9" customHeight="1"/>
    <row r="46" spans="1:13" ht="24.9" customHeight="1"/>
    <row r="47" spans="1:13" ht="24.9"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topLeftCell="A9" workbookViewId="0">
      <selection activeCell="D27" sqref="D27"/>
    </sheetView>
  </sheetViews>
  <sheetFormatPr defaultColWidth="9" defaultRowHeight="15.6"/>
  <cols>
    <col min="1" max="1" width="47.59765625" style="424" customWidth="1"/>
    <col min="2" max="2" width="5.09765625" style="424" customWidth="1"/>
    <col min="3" max="4" width="17" style="423" customWidth="1"/>
    <col min="5" max="5" width="28.8984375" style="424" customWidth="1"/>
    <col min="6" max="6" width="5.09765625" style="424" customWidth="1"/>
    <col min="7" max="8" width="17" style="423" customWidth="1"/>
    <col min="9" max="9" width="29" style="424" customWidth="1"/>
    <col min="10" max="16384" width="9" style="424"/>
  </cols>
  <sheetData>
    <row r="1" spans="1:12" ht="30" customHeight="1">
      <c r="A1" s="2706" t="s">
        <v>642</v>
      </c>
      <c r="B1" s="2706"/>
      <c r="C1" s="2706"/>
      <c r="D1" s="2706"/>
      <c r="E1" s="2706"/>
      <c r="F1" s="2706"/>
      <c r="G1" s="2706"/>
      <c r="H1" s="2706"/>
      <c r="I1" s="1334"/>
      <c r="J1" s="58"/>
      <c r="K1" s="58"/>
      <c r="L1" s="58"/>
    </row>
    <row r="2" spans="1:12" ht="15" customHeight="1">
      <c r="A2" s="454"/>
      <c r="B2" s="454"/>
      <c r="C2" s="454"/>
      <c r="D2" s="457"/>
      <c r="E2" s="457"/>
      <c r="F2" s="454"/>
      <c r="G2" s="455"/>
      <c r="H2" s="455" t="s">
        <v>1551</v>
      </c>
      <c r="I2" s="58"/>
      <c r="J2" s="58"/>
      <c r="K2" s="58"/>
      <c r="L2" s="58"/>
    </row>
    <row r="3" spans="1:12" ht="20.25" customHeight="1">
      <c r="A3" s="3077" t="str">
        <f>"编制单位："&amp;基本情况!B2</f>
        <v>编制单位：0</v>
      </c>
      <c r="B3" s="3077"/>
      <c r="C3" s="3078" t="str">
        <f>IF(OR(基本情况!B6&lt;&gt;"12月31日",基本情况!F5&lt;&gt;1,基本情况!G5&lt;&gt;1),基本情况!B7,基本情况!B4&amp;"年度")</f>
        <v>2016年01月01日至2016年12月31日</v>
      </c>
      <c r="D3" s="3078"/>
      <c r="E3" s="3078"/>
      <c r="F3" s="456"/>
      <c r="G3" s="457"/>
      <c r="H3" s="457" t="s">
        <v>643</v>
      </c>
      <c r="I3" s="58"/>
      <c r="J3" s="58"/>
      <c r="K3" s="58"/>
      <c r="L3" s="58"/>
    </row>
    <row r="4" spans="1:12" s="464" customFormat="1" ht="30" customHeight="1">
      <c r="A4" s="458" t="s">
        <v>644</v>
      </c>
      <c r="B4" s="459" t="s">
        <v>645</v>
      </c>
      <c r="C4" s="460" t="s">
        <v>6952</v>
      </c>
      <c r="D4" s="460" t="s">
        <v>6953</v>
      </c>
      <c r="E4" s="459" t="s">
        <v>646</v>
      </c>
      <c r="F4" s="459" t="s">
        <v>645</v>
      </c>
      <c r="G4" s="460" t="s">
        <v>6963</v>
      </c>
      <c r="H4" s="461" t="s">
        <v>6953</v>
      </c>
      <c r="I4" s="462" t="s">
        <v>395</v>
      </c>
      <c r="J4" s="463"/>
      <c r="K4" s="463"/>
      <c r="L4" s="463"/>
    </row>
    <row r="5" spans="1:12" ht="21" customHeight="1">
      <c r="A5" s="465" t="s">
        <v>6921</v>
      </c>
      <c r="B5" s="466">
        <v>1</v>
      </c>
      <c r="C5" s="1101"/>
      <c r="D5" s="1101"/>
      <c r="E5" s="467" t="s">
        <v>647</v>
      </c>
      <c r="F5" s="466">
        <v>36</v>
      </c>
      <c r="G5" s="446">
        <f>C39</f>
        <v>0</v>
      </c>
      <c r="H5" s="447">
        <f>D39</f>
        <v>0</v>
      </c>
      <c r="I5" s="442" t="s">
        <v>648</v>
      </c>
      <c r="J5" s="58"/>
      <c r="K5" s="58"/>
      <c r="L5" s="58"/>
    </row>
    <row r="6" spans="1:12" ht="21" customHeight="1">
      <c r="A6" s="465" t="s">
        <v>6922</v>
      </c>
      <c r="B6" s="466">
        <v>2</v>
      </c>
      <c r="C6" s="1097"/>
      <c r="D6" s="1097"/>
      <c r="E6" s="467" t="s">
        <v>6962</v>
      </c>
      <c r="F6" s="466">
        <v>37</v>
      </c>
      <c r="G6" s="1101"/>
      <c r="H6" s="1102"/>
      <c r="I6" s="442" t="s">
        <v>1538</v>
      </c>
      <c r="J6" s="58"/>
      <c r="K6" s="58"/>
      <c r="L6" s="58"/>
    </row>
    <row r="7" spans="1:12" ht="21" customHeight="1">
      <c r="A7" s="465" t="s">
        <v>6923</v>
      </c>
      <c r="B7" s="466">
        <v>3</v>
      </c>
      <c r="C7" s="1101"/>
      <c r="D7" s="1101"/>
      <c r="E7" s="467" t="s">
        <v>649</v>
      </c>
      <c r="F7" s="466">
        <v>38</v>
      </c>
      <c r="G7" s="2302">
        <f>资产负债!G33</f>
        <v>0</v>
      </c>
      <c r="H7" s="1100"/>
      <c r="I7" s="442" t="s">
        <v>650</v>
      </c>
      <c r="J7" s="58"/>
      <c r="K7" s="58"/>
      <c r="L7" s="58"/>
    </row>
    <row r="8" spans="1:12" ht="21" customHeight="1">
      <c r="A8" s="469" t="s">
        <v>6924</v>
      </c>
      <c r="B8" s="466">
        <v>4</v>
      </c>
      <c r="C8" s="1101"/>
      <c r="D8" s="1101"/>
      <c r="E8" s="467" t="s">
        <v>6959</v>
      </c>
      <c r="F8" s="466">
        <v>39</v>
      </c>
      <c r="G8" s="1098"/>
      <c r="H8" s="1100"/>
      <c r="I8" s="232" t="s">
        <v>651</v>
      </c>
      <c r="J8" s="58"/>
      <c r="K8" s="58"/>
      <c r="L8" s="58"/>
    </row>
    <row r="9" spans="1:12" ht="21" customHeight="1">
      <c r="A9" s="469" t="s">
        <v>6925</v>
      </c>
      <c r="B9" s="466">
        <v>5</v>
      </c>
      <c r="C9" s="1101"/>
      <c r="D9" s="1101"/>
      <c r="E9" s="467" t="s">
        <v>6960</v>
      </c>
      <c r="F9" s="466">
        <v>40</v>
      </c>
      <c r="G9" s="1098"/>
      <c r="H9" s="1100"/>
      <c r="I9" s="232" t="s">
        <v>376</v>
      </c>
      <c r="J9" s="58"/>
      <c r="K9" s="58"/>
      <c r="L9" s="58"/>
    </row>
    <row r="10" spans="1:12" ht="21" customHeight="1">
      <c r="A10" s="469" t="s">
        <v>6926</v>
      </c>
      <c r="B10" s="466">
        <v>6</v>
      </c>
      <c r="C10" s="1101"/>
      <c r="D10" s="1101"/>
      <c r="E10" s="467" t="s">
        <v>6961</v>
      </c>
      <c r="F10" s="466">
        <v>41</v>
      </c>
      <c r="G10" s="1098"/>
      <c r="H10" s="1100"/>
      <c r="I10" s="442"/>
      <c r="J10" s="58"/>
      <c r="K10" s="58"/>
      <c r="L10" s="58"/>
    </row>
    <row r="11" spans="1:12" ht="21" customHeight="1">
      <c r="A11" s="469" t="s">
        <v>6927</v>
      </c>
      <c r="B11" s="466">
        <v>7</v>
      </c>
      <c r="C11" s="1101"/>
      <c r="D11" s="1101"/>
      <c r="E11" s="467" t="s">
        <v>6954</v>
      </c>
      <c r="F11" s="466">
        <v>42</v>
      </c>
      <c r="G11" s="2303">
        <f>G5-G6+G7+G8+G9-G10</f>
        <v>0</v>
      </c>
      <c r="H11" s="2299">
        <f>H5-H6+H7+H8+H9-H10</f>
        <v>0</v>
      </c>
      <c r="I11" s="442"/>
      <c r="J11" s="58"/>
      <c r="K11" s="58"/>
      <c r="L11" s="58"/>
    </row>
    <row r="12" spans="1:12" ht="21" customHeight="1">
      <c r="A12" s="469" t="s">
        <v>6928</v>
      </c>
      <c r="B12" s="466">
        <v>8</v>
      </c>
      <c r="C12" s="1101"/>
      <c r="D12" s="1101"/>
      <c r="E12" s="465" t="s">
        <v>6970</v>
      </c>
      <c r="F12" s="466">
        <v>43</v>
      </c>
      <c r="G12" s="1098"/>
      <c r="H12" s="1100"/>
      <c r="I12" s="442"/>
      <c r="J12" s="58"/>
      <c r="K12" s="58"/>
      <c r="L12" s="58"/>
    </row>
    <row r="13" spans="1:12" ht="21" customHeight="1">
      <c r="A13" s="469" t="s">
        <v>6929</v>
      </c>
      <c r="B13" s="466">
        <v>9</v>
      </c>
      <c r="C13" s="1101"/>
      <c r="D13" s="1101"/>
      <c r="E13" s="465" t="s">
        <v>6971</v>
      </c>
      <c r="F13" s="466">
        <v>44</v>
      </c>
      <c r="G13" s="1098"/>
      <c r="H13" s="1100"/>
      <c r="I13" s="442"/>
      <c r="J13" s="58"/>
      <c r="K13" s="58"/>
      <c r="L13" s="58"/>
    </row>
    <row r="14" spans="1:12" ht="21" customHeight="1">
      <c r="A14" s="469" t="s">
        <v>6930</v>
      </c>
      <c r="B14" s="466">
        <v>10</v>
      </c>
      <c r="C14" s="1101"/>
      <c r="D14" s="1101"/>
      <c r="E14" s="465" t="s">
        <v>6969</v>
      </c>
      <c r="F14" s="466">
        <v>45</v>
      </c>
      <c r="G14" s="1098"/>
      <c r="H14" s="1100"/>
      <c r="I14" s="442"/>
      <c r="J14" s="58"/>
      <c r="K14" s="58"/>
      <c r="L14" s="58"/>
    </row>
    <row r="15" spans="1:12" ht="21" customHeight="1">
      <c r="A15" s="465" t="s">
        <v>6965</v>
      </c>
      <c r="B15" s="466">
        <v>11</v>
      </c>
      <c r="C15" s="1101"/>
      <c r="D15" s="1101"/>
      <c r="E15" s="465" t="s">
        <v>6972</v>
      </c>
      <c r="F15" s="466">
        <v>46</v>
      </c>
      <c r="G15" s="1098"/>
      <c r="H15" s="1100"/>
      <c r="I15" s="442"/>
      <c r="J15" s="58"/>
      <c r="K15" s="58"/>
      <c r="L15" s="58"/>
    </row>
    <row r="16" spans="1:12" ht="21" customHeight="1">
      <c r="A16" s="469" t="s">
        <v>6935</v>
      </c>
      <c r="B16" s="466">
        <v>12</v>
      </c>
      <c r="C16" s="1101"/>
      <c r="D16" s="1101"/>
      <c r="E16" s="465" t="s">
        <v>6973</v>
      </c>
      <c r="F16" s="466">
        <v>47</v>
      </c>
      <c r="G16" s="1098"/>
      <c r="H16" s="1100"/>
      <c r="I16" s="442"/>
      <c r="J16" s="58"/>
      <c r="K16" s="58"/>
      <c r="L16" s="58"/>
    </row>
    <row r="17" spans="1:12" ht="21" customHeight="1">
      <c r="A17" s="469" t="s">
        <v>6936</v>
      </c>
      <c r="B17" s="466">
        <v>13</v>
      </c>
      <c r="C17" s="1101"/>
      <c r="D17" s="1101"/>
      <c r="E17" s="465" t="s">
        <v>6974</v>
      </c>
      <c r="F17" s="466">
        <v>48</v>
      </c>
      <c r="G17" s="1098"/>
      <c r="H17" s="1100"/>
      <c r="I17" s="442"/>
      <c r="J17" s="58"/>
      <c r="K17" s="58"/>
      <c r="L17" s="58"/>
    </row>
    <row r="18" spans="1:12" ht="21" customHeight="1">
      <c r="A18" s="465" t="s">
        <v>6966</v>
      </c>
      <c r="B18" s="466">
        <v>14</v>
      </c>
      <c r="C18" s="1101"/>
      <c r="D18" s="1101"/>
      <c r="E18" s="465" t="s">
        <v>6975</v>
      </c>
      <c r="F18" s="466">
        <v>49</v>
      </c>
      <c r="G18" s="1098"/>
      <c r="H18" s="1100"/>
      <c r="I18" s="442"/>
      <c r="J18" s="58"/>
      <c r="K18" s="58"/>
      <c r="L18" s="58"/>
    </row>
    <row r="19" spans="1:12" ht="21" customHeight="1">
      <c r="A19" s="469" t="s">
        <v>6937</v>
      </c>
      <c r="B19" s="466">
        <v>15</v>
      </c>
      <c r="C19" s="1101"/>
      <c r="D19" s="1101"/>
      <c r="E19" s="467" t="s">
        <v>6955</v>
      </c>
      <c r="F19" s="466">
        <v>50</v>
      </c>
      <c r="G19" s="2303">
        <f>G11+G12-G13-G14-G15-G16-G17-G18</f>
        <v>0</v>
      </c>
      <c r="H19" s="2299">
        <f>H11+H12-H13-H14-H15-H16-H17-H18</f>
        <v>0</v>
      </c>
      <c r="I19" s="442"/>
      <c r="J19" s="58"/>
      <c r="K19" s="58"/>
      <c r="L19" s="58"/>
    </row>
    <row r="20" spans="1:12" ht="21" customHeight="1">
      <c r="A20" s="469" t="s">
        <v>6938</v>
      </c>
      <c r="B20" s="466">
        <v>16</v>
      </c>
      <c r="C20" s="1101"/>
      <c r="D20" s="1101"/>
      <c r="E20" s="467" t="s">
        <v>6957</v>
      </c>
      <c r="F20" s="466">
        <v>51</v>
      </c>
      <c r="G20" s="1098"/>
      <c r="H20" s="1100"/>
      <c r="I20" s="442"/>
      <c r="J20" s="58"/>
      <c r="K20" s="58"/>
      <c r="L20" s="58"/>
    </row>
    <row r="21" spans="1:12" ht="21" customHeight="1">
      <c r="A21" s="469" t="s">
        <v>6939</v>
      </c>
      <c r="B21" s="466">
        <v>17</v>
      </c>
      <c r="C21" s="1101"/>
      <c r="D21" s="1101"/>
      <c r="E21" s="467" t="s">
        <v>6958</v>
      </c>
      <c r="F21" s="466">
        <v>52</v>
      </c>
      <c r="G21" s="1101"/>
      <c r="H21" s="1102"/>
      <c r="J21" s="58"/>
      <c r="K21" s="58"/>
      <c r="L21" s="58"/>
    </row>
    <row r="22" spans="1:12" ht="21" customHeight="1">
      <c r="A22" s="465" t="s">
        <v>6940</v>
      </c>
      <c r="B22" s="466">
        <v>18</v>
      </c>
      <c r="C22" s="1097"/>
      <c r="D22" s="1097"/>
      <c r="E22" s="467" t="s">
        <v>6956</v>
      </c>
      <c r="F22" s="466">
        <v>53</v>
      </c>
      <c r="G22" s="2303">
        <f>G19-G20-G21</f>
        <v>0</v>
      </c>
      <c r="H22" s="2299">
        <f>H19-H20-H21</f>
        <v>0</v>
      </c>
      <c r="I22" s="424" t="str">
        <f>"与资产负债表相差"&amp;DOLLAR(G22-资产负债!H33,2)</f>
        <v>与资产负债表相差¥0.00</v>
      </c>
      <c r="J22" s="58"/>
      <c r="K22" s="58"/>
      <c r="L22" s="58"/>
    </row>
    <row r="23" spans="1:12" ht="21" customHeight="1">
      <c r="A23" s="469" t="s">
        <v>6941</v>
      </c>
      <c r="B23" s="466">
        <v>19</v>
      </c>
      <c r="C23" s="1101"/>
      <c r="D23" s="1101"/>
      <c r="E23" s="467"/>
      <c r="F23" s="467"/>
      <c r="G23" s="2304"/>
      <c r="H23" s="2305"/>
      <c r="I23" s="462"/>
      <c r="J23" s="58"/>
      <c r="K23" s="58"/>
      <c r="L23" s="58"/>
    </row>
    <row r="24" spans="1:12" ht="21" customHeight="1">
      <c r="A24" s="469" t="s">
        <v>7143</v>
      </c>
      <c r="B24" s="466">
        <v>20</v>
      </c>
      <c r="C24" s="1101"/>
      <c r="D24" s="1101"/>
      <c r="E24" s="467"/>
      <c r="F24" s="467"/>
      <c r="G24" s="2304"/>
      <c r="H24" s="2305"/>
      <c r="I24" s="462"/>
      <c r="J24" s="58"/>
      <c r="K24" s="58"/>
      <c r="L24" s="58"/>
    </row>
    <row r="25" spans="1:12" ht="21" customHeight="1">
      <c r="A25" s="465" t="s">
        <v>7144</v>
      </c>
      <c r="B25" s="466">
        <v>21</v>
      </c>
      <c r="C25" s="1101"/>
      <c r="D25" s="1101"/>
      <c r="E25" s="467"/>
      <c r="F25" s="467"/>
      <c r="G25" s="2304"/>
      <c r="H25" s="2305"/>
      <c r="I25" s="462"/>
      <c r="J25" s="58"/>
      <c r="K25" s="58"/>
      <c r="L25" s="58"/>
    </row>
    <row r="26" spans="1:12" ht="21" customHeight="1">
      <c r="A26" s="465" t="s">
        <v>7146</v>
      </c>
      <c r="B26" s="466">
        <v>22</v>
      </c>
      <c r="C26" s="1101"/>
      <c r="D26" s="1101"/>
      <c r="E26" s="467"/>
      <c r="F26" s="467"/>
      <c r="G26" s="2304"/>
      <c r="H26" s="2306"/>
      <c r="I26" s="58"/>
      <c r="J26" s="58"/>
      <c r="K26" s="58"/>
      <c r="L26" s="58"/>
    </row>
    <row r="27" spans="1:12" ht="21" customHeight="1">
      <c r="A27" s="468" t="s">
        <v>7145</v>
      </c>
      <c r="B27" s="466">
        <v>23</v>
      </c>
      <c r="C27" s="446">
        <f>C5-C6-C7-C15-C18-C22+C26-C24+C25</f>
        <v>0</v>
      </c>
      <c r="D27" s="446">
        <f>D5-D6-D7-D15-D18-D22+D26-D24+D25</f>
        <v>0</v>
      </c>
      <c r="E27" s="467"/>
      <c r="F27" s="467"/>
      <c r="G27" s="2304"/>
      <c r="H27" s="2306"/>
      <c r="I27" s="58"/>
      <c r="J27" s="58"/>
      <c r="K27" s="58"/>
      <c r="L27" s="58"/>
    </row>
    <row r="28" spans="1:12" ht="21" customHeight="1">
      <c r="A28" s="465" t="s">
        <v>6967</v>
      </c>
      <c r="B28" s="466">
        <v>24</v>
      </c>
      <c r="C28" s="1097"/>
      <c r="D28" s="1097"/>
      <c r="E28" s="467"/>
      <c r="F28" s="467"/>
      <c r="G28" s="2304"/>
      <c r="H28" s="2307"/>
      <c r="I28" s="58"/>
      <c r="J28" s="58"/>
      <c r="K28" s="58"/>
      <c r="L28" s="58"/>
    </row>
    <row r="29" spans="1:12" ht="21" customHeight="1">
      <c r="A29" s="469" t="s">
        <v>6942</v>
      </c>
      <c r="B29" s="466">
        <v>25</v>
      </c>
      <c r="C29" s="1097"/>
      <c r="D29" s="1097"/>
      <c r="E29" s="467"/>
      <c r="F29" s="467"/>
      <c r="G29" s="2304"/>
      <c r="H29" s="2306"/>
      <c r="I29" s="58"/>
      <c r="J29" s="58"/>
      <c r="K29" s="58"/>
      <c r="L29" s="58"/>
    </row>
    <row r="30" spans="1:12" ht="21" customHeight="1">
      <c r="A30" s="465" t="s">
        <v>6968</v>
      </c>
      <c r="B30" s="466">
        <v>26</v>
      </c>
      <c r="C30" s="1097"/>
      <c r="D30" s="1097"/>
      <c r="E30" s="467"/>
      <c r="F30" s="467"/>
      <c r="G30" s="2304"/>
      <c r="H30" s="2306"/>
      <c r="I30" s="58"/>
      <c r="J30" s="58"/>
      <c r="K30" s="58"/>
      <c r="L30" s="58"/>
    </row>
    <row r="31" spans="1:12" ht="21" customHeight="1">
      <c r="A31" s="469" t="s">
        <v>6943</v>
      </c>
      <c r="B31" s="466">
        <v>27</v>
      </c>
      <c r="C31" s="1097"/>
      <c r="D31" s="1097"/>
      <c r="E31" s="467"/>
      <c r="F31" s="467"/>
      <c r="G31" s="2304"/>
      <c r="H31" s="2306"/>
      <c r="I31" s="58"/>
      <c r="J31" s="58"/>
      <c r="K31" s="58"/>
      <c r="L31" s="58"/>
    </row>
    <row r="32" spans="1:12" ht="21" customHeight="1">
      <c r="A32" s="469" t="s">
        <v>6944</v>
      </c>
      <c r="B32" s="466">
        <v>28</v>
      </c>
      <c r="C32" s="1097"/>
      <c r="D32" s="1097"/>
      <c r="E32" s="467"/>
      <c r="F32" s="467"/>
      <c r="G32" s="2304"/>
      <c r="H32" s="2306"/>
      <c r="I32" s="58"/>
      <c r="J32" s="58"/>
      <c r="K32" s="58"/>
      <c r="L32" s="58"/>
    </row>
    <row r="33" spans="1:12" ht="21" customHeight="1">
      <c r="A33" s="469" t="s">
        <v>6945</v>
      </c>
      <c r="B33" s="466">
        <v>29</v>
      </c>
      <c r="C33" s="1097"/>
      <c r="D33" s="1097"/>
      <c r="E33" s="467"/>
      <c r="F33" s="467"/>
      <c r="G33" s="2304"/>
      <c r="H33" s="2306"/>
      <c r="I33" s="58"/>
      <c r="J33" s="58"/>
      <c r="K33" s="58"/>
      <c r="L33" s="58"/>
    </row>
    <row r="34" spans="1:12" ht="21" customHeight="1">
      <c r="A34" s="469" t="s">
        <v>6946</v>
      </c>
      <c r="B34" s="466">
        <v>30</v>
      </c>
      <c r="C34" s="1097"/>
      <c r="D34" s="1097"/>
      <c r="E34" s="467"/>
      <c r="F34" s="467"/>
      <c r="G34" s="2304"/>
      <c r="H34" s="2306"/>
      <c r="I34" s="58"/>
      <c r="J34" s="58"/>
      <c r="K34" s="58"/>
      <c r="L34" s="58"/>
    </row>
    <row r="35" spans="1:12" ht="21" customHeight="1">
      <c r="A35" s="469" t="s">
        <v>6947</v>
      </c>
      <c r="B35" s="466">
        <v>31</v>
      </c>
      <c r="C35" s="1097"/>
      <c r="D35" s="1097"/>
      <c r="E35" s="467"/>
      <c r="F35" s="467"/>
      <c r="G35" s="2304"/>
      <c r="H35" s="2306"/>
      <c r="I35" s="58"/>
      <c r="J35" s="58"/>
      <c r="K35" s="58"/>
      <c r="L35" s="58"/>
    </row>
    <row r="36" spans="1:12" ht="21" customHeight="1">
      <c r="A36" s="469" t="s">
        <v>6948</v>
      </c>
      <c r="B36" s="466">
        <v>32</v>
      </c>
      <c r="C36" s="1097"/>
      <c r="D36" s="1097"/>
      <c r="E36" s="467"/>
      <c r="F36" s="467"/>
      <c r="G36" s="2304"/>
      <c r="H36" s="2308"/>
      <c r="I36" s="58"/>
      <c r="J36" s="58"/>
      <c r="K36" s="58"/>
      <c r="L36" s="58"/>
    </row>
    <row r="37" spans="1:12" ht="21" customHeight="1">
      <c r="A37" s="468" t="s">
        <v>6949</v>
      </c>
      <c r="B37" s="466">
        <v>33</v>
      </c>
      <c r="C37" s="446">
        <f>C27+C28-C30</f>
        <v>0</v>
      </c>
      <c r="D37" s="446">
        <f>D27+D28-D30</f>
        <v>0</v>
      </c>
      <c r="E37" s="467"/>
      <c r="F37" s="467"/>
      <c r="G37" s="2304"/>
      <c r="H37" s="2306"/>
      <c r="I37" s="58"/>
      <c r="J37" s="58"/>
      <c r="K37" s="58"/>
      <c r="L37" s="58"/>
    </row>
    <row r="38" spans="1:12" ht="21" customHeight="1">
      <c r="A38" s="468" t="s">
        <v>6950</v>
      </c>
      <c r="B38" s="466">
        <v>34</v>
      </c>
      <c r="C38" s="1097"/>
      <c r="D38" s="1097"/>
      <c r="E38" s="467"/>
      <c r="F38" s="467"/>
      <c r="G38" s="2304"/>
      <c r="H38" s="2306"/>
      <c r="I38" s="471"/>
      <c r="J38" s="58"/>
      <c r="K38" s="58"/>
      <c r="L38" s="58"/>
    </row>
    <row r="39" spans="1:12" ht="21" customHeight="1">
      <c r="A39" s="472" t="s">
        <v>6951</v>
      </c>
      <c r="B39" s="473">
        <v>35</v>
      </c>
      <c r="C39" s="450">
        <f>C37-C38</f>
        <v>0</v>
      </c>
      <c r="D39" s="450">
        <f>D37-D38</f>
        <v>0</v>
      </c>
      <c r="E39" s="474"/>
      <c r="F39" s="473"/>
      <c r="G39" s="2309"/>
      <c r="H39" s="2310"/>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5.6"/>
  <cols>
    <col min="1" max="1" width="3.09765625" customWidth="1"/>
    <col min="2" max="2" width="29.69921875" customWidth="1"/>
    <col min="3" max="3" width="5.09765625" customWidth="1"/>
    <col min="4" max="4" width="12.19921875" customWidth="1"/>
    <col min="5" max="5" width="7.09765625" customWidth="1"/>
    <col min="6" max="9" width="10.3984375" customWidth="1"/>
    <col min="10" max="10" width="20.3984375" customWidth="1"/>
    <col min="11" max="11" width="12" customWidth="1"/>
    <col min="12" max="12" width="25" customWidth="1"/>
  </cols>
  <sheetData>
    <row r="1" spans="1:16" ht="39" customHeight="1">
      <c r="A1" s="2729" t="s">
        <v>653</v>
      </c>
      <c r="B1" s="2729"/>
      <c r="C1" s="2729"/>
      <c r="D1" s="2729"/>
      <c r="E1" s="2729"/>
      <c r="F1" s="2729"/>
      <c r="G1" s="2729"/>
      <c r="H1" s="2729"/>
      <c r="I1" s="2729"/>
      <c r="J1" s="2729"/>
      <c r="K1" s="2729"/>
      <c r="L1" s="480"/>
      <c r="M1" s="84"/>
      <c r="N1" s="84"/>
      <c r="O1" s="84"/>
      <c r="P1" s="84"/>
    </row>
    <row r="2" spans="1:16">
      <c r="A2" s="3072" t="str">
        <f>"纳税人名称："&amp;基本情况!B2</f>
        <v>纳税人名称：0</v>
      </c>
      <c r="B2" s="3072"/>
      <c r="C2" s="3072"/>
      <c r="D2" s="3072"/>
      <c r="E2" s="3072"/>
      <c r="F2" s="3072"/>
      <c r="G2" s="3072"/>
      <c r="H2" s="481"/>
      <c r="I2" s="482"/>
      <c r="J2" s="483"/>
      <c r="K2" s="484" t="s">
        <v>1551</v>
      </c>
      <c r="L2" s="480"/>
      <c r="M2" s="84"/>
      <c r="N2" s="84"/>
      <c r="O2" s="84"/>
      <c r="P2" s="84"/>
    </row>
    <row r="3" spans="1:16" ht="24" customHeight="1">
      <c r="A3" s="3046" t="s">
        <v>654</v>
      </c>
      <c r="B3" s="3046"/>
      <c r="C3" s="3046"/>
      <c r="D3" s="3046"/>
      <c r="E3" s="2920" t="s">
        <v>655</v>
      </c>
      <c r="F3" s="2920"/>
      <c r="G3" s="2920"/>
      <c r="H3" s="2920"/>
      <c r="I3" s="2920"/>
      <c r="J3" s="3079" t="s">
        <v>656</v>
      </c>
      <c r="K3" s="3079"/>
      <c r="L3" s="84"/>
      <c r="M3" s="84"/>
      <c r="N3" s="84"/>
      <c r="O3" s="84"/>
      <c r="P3" s="84"/>
    </row>
    <row r="4" spans="1:16" ht="16.5" customHeight="1">
      <c r="A4" s="2925" t="s">
        <v>657</v>
      </c>
      <c r="B4" s="2925"/>
      <c r="C4" s="3081" t="s">
        <v>658</v>
      </c>
      <c r="D4" s="2928" t="s">
        <v>659</v>
      </c>
      <c r="E4" s="2928" t="s">
        <v>660</v>
      </c>
      <c r="F4" s="2928" t="s">
        <v>661</v>
      </c>
      <c r="G4" s="2928"/>
      <c r="H4" s="2928" t="s">
        <v>662</v>
      </c>
      <c r="I4" s="2928"/>
      <c r="J4" s="3079"/>
      <c r="K4" s="3079"/>
      <c r="L4" s="84" t="s">
        <v>395</v>
      </c>
      <c r="M4" s="84"/>
      <c r="N4" s="84"/>
      <c r="O4" s="84"/>
      <c r="P4" s="84"/>
    </row>
    <row r="5" spans="1:16" ht="22.5" customHeight="1">
      <c r="A5" s="2925"/>
      <c r="B5" s="2925"/>
      <c r="C5" s="3081"/>
      <c r="D5" s="2928"/>
      <c r="E5" s="2928"/>
      <c r="F5" s="486" t="s">
        <v>663</v>
      </c>
      <c r="G5" s="486" t="s">
        <v>664</v>
      </c>
      <c r="H5" s="486" t="s">
        <v>663</v>
      </c>
      <c r="I5" s="486" t="s">
        <v>664</v>
      </c>
      <c r="J5" s="486" t="s">
        <v>665</v>
      </c>
      <c r="K5" s="487" t="s">
        <v>557</v>
      </c>
      <c r="L5" s="232" t="s">
        <v>296</v>
      </c>
      <c r="M5" s="84"/>
      <c r="N5" s="84"/>
      <c r="O5" s="84"/>
      <c r="P5" s="84"/>
    </row>
    <row r="6" spans="1:16" ht="20.25" customHeight="1">
      <c r="A6" s="3082" t="s">
        <v>663</v>
      </c>
      <c r="B6" s="489" t="s">
        <v>666</v>
      </c>
      <c r="C6" s="486">
        <v>1</v>
      </c>
      <c r="D6" s="1103"/>
      <c r="E6" s="490" t="s">
        <v>667</v>
      </c>
      <c r="F6" s="1105"/>
      <c r="G6" s="491">
        <f>ROUND(F6*2%,2)</f>
        <v>0</v>
      </c>
      <c r="H6" s="1105"/>
      <c r="I6" s="491">
        <f>ROUND(H6*3%,2)</f>
        <v>0</v>
      </c>
      <c r="J6" s="492" t="s">
        <v>668</v>
      </c>
      <c r="K6" s="1106"/>
      <c r="L6" s="493" t="s">
        <v>5923</v>
      </c>
      <c r="M6" s="84"/>
      <c r="N6" s="84"/>
      <c r="O6" s="84"/>
      <c r="P6" s="84"/>
    </row>
    <row r="7" spans="1:16" ht="20.25" customHeight="1">
      <c r="A7" s="3082"/>
      <c r="B7" s="489" t="s">
        <v>670</v>
      </c>
      <c r="C7" s="486">
        <v>5</v>
      </c>
      <c r="D7" s="1103"/>
      <c r="E7" s="490" t="s">
        <v>671</v>
      </c>
      <c r="F7" s="1105"/>
      <c r="G7" s="491">
        <f>ROUND(F7*2%,2)</f>
        <v>0</v>
      </c>
      <c r="H7" s="1105"/>
      <c r="I7" s="491">
        <f>ROUND(H7*3%,2)</f>
        <v>0</v>
      </c>
      <c r="J7" s="492" t="s">
        <v>672</v>
      </c>
      <c r="K7" s="1106"/>
      <c r="L7" s="232" t="s">
        <v>673</v>
      </c>
      <c r="M7" s="84"/>
      <c r="N7" s="84"/>
      <c r="O7" s="84"/>
      <c r="P7" s="84"/>
    </row>
    <row r="8" spans="1:16" ht="20.25" customHeight="1">
      <c r="A8" s="3082"/>
      <c r="B8" s="489" t="s">
        <v>674</v>
      </c>
      <c r="C8" s="486">
        <v>7</v>
      </c>
      <c r="D8" s="1103"/>
      <c r="E8" s="490" t="s">
        <v>675</v>
      </c>
      <c r="F8" s="1105"/>
      <c r="G8" s="491">
        <f t="shared" ref="G8:G18" si="0">ROUND(F8*2%,2)</f>
        <v>0</v>
      </c>
      <c r="H8" s="1105"/>
      <c r="I8" s="491">
        <f t="shared" ref="I8:I18" si="1">ROUND(H8*3%,2)</f>
        <v>0</v>
      </c>
      <c r="J8" s="949"/>
      <c r="K8" s="1107"/>
      <c r="L8" s="493" t="s">
        <v>676</v>
      </c>
      <c r="M8" s="84"/>
      <c r="N8" s="84"/>
      <c r="O8" s="84"/>
      <c r="P8" s="84"/>
    </row>
    <row r="9" spans="1:16" ht="20.25" customHeight="1">
      <c r="A9" s="3082"/>
      <c r="B9" s="489" t="s">
        <v>677</v>
      </c>
      <c r="C9" s="486">
        <v>8</v>
      </c>
      <c r="D9" s="1103"/>
      <c r="E9" s="490" t="s">
        <v>678</v>
      </c>
      <c r="F9" s="1105"/>
      <c r="G9" s="491">
        <f t="shared" si="0"/>
        <v>0</v>
      </c>
      <c r="H9" s="1105"/>
      <c r="I9" s="491">
        <f t="shared" si="1"/>
        <v>0</v>
      </c>
      <c r="J9" s="163"/>
      <c r="K9" s="1107"/>
      <c r="L9" s="232" t="s">
        <v>679</v>
      </c>
      <c r="M9" s="84"/>
      <c r="N9" s="84"/>
      <c r="O9" s="84"/>
      <c r="P9" s="84"/>
    </row>
    <row r="10" spans="1:16" ht="20.25" customHeight="1">
      <c r="A10" s="3082"/>
      <c r="B10" s="489" t="s">
        <v>680</v>
      </c>
      <c r="C10" s="486"/>
      <c r="D10" s="495">
        <f>SUM(D6:D9)</f>
        <v>0</v>
      </c>
      <c r="E10" s="490" t="s">
        <v>681</v>
      </c>
      <c r="F10" s="1105"/>
      <c r="G10" s="491">
        <f t="shared" si="0"/>
        <v>0</v>
      </c>
      <c r="H10" s="1105"/>
      <c r="I10" s="491">
        <f t="shared" si="1"/>
        <v>0</v>
      </c>
      <c r="J10" s="158" t="s">
        <v>682</v>
      </c>
      <c r="K10" s="496">
        <f>IF(K7&lt;0,K6,K6+K7)</f>
        <v>0</v>
      </c>
      <c r="L10" s="1266" t="s">
        <v>683</v>
      </c>
      <c r="M10" s="84"/>
      <c r="N10" s="84"/>
      <c r="O10" s="84"/>
      <c r="P10" s="84"/>
    </row>
    <row r="11" spans="1:16" ht="20.25" customHeight="1">
      <c r="A11" s="3082" t="s">
        <v>684</v>
      </c>
      <c r="B11" s="489" t="s">
        <v>664</v>
      </c>
      <c r="C11" s="486">
        <v>19</v>
      </c>
      <c r="D11" s="1103"/>
      <c r="E11" s="490" t="s">
        <v>685</v>
      </c>
      <c r="F11" s="1105"/>
      <c r="G11" s="491">
        <f t="shared" si="0"/>
        <v>0</v>
      </c>
      <c r="H11" s="1105"/>
      <c r="I11" s="491">
        <f t="shared" si="1"/>
        <v>0</v>
      </c>
      <c r="J11" s="3087" t="s">
        <v>6502</v>
      </c>
      <c r="K11" s="3088"/>
      <c r="L11" s="144" t="s">
        <v>456</v>
      </c>
      <c r="M11" s="84"/>
      <c r="N11" s="84"/>
      <c r="O11" s="84"/>
      <c r="P11" s="84"/>
    </row>
    <row r="12" spans="1:16" ht="20.25" customHeight="1">
      <c r="A12" s="3082"/>
      <c r="B12" s="489" t="s">
        <v>686</v>
      </c>
      <c r="C12" s="486">
        <v>21</v>
      </c>
      <c r="D12" s="1103"/>
      <c r="E12" s="490" t="s">
        <v>687</v>
      </c>
      <c r="F12" s="1105"/>
      <c r="G12" s="491">
        <f t="shared" si="0"/>
        <v>0</v>
      </c>
      <c r="H12" s="1105"/>
      <c r="I12" s="491">
        <f t="shared" si="1"/>
        <v>0</v>
      </c>
      <c r="J12" s="3087"/>
      <c r="K12" s="3088"/>
      <c r="L12" s="144" t="s">
        <v>688</v>
      </c>
      <c r="M12" s="84"/>
      <c r="N12" s="84"/>
      <c r="O12" s="84"/>
      <c r="P12" s="84"/>
    </row>
    <row r="13" spans="1:16" ht="20.25" customHeight="1">
      <c r="A13" s="3082"/>
      <c r="B13" s="489" t="s">
        <v>689</v>
      </c>
      <c r="C13" s="486">
        <v>22</v>
      </c>
      <c r="D13" s="1103"/>
      <c r="E13" s="490" t="s">
        <v>690</v>
      </c>
      <c r="F13" s="1105"/>
      <c r="G13" s="491">
        <f t="shared" si="0"/>
        <v>0</v>
      </c>
      <c r="H13" s="1105"/>
      <c r="I13" s="491">
        <f t="shared" si="1"/>
        <v>0</v>
      </c>
      <c r="J13" s="3087" t="s">
        <v>6504</v>
      </c>
      <c r="K13" s="3088"/>
      <c r="L13" s="497" t="s">
        <v>691</v>
      </c>
      <c r="M13" s="84"/>
      <c r="N13" s="84"/>
      <c r="O13" s="84"/>
      <c r="P13" s="84"/>
    </row>
    <row r="14" spans="1:16" ht="20.25" customHeight="1">
      <c r="A14" s="3082"/>
      <c r="B14" s="489" t="s">
        <v>692</v>
      </c>
      <c r="C14" s="486">
        <v>23</v>
      </c>
      <c r="D14" s="1103"/>
      <c r="E14" s="490" t="s">
        <v>693</v>
      </c>
      <c r="F14" s="1105"/>
      <c r="G14" s="491">
        <f t="shared" si="0"/>
        <v>0</v>
      </c>
      <c r="H14" s="1105"/>
      <c r="I14" s="491">
        <f t="shared" si="1"/>
        <v>0</v>
      </c>
      <c r="J14" s="3087"/>
      <c r="K14" s="3088"/>
      <c r="L14" s="84"/>
      <c r="M14" s="84"/>
      <c r="N14" s="84"/>
      <c r="O14" s="84"/>
      <c r="P14" s="84"/>
    </row>
    <row r="15" spans="1:16" ht="20.25" customHeight="1">
      <c r="A15" s="3082"/>
      <c r="B15" s="489" t="s">
        <v>694</v>
      </c>
      <c r="C15" s="486">
        <v>24</v>
      </c>
      <c r="D15" s="495">
        <f>D11+D12-D14</f>
        <v>0</v>
      </c>
      <c r="E15" s="490" t="s">
        <v>695</v>
      </c>
      <c r="F15" s="1105"/>
      <c r="G15" s="491">
        <f t="shared" si="0"/>
        <v>0</v>
      </c>
      <c r="H15" s="1105"/>
      <c r="I15" s="491">
        <f t="shared" si="1"/>
        <v>0</v>
      </c>
      <c r="J15" s="3083"/>
      <c r="K15" s="3084"/>
      <c r="L15" s="84"/>
      <c r="M15" s="84"/>
      <c r="N15" s="84"/>
      <c r="O15" s="84"/>
      <c r="P15" s="84"/>
    </row>
    <row r="16" spans="1:16" ht="20.25" customHeight="1">
      <c r="A16" s="488"/>
      <c r="B16" s="489" t="s">
        <v>696</v>
      </c>
      <c r="C16" s="486"/>
      <c r="D16" s="1104"/>
      <c r="E16" s="490" t="s">
        <v>697</v>
      </c>
      <c r="F16" s="1105"/>
      <c r="G16" s="491">
        <f t="shared" si="0"/>
        <v>0</v>
      </c>
      <c r="H16" s="1105"/>
      <c r="I16" s="491">
        <f t="shared" si="1"/>
        <v>0</v>
      </c>
      <c r="J16" s="3083"/>
      <c r="K16" s="3084"/>
      <c r="L16" s="84"/>
      <c r="M16" s="84"/>
      <c r="N16" s="84"/>
      <c r="O16" s="84"/>
      <c r="P16" s="84"/>
    </row>
    <row r="17" spans="1:16" ht="20.25" customHeight="1">
      <c r="A17" s="3080" t="s">
        <v>698</v>
      </c>
      <c r="B17" s="489" t="s">
        <v>699</v>
      </c>
      <c r="C17" s="486"/>
      <c r="D17" s="498">
        <f>IF(ISERROR(D11/D6),0,D11/D6)</f>
        <v>0</v>
      </c>
      <c r="E17" s="490" t="s">
        <v>700</v>
      </c>
      <c r="F17" s="1105"/>
      <c r="G17" s="491">
        <f t="shared" si="0"/>
        <v>0</v>
      </c>
      <c r="H17" s="1104"/>
      <c r="I17" s="491">
        <f t="shared" si="1"/>
        <v>0</v>
      </c>
      <c r="J17" s="3083"/>
      <c r="K17" s="3084"/>
      <c r="L17" s="84"/>
      <c r="M17" s="84"/>
      <c r="N17" s="84"/>
      <c r="O17" s="84"/>
      <c r="P17" s="84"/>
    </row>
    <row r="18" spans="1:16" ht="20.25" customHeight="1">
      <c r="A18" s="3080"/>
      <c r="B18" s="489" t="s">
        <v>5917</v>
      </c>
      <c r="C18" s="1644"/>
      <c r="D18" s="1665"/>
      <c r="E18" s="3092" t="s">
        <v>701</v>
      </c>
      <c r="F18" s="3093"/>
      <c r="G18" s="3094">
        <f t="shared" si="0"/>
        <v>0</v>
      </c>
      <c r="H18" s="3093"/>
      <c r="I18" s="3094">
        <f t="shared" si="1"/>
        <v>0</v>
      </c>
      <c r="J18" s="3083"/>
      <c r="K18" s="3084"/>
      <c r="L18" s="84"/>
      <c r="M18" s="84"/>
      <c r="N18" s="84"/>
      <c r="O18" s="84"/>
      <c r="P18" s="84"/>
    </row>
    <row r="19" spans="1:16" ht="20.25" customHeight="1">
      <c r="A19" s="3080"/>
      <c r="B19" s="489" t="s">
        <v>7148</v>
      </c>
      <c r="C19" s="2444"/>
      <c r="D19" s="2447"/>
      <c r="E19" s="3092"/>
      <c r="F19" s="3093"/>
      <c r="G19" s="3094"/>
      <c r="H19" s="3093"/>
      <c r="I19" s="3094"/>
      <c r="J19" s="3083"/>
      <c r="K19" s="3084"/>
      <c r="L19" s="84"/>
      <c r="M19" s="84"/>
      <c r="N19" s="84"/>
      <c r="O19" s="84"/>
      <c r="P19" s="84"/>
    </row>
    <row r="20" spans="1:16" ht="35.25" customHeight="1">
      <c r="A20" s="3080"/>
      <c r="B20" s="1659"/>
      <c r="C20" s="1660"/>
      <c r="D20" s="1661"/>
      <c r="E20" s="2448" t="s">
        <v>7149</v>
      </c>
      <c r="F20" s="2449"/>
      <c r="G20" s="491">
        <f>ROUND(F20*2%,2)</f>
        <v>0</v>
      </c>
      <c r="H20" s="2449"/>
      <c r="I20" s="491">
        <f>ROUND(H20*3%,2)</f>
        <v>0</v>
      </c>
      <c r="J20" s="3083"/>
      <c r="K20" s="3084"/>
      <c r="L20" s="84"/>
      <c r="M20" s="84"/>
      <c r="N20" s="84"/>
      <c r="O20" s="84"/>
      <c r="P20" s="84"/>
    </row>
    <row r="21" spans="1:16" ht="20.25" customHeight="1">
      <c r="A21" s="3080"/>
      <c r="B21" s="1659"/>
      <c r="C21" s="1660"/>
      <c r="D21" s="1661"/>
      <c r="E21" s="3095" t="s">
        <v>7150</v>
      </c>
      <c r="F21" s="3097"/>
      <c r="G21" s="3099">
        <f>ROUND(F21*2%,2)</f>
        <v>0</v>
      </c>
      <c r="H21" s="3097"/>
      <c r="I21" s="3099">
        <f>ROUND(H21*3%,2)</f>
        <v>0</v>
      </c>
      <c r="J21" s="3083"/>
      <c r="K21" s="3084"/>
      <c r="L21" s="84"/>
      <c r="M21" s="84"/>
      <c r="N21" s="84"/>
      <c r="O21" s="84"/>
      <c r="P21" s="84"/>
    </row>
    <row r="22" spans="1:16" ht="20.25" customHeight="1">
      <c r="A22" s="3080"/>
      <c r="B22" s="1659"/>
      <c r="C22" s="1660"/>
      <c r="D22" s="1661"/>
      <c r="E22" s="3096"/>
      <c r="F22" s="3098"/>
      <c r="G22" s="3100"/>
      <c r="H22" s="3098"/>
      <c r="I22" s="3100"/>
      <c r="J22" s="3083"/>
      <c r="K22" s="3084"/>
      <c r="L22" s="84"/>
      <c r="M22" s="84"/>
      <c r="N22" s="84"/>
      <c r="O22" s="84"/>
      <c r="P22" s="84"/>
    </row>
    <row r="23" spans="1:16" ht="20.25" customHeight="1">
      <c r="A23" s="3080"/>
      <c r="B23" s="1662"/>
      <c r="C23" s="1663"/>
      <c r="D23" s="1664"/>
      <c r="E23" s="499" t="s">
        <v>702</v>
      </c>
      <c r="F23" s="495">
        <f>SUM(F6:F17)+F21</f>
        <v>0</v>
      </c>
      <c r="G23" s="495">
        <f>SUM(G6:G17)+G21</f>
        <v>0</v>
      </c>
      <c r="H23" s="495">
        <f>SUM(H6:H17)+H22</f>
        <v>0</v>
      </c>
      <c r="I23" s="495">
        <f>SUM(I6:I17)+I21</f>
        <v>0</v>
      </c>
      <c r="J23" s="3085"/>
      <c r="K23" s="3086"/>
      <c r="L23" s="84"/>
      <c r="M23" s="84"/>
      <c r="N23" s="84"/>
      <c r="O23" s="84"/>
      <c r="P23" s="84"/>
    </row>
    <row r="24" spans="1:16" ht="20.25" customHeight="1">
      <c r="A24" s="3090" t="s">
        <v>455</v>
      </c>
      <c r="B24" s="3091"/>
      <c r="C24" s="3091"/>
      <c r="D24" s="3091"/>
      <c r="E24" s="3091"/>
      <c r="F24" s="3091"/>
      <c r="G24" s="3091"/>
      <c r="H24" s="3091"/>
      <c r="I24" s="3091"/>
      <c r="J24" s="3091"/>
      <c r="K24" s="3091"/>
      <c r="L24" s="84"/>
      <c r="M24" s="84"/>
      <c r="N24" s="84"/>
      <c r="O24" s="84"/>
      <c r="P24" s="84"/>
    </row>
    <row r="25" spans="1:16" ht="20.25" customHeight="1">
      <c r="A25" s="3090"/>
      <c r="B25" s="3091"/>
      <c r="C25" s="3091"/>
      <c r="D25" s="3091"/>
      <c r="E25" s="3091"/>
      <c r="F25" s="3091"/>
      <c r="G25" s="3091"/>
      <c r="H25" s="3091"/>
      <c r="I25" s="3091"/>
      <c r="J25" s="3091"/>
      <c r="K25" s="3091"/>
      <c r="L25" s="84"/>
      <c r="M25" s="84"/>
      <c r="N25" s="84"/>
      <c r="O25" s="84"/>
      <c r="P25" s="84"/>
    </row>
    <row r="26" spans="1:16" ht="20.25" customHeight="1">
      <c r="A26" s="3090"/>
      <c r="B26" s="3091"/>
      <c r="C26" s="3091"/>
      <c r="D26" s="3091"/>
      <c r="E26" s="3091"/>
      <c r="F26" s="3091"/>
      <c r="G26" s="3091"/>
      <c r="H26" s="3091"/>
      <c r="I26" s="3091"/>
      <c r="J26" s="3091"/>
      <c r="K26" s="3091"/>
      <c r="L26" s="84"/>
      <c r="M26" s="84"/>
      <c r="N26" s="84"/>
      <c r="O26" s="84"/>
      <c r="P26" s="84"/>
    </row>
    <row r="27" spans="1:16">
      <c r="A27" s="500"/>
      <c r="B27" s="500"/>
      <c r="C27" s="500"/>
      <c r="D27" s="500"/>
      <c r="E27" s="500"/>
      <c r="F27" s="500"/>
      <c r="G27" s="500"/>
      <c r="H27" s="500"/>
      <c r="I27" s="500"/>
      <c r="J27" s="500"/>
      <c r="K27" s="500"/>
    </row>
    <row r="28" spans="1:16" s="501" customFormat="1">
      <c r="A28" s="3089"/>
      <c r="B28" s="3089"/>
      <c r="C28" s="3089"/>
      <c r="D28" s="3089"/>
      <c r="E28" s="3089"/>
      <c r="F28" s="3089"/>
      <c r="G28" s="3089"/>
      <c r="H28" s="3089"/>
      <c r="I28" s="3089"/>
      <c r="J28" s="3089"/>
      <c r="K28" s="3089"/>
    </row>
    <row r="29" spans="1:16" s="501" customFormat="1">
      <c r="A29" s="3089"/>
      <c r="B29" s="3089"/>
      <c r="C29" s="3089"/>
      <c r="D29" s="3089"/>
      <c r="E29" s="3089"/>
      <c r="F29" s="3089"/>
      <c r="G29" s="3089"/>
      <c r="H29" s="3089"/>
      <c r="I29" s="3089"/>
      <c r="J29" s="3089"/>
      <c r="K29" s="3089"/>
    </row>
    <row r="30" spans="1:16" s="501" customFormat="1">
      <c r="A30" s="3089"/>
      <c r="B30" s="3089"/>
      <c r="C30" s="3089"/>
      <c r="D30" s="3089"/>
      <c r="E30" s="3089"/>
      <c r="F30" s="3089"/>
      <c r="G30" s="3089"/>
      <c r="H30" s="3089"/>
      <c r="I30" s="3089"/>
      <c r="J30" s="3089"/>
      <c r="K30" s="3089"/>
    </row>
    <row r="31" spans="1:16" s="501" customFormat="1">
      <c r="A31" s="3089"/>
      <c r="B31" s="3089"/>
      <c r="C31" s="3089"/>
      <c r="D31" s="3089"/>
      <c r="E31" s="3089"/>
      <c r="F31" s="3089"/>
      <c r="G31" s="3089"/>
      <c r="H31" s="3089"/>
      <c r="I31" s="3089"/>
      <c r="J31" s="3089"/>
      <c r="K31" s="3089"/>
    </row>
    <row r="32" spans="1:16" s="501" customFormat="1">
      <c r="A32" s="3089"/>
      <c r="B32" s="3089"/>
      <c r="C32" s="3089"/>
      <c r="D32" s="3089"/>
      <c r="E32" s="3089"/>
      <c r="F32" s="3089"/>
      <c r="G32" s="3089"/>
      <c r="H32" s="3089"/>
      <c r="I32" s="3089"/>
      <c r="J32" s="3089"/>
      <c r="K32" s="3089"/>
    </row>
    <row r="33" spans="1:11" s="501" customFormat="1">
      <c r="A33" s="3089"/>
      <c r="B33" s="3089"/>
      <c r="C33" s="3089"/>
      <c r="D33" s="3089"/>
      <c r="E33" s="3089"/>
      <c r="F33" s="3089"/>
      <c r="G33" s="3089"/>
      <c r="H33" s="3089"/>
      <c r="I33" s="3089"/>
      <c r="J33" s="3089"/>
      <c r="K33" s="3089"/>
    </row>
    <row r="34" spans="1:11" s="501" customFormat="1">
      <c r="A34" s="3089"/>
      <c r="B34" s="3089"/>
      <c r="C34" s="3089"/>
      <c r="D34" s="3089"/>
      <c r="E34" s="3089"/>
      <c r="F34" s="3089"/>
      <c r="G34" s="3089"/>
      <c r="H34" s="3089"/>
      <c r="I34" s="3089"/>
      <c r="J34" s="3089"/>
      <c r="K34" s="3089"/>
    </row>
    <row r="35" spans="1:11" s="501" customFormat="1">
      <c r="A35" s="3089"/>
      <c r="B35" s="3089"/>
      <c r="C35" s="3089"/>
      <c r="D35" s="3089"/>
      <c r="E35" s="3089"/>
      <c r="F35" s="3089"/>
      <c r="G35" s="3089"/>
      <c r="H35" s="3089"/>
      <c r="I35" s="3089"/>
      <c r="J35" s="3089"/>
      <c r="K35" s="3089"/>
    </row>
    <row r="36" spans="1:11" s="501" customFormat="1">
      <c r="A36" s="3089"/>
      <c r="B36" s="3089"/>
      <c r="C36" s="3089"/>
      <c r="D36" s="3089"/>
      <c r="E36" s="3089"/>
      <c r="F36" s="3089"/>
      <c r="G36" s="3089"/>
      <c r="H36" s="3089"/>
      <c r="I36" s="3089"/>
      <c r="J36" s="3089"/>
      <c r="K36" s="3089"/>
    </row>
    <row r="37" spans="1:11" s="501" customFormat="1">
      <c r="A37" s="3089"/>
      <c r="B37" s="3089"/>
      <c r="C37" s="3089"/>
      <c r="D37" s="3089"/>
      <c r="E37" s="3089"/>
      <c r="F37" s="3089"/>
      <c r="G37" s="3089"/>
      <c r="H37" s="3089"/>
      <c r="I37" s="3089"/>
      <c r="J37" s="3089"/>
      <c r="K37" s="3089"/>
    </row>
    <row r="38" spans="1:11" s="501" customFormat="1">
      <c r="A38" s="3089"/>
      <c r="B38" s="3089"/>
      <c r="C38" s="3089"/>
      <c r="D38" s="3089"/>
      <c r="E38" s="3089"/>
      <c r="F38" s="3089"/>
      <c r="G38" s="3089"/>
      <c r="H38" s="3089"/>
      <c r="I38" s="3089"/>
      <c r="J38" s="3089"/>
      <c r="K38" s="3089"/>
    </row>
    <row r="39" spans="1:11" s="501" customFormat="1">
      <c r="A39" s="3089"/>
      <c r="B39" s="3089"/>
      <c r="C39" s="3089"/>
      <c r="D39" s="3089"/>
      <c r="E39" s="3089"/>
      <c r="F39" s="3089"/>
      <c r="G39" s="3089"/>
      <c r="H39" s="3089"/>
      <c r="I39" s="3089"/>
      <c r="J39" s="3089"/>
      <c r="K39" s="3089"/>
    </row>
    <row r="40" spans="1:11" s="501" customFormat="1">
      <c r="A40" s="3089"/>
      <c r="B40" s="3089"/>
      <c r="C40" s="3089"/>
      <c r="D40" s="3089"/>
      <c r="E40" s="3089"/>
      <c r="F40" s="3089"/>
      <c r="G40" s="3089"/>
      <c r="H40" s="3089"/>
      <c r="I40" s="3089"/>
      <c r="J40" s="3089"/>
      <c r="K40" s="3089"/>
    </row>
    <row r="41" spans="1:11" s="501" customFormat="1">
      <c r="A41" s="3089"/>
      <c r="B41" s="3089"/>
      <c r="C41" s="3089"/>
      <c r="D41" s="3089"/>
      <c r="E41" s="3089"/>
      <c r="F41" s="3089"/>
      <c r="G41" s="3089"/>
      <c r="H41" s="3089"/>
      <c r="I41" s="3089"/>
      <c r="J41" s="3089"/>
      <c r="K41" s="3089"/>
    </row>
    <row r="42" spans="1:11" s="501" customFormat="1">
      <c r="A42" s="3089"/>
      <c r="B42" s="3089"/>
      <c r="C42" s="3089"/>
      <c r="D42" s="3089"/>
      <c r="E42" s="3089"/>
      <c r="F42" s="3089"/>
      <c r="G42" s="3089"/>
      <c r="H42" s="3089"/>
      <c r="I42" s="3089"/>
      <c r="J42" s="3089"/>
      <c r="K42" s="3089"/>
    </row>
    <row r="43" spans="1:11" s="501" customFormat="1">
      <c r="A43" s="3089"/>
      <c r="B43" s="3089"/>
      <c r="C43" s="3089"/>
      <c r="D43" s="3089"/>
      <c r="E43" s="3089"/>
      <c r="F43" s="3089"/>
      <c r="G43" s="3089"/>
      <c r="H43" s="3089"/>
      <c r="I43" s="3089"/>
      <c r="J43" s="3089"/>
      <c r="K43" s="3089"/>
    </row>
    <row r="44" spans="1:11" s="501" customFormat="1">
      <c r="A44" s="3089"/>
      <c r="B44" s="3089"/>
      <c r="C44" s="3089"/>
      <c r="D44" s="3089"/>
      <c r="E44" s="3089"/>
      <c r="F44" s="3089"/>
      <c r="G44" s="3089"/>
      <c r="H44" s="3089"/>
      <c r="I44" s="3089"/>
      <c r="J44" s="3089"/>
      <c r="K44" s="3089"/>
    </row>
    <row r="45" spans="1:11" s="501" customFormat="1">
      <c r="A45" s="3089"/>
      <c r="B45" s="3089"/>
      <c r="C45" s="3089"/>
      <c r="D45" s="3089"/>
      <c r="E45" s="3089"/>
      <c r="F45" s="3089"/>
      <c r="G45" s="3089"/>
      <c r="H45" s="3089"/>
      <c r="I45" s="3089"/>
      <c r="J45" s="3089"/>
      <c r="K45" s="3089"/>
    </row>
    <row r="46" spans="1:11" s="501" customFormat="1">
      <c r="A46" s="3089"/>
      <c r="B46" s="3089"/>
      <c r="C46" s="3089"/>
      <c r="D46" s="3089"/>
      <c r="E46" s="3089"/>
      <c r="F46" s="3089"/>
      <c r="G46" s="3089"/>
      <c r="H46" s="3089"/>
      <c r="I46" s="3089"/>
      <c r="J46" s="3089"/>
      <c r="K46" s="3089"/>
    </row>
    <row r="47" spans="1:11" s="501" customFormat="1">
      <c r="A47" s="3089"/>
      <c r="B47" s="3089"/>
      <c r="C47" s="3089"/>
      <c r="D47" s="3089"/>
      <c r="E47" s="3089"/>
      <c r="F47" s="3089"/>
      <c r="G47" s="3089"/>
      <c r="H47" s="3089"/>
      <c r="I47" s="3089"/>
      <c r="J47" s="3089"/>
      <c r="K47" s="3089"/>
    </row>
    <row r="48" spans="1:11" s="501" customFormat="1">
      <c r="A48" s="3089"/>
      <c r="B48" s="3089"/>
      <c r="C48" s="3089"/>
      <c r="D48" s="3089"/>
      <c r="E48" s="3089"/>
      <c r="F48" s="3089"/>
      <c r="G48" s="3089"/>
      <c r="H48" s="3089"/>
      <c r="I48" s="3089"/>
      <c r="J48" s="3089"/>
      <c r="K48" s="3089"/>
    </row>
    <row r="49" spans="1:11" s="501" customFormat="1">
      <c r="A49" s="3089"/>
      <c r="B49" s="3089"/>
      <c r="C49" s="3089"/>
      <c r="D49" s="3089"/>
      <c r="E49" s="3089"/>
      <c r="F49" s="3089"/>
      <c r="G49" s="3089"/>
      <c r="H49" s="3089"/>
      <c r="I49" s="3089"/>
      <c r="J49" s="3089"/>
      <c r="K49" s="3089"/>
    </row>
    <row r="50" spans="1:11" s="501" customFormat="1">
      <c r="A50" s="3089"/>
      <c r="B50" s="3089"/>
      <c r="C50" s="3089"/>
      <c r="D50" s="3089"/>
      <c r="E50" s="3089"/>
      <c r="F50" s="3089"/>
      <c r="G50" s="3089"/>
      <c r="H50" s="3089"/>
      <c r="I50" s="3089"/>
      <c r="J50" s="3089"/>
      <c r="K50" s="3089"/>
    </row>
    <row r="51" spans="1:11" s="501" customFormat="1">
      <c r="A51" s="3089"/>
      <c r="B51" s="3089"/>
      <c r="C51" s="3089"/>
      <c r="D51" s="3089"/>
      <c r="E51" s="3089"/>
      <c r="F51" s="3089"/>
      <c r="G51" s="3089"/>
      <c r="H51" s="3089"/>
      <c r="I51" s="3089"/>
      <c r="J51" s="3089"/>
      <c r="K51" s="3089"/>
    </row>
    <row r="52" spans="1:11" s="501" customFormat="1">
      <c r="A52" s="3089"/>
      <c r="B52" s="3089"/>
      <c r="C52" s="3089"/>
      <c r="D52" s="3089"/>
      <c r="E52" s="3089"/>
      <c r="F52" s="3089"/>
      <c r="G52" s="3089"/>
      <c r="H52" s="3089"/>
      <c r="I52" s="3089"/>
      <c r="J52" s="3089"/>
      <c r="K52" s="3089"/>
    </row>
    <row r="53" spans="1:11" s="501" customFormat="1">
      <c r="A53" s="3089"/>
      <c r="B53" s="3089"/>
      <c r="C53" s="3089"/>
      <c r="D53" s="3089"/>
      <c r="E53" s="3089"/>
      <c r="F53" s="3089"/>
      <c r="G53" s="3089"/>
      <c r="H53" s="3089"/>
      <c r="I53" s="3089"/>
      <c r="J53" s="3089"/>
      <c r="K53" s="3089"/>
    </row>
    <row r="54" spans="1:11" s="501" customFormat="1">
      <c r="A54" s="3089"/>
      <c r="B54" s="3089"/>
      <c r="C54" s="3089"/>
      <c r="D54" s="3089"/>
      <c r="E54" s="3089"/>
      <c r="F54" s="3089"/>
      <c r="G54" s="3089"/>
      <c r="H54" s="3089"/>
      <c r="I54" s="3089"/>
      <c r="J54" s="3089"/>
      <c r="K54" s="3089"/>
    </row>
    <row r="55" spans="1:11" s="501" customFormat="1">
      <c r="A55" s="3089"/>
      <c r="B55" s="3089"/>
      <c r="C55" s="3089"/>
      <c r="D55" s="3089"/>
      <c r="E55" s="3089"/>
      <c r="F55" s="3089"/>
      <c r="G55" s="3089"/>
      <c r="H55" s="3089"/>
      <c r="I55" s="3089"/>
      <c r="J55" s="3089"/>
      <c r="K55" s="3089"/>
    </row>
    <row r="56" spans="1:11" s="501" customFormat="1">
      <c r="A56" s="3089"/>
      <c r="B56" s="3089"/>
      <c r="C56" s="3089"/>
      <c r="D56" s="3089"/>
      <c r="E56" s="3089"/>
      <c r="F56" s="3089"/>
      <c r="G56" s="3089"/>
      <c r="H56" s="3089"/>
      <c r="I56" s="3089"/>
      <c r="J56" s="3089"/>
      <c r="K56" s="3089"/>
    </row>
    <row r="57" spans="1:11" s="501" customFormat="1">
      <c r="A57" s="3089"/>
      <c r="B57" s="3089"/>
      <c r="C57" s="3089"/>
      <c r="D57" s="3089"/>
      <c r="E57" s="3089"/>
      <c r="F57" s="3089"/>
      <c r="G57" s="3089"/>
      <c r="H57" s="3089"/>
      <c r="I57" s="3089"/>
      <c r="J57" s="3089"/>
      <c r="K57" s="3089"/>
    </row>
    <row r="58" spans="1:11" s="501" customFormat="1">
      <c r="A58" s="3089"/>
      <c r="B58" s="3089"/>
      <c r="C58" s="3089"/>
      <c r="D58" s="3089"/>
      <c r="E58" s="3089"/>
      <c r="F58" s="3089"/>
      <c r="G58" s="3089"/>
      <c r="H58" s="3089"/>
      <c r="I58" s="3089"/>
      <c r="J58" s="3089"/>
      <c r="K58" s="3089"/>
    </row>
    <row r="59" spans="1:11" s="501" customFormat="1">
      <c r="A59" s="3089"/>
      <c r="B59" s="3089"/>
      <c r="C59" s="3089"/>
      <c r="D59" s="3089"/>
      <c r="E59" s="3089"/>
      <c r="F59" s="3089"/>
      <c r="G59" s="3089"/>
      <c r="H59" s="3089"/>
      <c r="I59" s="3089"/>
      <c r="J59" s="3089"/>
      <c r="K59" s="3089"/>
    </row>
    <row r="60" spans="1:11" s="501" customFormat="1">
      <c r="A60" s="3089"/>
      <c r="B60" s="3089"/>
      <c r="C60" s="3089"/>
      <c r="D60" s="3089"/>
      <c r="E60" s="3089"/>
      <c r="F60" s="3089"/>
      <c r="G60" s="3089"/>
      <c r="H60" s="3089"/>
      <c r="I60" s="3089"/>
      <c r="J60" s="3089"/>
      <c r="K60" s="3089"/>
    </row>
    <row r="61" spans="1:11" s="501" customFormat="1">
      <c r="A61" s="3089"/>
      <c r="B61" s="3089"/>
      <c r="C61" s="3089"/>
      <c r="D61" s="3089"/>
      <c r="E61" s="3089"/>
      <c r="F61" s="3089"/>
      <c r="G61" s="3089"/>
      <c r="H61" s="3089"/>
      <c r="I61" s="3089"/>
      <c r="J61" s="3089"/>
      <c r="K61" s="3089"/>
    </row>
    <row r="62" spans="1:11" s="501" customFormat="1">
      <c r="A62" s="3089"/>
      <c r="B62" s="3089"/>
      <c r="C62" s="3089"/>
      <c r="D62" s="3089"/>
      <c r="E62" s="3089"/>
      <c r="F62" s="3089"/>
      <c r="G62" s="3089"/>
      <c r="H62" s="3089"/>
      <c r="I62" s="3089"/>
      <c r="J62" s="3089"/>
      <c r="K62" s="3089"/>
    </row>
    <row r="63" spans="1:11" s="501" customFormat="1">
      <c r="A63" s="3089"/>
      <c r="B63" s="3089"/>
      <c r="C63" s="3089"/>
      <c r="D63" s="3089"/>
      <c r="E63" s="3089"/>
      <c r="F63" s="3089"/>
      <c r="G63" s="3089"/>
      <c r="H63" s="3089"/>
      <c r="I63" s="3089"/>
      <c r="J63" s="3089"/>
      <c r="K63" s="3089"/>
    </row>
    <row r="64" spans="1:11" s="501" customFormat="1">
      <c r="A64" s="3089"/>
      <c r="B64" s="3089"/>
      <c r="C64" s="3089"/>
      <c r="D64" s="3089"/>
      <c r="E64" s="3089"/>
      <c r="F64" s="3089"/>
      <c r="G64" s="3089"/>
      <c r="H64" s="3089"/>
      <c r="I64" s="3089"/>
      <c r="J64" s="3089"/>
      <c r="K64" s="3089"/>
    </row>
    <row r="65" spans="1:11" s="501" customFormat="1">
      <c r="A65" s="3089"/>
      <c r="B65" s="3089"/>
      <c r="C65" s="3089"/>
      <c r="D65" s="3089"/>
      <c r="E65" s="3089"/>
      <c r="F65" s="3089"/>
      <c r="G65" s="3089"/>
      <c r="H65" s="3089"/>
      <c r="I65" s="3089"/>
      <c r="J65" s="3089"/>
      <c r="K65" s="3089"/>
    </row>
    <row r="66" spans="1:11" s="501" customFormat="1">
      <c r="A66" s="3089"/>
      <c r="B66" s="3089"/>
      <c r="C66" s="3089"/>
      <c r="D66" s="3089"/>
      <c r="E66" s="3089"/>
      <c r="F66" s="3089"/>
      <c r="G66" s="3089"/>
      <c r="H66" s="3089"/>
      <c r="I66" s="3089"/>
      <c r="J66" s="3089"/>
      <c r="K66" s="3089"/>
    </row>
    <row r="67" spans="1:11" s="501" customFormat="1">
      <c r="A67" s="3089"/>
      <c r="B67" s="3089"/>
      <c r="C67" s="3089"/>
      <c r="D67" s="3089"/>
      <c r="E67" s="3089"/>
      <c r="F67" s="3089"/>
      <c r="G67" s="3089"/>
      <c r="H67" s="3089"/>
      <c r="I67" s="3089"/>
      <c r="J67" s="3089"/>
      <c r="K67" s="3089"/>
    </row>
    <row r="68" spans="1:11" s="501" customFormat="1">
      <c r="A68" s="3089"/>
      <c r="B68" s="3089"/>
      <c r="C68" s="3089"/>
      <c r="D68" s="3089"/>
      <c r="E68" s="3089"/>
      <c r="F68" s="3089"/>
      <c r="G68" s="3089"/>
      <c r="H68" s="3089"/>
      <c r="I68" s="3089"/>
      <c r="J68" s="3089"/>
      <c r="K68" s="3089"/>
    </row>
    <row r="69" spans="1:11" s="501" customFormat="1">
      <c r="A69" s="3089"/>
      <c r="B69" s="3089"/>
      <c r="C69" s="3089"/>
      <c r="D69" s="3089"/>
      <c r="E69" s="3089"/>
      <c r="F69" s="3089"/>
      <c r="G69" s="3089"/>
      <c r="H69" s="3089"/>
      <c r="I69" s="3089"/>
      <c r="J69" s="3089"/>
      <c r="K69" s="3089"/>
    </row>
    <row r="70" spans="1:11" s="501" customFormat="1">
      <c r="A70" s="3089"/>
      <c r="B70" s="3089"/>
      <c r="C70" s="3089"/>
      <c r="D70" s="3089"/>
      <c r="E70" s="3089"/>
      <c r="F70" s="3089"/>
      <c r="G70" s="3089"/>
      <c r="H70" s="3089"/>
      <c r="I70" s="3089"/>
      <c r="J70" s="3089"/>
      <c r="K70" s="3089"/>
    </row>
    <row r="71" spans="1:11" s="501" customFormat="1">
      <c r="A71" s="3089"/>
      <c r="B71" s="3089"/>
      <c r="C71" s="3089"/>
      <c r="D71" s="3089"/>
      <c r="E71" s="3089"/>
      <c r="F71" s="3089"/>
      <c r="G71" s="3089"/>
      <c r="H71" s="3089"/>
      <c r="I71" s="3089"/>
      <c r="J71" s="3089"/>
      <c r="K71" s="3089"/>
    </row>
    <row r="72" spans="1:11" s="501" customFormat="1">
      <c r="A72" s="3089"/>
      <c r="B72" s="3089"/>
      <c r="C72" s="3089"/>
      <c r="D72" s="3089"/>
      <c r="E72" s="3089"/>
      <c r="F72" s="3089"/>
      <c r="G72" s="3089"/>
      <c r="H72" s="3089"/>
      <c r="I72" s="3089"/>
      <c r="J72" s="3089"/>
      <c r="K72" s="3089"/>
    </row>
    <row r="73" spans="1:11" s="501" customFormat="1">
      <c r="A73" s="3089"/>
      <c r="B73" s="3089"/>
      <c r="C73" s="3089"/>
      <c r="D73" s="3089"/>
      <c r="E73" s="3089"/>
      <c r="F73" s="3089"/>
      <c r="G73" s="3089"/>
      <c r="H73" s="3089"/>
      <c r="I73" s="3089"/>
      <c r="J73" s="3089"/>
      <c r="K73" s="3089"/>
    </row>
    <row r="74" spans="1:11" s="501" customFormat="1">
      <c r="A74" s="3089"/>
      <c r="B74" s="3089"/>
      <c r="C74" s="3089"/>
      <c r="D74" s="3089"/>
      <c r="E74" s="3089"/>
      <c r="F74" s="3089"/>
      <c r="G74" s="3089"/>
      <c r="H74" s="3089"/>
      <c r="I74" s="3089"/>
      <c r="J74" s="3089"/>
      <c r="K74" s="3089"/>
    </row>
    <row r="75" spans="1:11" s="501" customFormat="1">
      <c r="A75" s="3089"/>
      <c r="B75" s="3089"/>
      <c r="C75" s="3089"/>
      <c r="D75" s="3089"/>
      <c r="E75" s="3089"/>
      <c r="F75" s="3089"/>
      <c r="G75" s="3089"/>
      <c r="H75" s="3089"/>
      <c r="I75" s="3089"/>
      <c r="J75" s="3089"/>
      <c r="K75" s="3089"/>
    </row>
    <row r="76" spans="1:11" s="501" customFormat="1">
      <c r="A76" s="3089"/>
      <c r="B76" s="3089"/>
      <c r="C76" s="3089"/>
      <c r="D76" s="3089"/>
      <c r="E76" s="3089"/>
      <c r="F76" s="3089"/>
      <c r="G76" s="3089"/>
      <c r="H76" s="3089"/>
      <c r="I76" s="3089"/>
      <c r="J76" s="3089"/>
      <c r="K76" s="3089"/>
    </row>
    <row r="77" spans="1:11" s="501" customFormat="1">
      <c r="A77" s="3089"/>
      <c r="B77" s="3089"/>
      <c r="C77" s="3089"/>
      <c r="D77" s="3089"/>
      <c r="E77" s="3089"/>
      <c r="F77" s="3089"/>
      <c r="G77" s="3089"/>
      <c r="H77" s="3089"/>
      <c r="I77" s="3089"/>
      <c r="J77" s="3089"/>
      <c r="K77" s="3089"/>
    </row>
    <row r="78" spans="1:11" s="501" customFormat="1">
      <c r="A78" s="3089"/>
      <c r="B78" s="3089"/>
      <c r="C78" s="3089"/>
      <c r="D78" s="3089"/>
      <c r="E78" s="3089"/>
      <c r="F78" s="3089"/>
      <c r="G78" s="3089"/>
      <c r="H78" s="3089"/>
      <c r="I78" s="3089"/>
      <c r="J78" s="3089"/>
      <c r="K78" s="3089"/>
    </row>
    <row r="79" spans="1:11" s="501" customFormat="1">
      <c r="A79" s="3089"/>
      <c r="B79" s="3089"/>
      <c r="C79" s="3089"/>
      <c r="D79" s="3089"/>
      <c r="E79" s="3089"/>
      <c r="F79" s="3089"/>
      <c r="G79" s="3089"/>
      <c r="H79" s="3089"/>
      <c r="I79" s="3089"/>
      <c r="J79" s="3089"/>
      <c r="K79" s="3089"/>
    </row>
    <row r="80" spans="1:11" s="501" customFormat="1">
      <c r="A80" s="3089"/>
      <c r="B80" s="3089"/>
      <c r="C80" s="3089"/>
      <c r="D80" s="3089"/>
      <c r="E80" s="3089"/>
      <c r="F80" s="3089"/>
      <c r="G80" s="3089"/>
      <c r="H80" s="3089"/>
      <c r="I80" s="3089"/>
      <c r="J80" s="3089"/>
      <c r="K80" s="3089"/>
    </row>
    <row r="81" spans="1:11" s="501" customFormat="1">
      <c r="A81" s="3089"/>
      <c r="B81" s="3089"/>
      <c r="C81" s="3089"/>
      <c r="D81" s="3089"/>
      <c r="E81" s="3089"/>
      <c r="F81" s="3089"/>
      <c r="G81" s="3089"/>
      <c r="H81" s="3089"/>
      <c r="I81" s="3089"/>
      <c r="J81" s="3089"/>
      <c r="K81" s="3089"/>
    </row>
    <row r="82" spans="1:11" s="501" customFormat="1">
      <c r="A82" s="3089"/>
      <c r="B82" s="3089"/>
      <c r="C82" s="3089"/>
      <c r="D82" s="3089"/>
      <c r="E82" s="3089"/>
      <c r="F82" s="3089"/>
      <c r="G82" s="3089"/>
      <c r="H82" s="3089"/>
      <c r="I82" s="3089"/>
      <c r="J82" s="3089"/>
      <c r="K82" s="3089"/>
    </row>
    <row r="83" spans="1:11" s="501" customFormat="1">
      <c r="A83" s="3089"/>
      <c r="B83" s="3089"/>
      <c r="C83" s="3089"/>
      <c r="D83" s="3089"/>
      <c r="E83" s="3089"/>
      <c r="F83" s="3089"/>
      <c r="G83" s="3089"/>
      <c r="H83" s="3089"/>
      <c r="I83" s="3089"/>
      <c r="J83" s="3089"/>
      <c r="K83" s="3089"/>
    </row>
    <row r="84" spans="1:11" s="501" customFormat="1">
      <c r="A84" s="3089"/>
      <c r="B84" s="3089"/>
      <c r="C84" s="3089"/>
      <c r="D84" s="3089"/>
      <c r="E84" s="3089"/>
      <c r="F84" s="3089"/>
      <c r="G84" s="3089"/>
      <c r="H84" s="3089"/>
      <c r="I84" s="3089"/>
      <c r="J84" s="3089"/>
      <c r="K84" s="3089"/>
    </row>
    <row r="85" spans="1:11" s="501" customFormat="1">
      <c r="A85" s="3089"/>
      <c r="B85" s="3089"/>
      <c r="C85" s="3089"/>
      <c r="D85" s="3089"/>
      <c r="E85" s="3089"/>
      <c r="F85" s="3089"/>
      <c r="G85" s="3089"/>
      <c r="H85" s="3089"/>
      <c r="I85" s="3089"/>
      <c r="J85" s="3089"/>
      <c r="K85" s="3089"/>
    </row>
    <row r="86" spans="1:11" s="501" customFormat="1">
      <c r="A86" s="3089"/>
      <c r="B86" s="3089"/>
      <c r="C86" s="3089"/>
      <c r="D86" s="3089"/>
      <c r="E86" s="3089"/>
      <c r="F86" s="3089"/>
      <c r="G86" s="3089"/>
      <c r="H86" s="3089"/>
      <c r="I86" s="3089"/>
      <c r="J86" s="3089"/>
      <c r="K86" s="3089"/>
    </row>
    <row r="87" spans="1:11" s="501" customFormat="1">
      <c r="A87" s="3089"/>
      <c r="B87" s="3089"/>
      <c r="C87" s="3089"/>
      <c r="D87" s="3089"/>
      <c r="E87" s="3089"/>
      <c r="F87" s="3089"/>
      <c r="G87" s="3089"/>
      <c r="H87" s="3089"/>
      <c r="I87" s="3089"/>
      <c r="J87" s="3089"/>
      <c r="K87" s="3089"/>
    </row>
    <row r="88" spans="1:11" s="501" customFormat="1">
      <c r="A88" s="3089"/>
      <c r="B88" s="3089"/>
      <c r="C88" s="3089"/>
      <c r="D88" s="3089"/>
      <c r="E88" s="3089"/>
      <c r="F88" s="3089"/>
      <c r="G88" s="3089"/>
      <c r="H88" s="3089"/>
      <c r="I88" s="3089"/>
      <c r="J88" s="3089"/>
      <c r="K88" s="3089"/>
    </row>
    <row r="89" spans="1:11" s="501" customFormat="1">
      <c r="A89" s="3089"/>
      <c r="B89" s="3089"/>
      <c r="C89" s="3089"/>
      <c r="D89" s="3089"/>
      <c r="E89" s="3089"/>
      <c r="F89" s="3089"/>
      <c r="G89" s="3089"/>
      <c r="H89" s="3089"/>
      <c r="I89" s="3089"/>
      <c r="J89" s="3089"/>
      <c r="K89" s="3089"/>
    </row>
    <row r="90" spans="1:11" s="501" customFormat="1">
      <c r="A90" s="3089"/>
      <c r="B90" s="3089"/>
      <c r="C90" s="3089"/>
      <c r="D90" s="3089"/>
      <c r="E90" s="3089"/>
      <c r="F90" s="3089"/>
      <c r="G90" s="3089"/>
      <c r="H90" s="3089"/>
      <c r="I90" s="3089"/>
      <c r="J90" s="3089"/>
      <c r="K90" s="3089"/>
    </row>
    <row r="91" spans="1:11" s="501" customFormat="1">
      <c r="A91" s="3089"/>
      <c r="B91" s="3089"/>
      <c r="C91" s="3089"/>
      <c r="D91" s="3089"/>
      <c r="E91" s="3089"/>
      <c r="F91" s="3089"/>
      <c r="G91" s="3089"/>
      <c r="H91" s="3089"/>
      <c r="I91" s="3089"/>
      <c r="J91" s="3089"/>
      <c r="K91" s="3089"/>
    </row>
    <row r="92" spans="1:11" s="501" customFormat="1">
      <c r="A92" s="3089"/>
      <c r="B92" s="3089"/>
      <c r="C92" s="3089"/>
      <c r="D92" s="3089"/>
      <c r="E92" s="3089"/>
      <c r="F92" s="3089"/>
      <c r="G92" s="3089"/>
      <c r="H92" s="3089"/>
      <c r="I92" s="3089"/>
      <c r="J92" s="3089"/>
      <c r="K92" s="3089"/>
    </row>
    <row r="93" spans="1:11" s="501" customFormat="1">
      <c r="A93" s="3089"/>
      <c r="B93" s="3089"/>
      <c r="C93" s="3089"/>
      <c r="D93" s="3089"/>
      <c r="E93" s="3089"/>
      <c r="F93" s="3089"/>
      <c r="G93" s="3089"/>
      <c r="H93" s="3089"/>
      <c r="I93" s="3089"/>
      <c r="J93" s="3089"/>
      <c r="K93" s="3089"/>
    </row>
    <row r="94" spans="1:11" s="501" customFormat="1">
      <c r="A94" s="3089"/>
      <c r="B94" s="3089"/>
      <c r="C94" s="3089"/>
      <c r="D94" s="3089"/>
      <c r="E94" s="3089"/>
      <c r="F94" s="3089"/>
      <c r="G94" s="3089"/>
      <c r="H94" s="3089"/>
      <c r="I94" s="3089"/>
      <c r="J94" s="3089"/>
      <c r="K94" s="3089"/>
    </row>
    <row r="95" spans="1:11" s="501" customFormat="1">
      <c r="A95" s="3089"/>
      <c r="B95" s="3089"/>
      <c r="C95" s="3089"/>
      <c r="D95" s="3089"/>
      <c r="E95" s="3089"/>
      <c r="F95" s="3089"/>
      <c r="G95" s="3089"/>
      <c r="H95" s="3089"/>
      <c r="I95" s="3089"/>
      <c r="J95" s="3089"/>
      <c r="K95" s="3089"/>
    </row>
    <row r="96" spans="1:11" s="501" customFormat="1">
      <c r="A96" s="3089"/>
      <c r="B96" s="3089"/>
      <c r="C96" s="3089"/>
      <c r="D96" s="3089"/>
      <c r="E96" s="3089"/>
      <c r="F96" s="3089"/>
      <c r="G96" s="3089"/>
      <c r="H96" s="3089"/>
      <c r="I96" s="3089"/>
      <c r="J96" s="3089"/>
      <c r="K96" s="3089"/>
    </row>
    <row r="97" spans="1:11" s="501" customFormat="1">
      <c r="A97" s="3089"/>
      <c r="B97" s="3089"/>
      <c r="C97" s="3089"/>
      <c r="D97" s="3089"/>
      <c r="E97" s="3089"/>
      <c r="F97" s="3089"/>
      <c r="G97" s="3089"/>
      <c r="H97" s="3089"/>
      <c r="I97" s="3089"/>
      <c r="J97" s="3089"/>
      <c r="K97" s="3089"/>
    </row>
    <row r="98" spans="1:11" s="501" customFormat="1">
      <c r="A98" s="3089"/>
      <c r="B98" s="3089"/>
      <c r="C98" s="3089"/>
      <c r="D98" s="3089"/>
      <c r="E98" s="3089"/>
      <c r="F98" s="3089"/>
      <c r="G98" s="3089"/>
      <c r="H98" s="3089"/>
      <c r="I98" s="3089"/>
      <c r="J98" s="3089"/>
      <c r="K98" s="3089"/>
    </row>
    <row r="99" spans="1:11" s="501" customFormat="1">
      <c r="A99" s="3089"/>
      <c r="B99" s="3089"/>
      <c r="C99" s="3089"/>
      <c r="D99" s="3089"/>
      <c r="E99" s="3089"/>
      <c r="F99" s="3089"/>
      <c r="G99" s="3089"/>
      <c r="H99" s="3089"/>
      <c r="I99" s="3089"/>
      <c r="J99" s="3089"/>
      <c r="K99" s="3089"/>
    </row>
    <row r="100" spans="1:11" s="501" customFormat="1">
      <c r="A100" s="3089"/>
      <c r="B100" s="3089"/>
      <c r="C100" s="3089"/>
      <c r="D100" s="3089"/>
      <c r="E100" s="3089"/>
      <c r="F100" s="3089"/>
      <c r="G100" s="3089"/>
      <c r="H100" s="3089"/>
      <c r="I100" s="3089"/>
      <c r="J100" s="3089"/>
      <c r="K100" s="3089"/>
    </row>
    <row r="101" spans="1:11" s="501" customFormat="1">
      <c r="A101" s="3089"/>
      <c r="B101" s="3089"/>
      <c r="C101" s="3089"/>
      <c r="D101" s="3089"/>
      <c r="E101" s="3089"/>
      <c r="F101" s="3089"/>
      <c r="G101" s="3089"/>
      <c r="H101" s="3089"/>
      <c r="I101" s="3089"/>
      <c r="J101" s="3089"/>
      <c r="K101" s="3089"/>
    </row>
    <row r="102" spans="1:11" s="501" customFormat="1">
      <c r="A102" s="3089"/>
      <c r="B102" s="3089"/>
      <c r="C102" s="3089"/>
      <c r="D102" s="3089"/>
      <c r="E102" s="3089"/>
      <c r="F102" s="3089"/>
      <c r="G102" s="3089"/>
      <c r="H102" s="3089"/>
      <c r="I102" s="3089"/>
      <c r="J102" s="3089"/>
      <c r="K102" s="3089"/>
    </row>
    <row r="103" spans="1:11" s="501" customFormat="1">
      <c r="A103" s="3089"/>
      <c r="B103" s="3089"/>
      <c r="C103" s="3089"/>
      <c r="D103" s="3089"/>
      <c r="E103" s="3089"/>
      <c r="F103" s="3089"/>
      <c r="G103" s="3089"/>
      <c r="H103" s="3089"/>
      <c r="I103" s="3089"/>
      <c r="J103" s="3089"/>
      <c r="K103" s="3089"/>
    </row>
    <row r="104" spans="1:11" s="501" customFormat="1">
      <c r="A104" s="3089"/>
      <c r="B104" s="3089"/>
      <c r="C104" s="3089"/>
      <c r="D104" s="3089"/>
      <c r="E104" s="3089"/>
      <c r="F104" s="3089"/>
      <c r="G104" s="3089"/>
      <c r="H104" s="3089"/>
      <c r="I104" s="3089"/>
      <c r="J104" s="3089"/>
      <c r="K104" s="3089"/>
    </row>
    <row r="105" spans="1:11" s="501" customFormat="1">
      <c r="A105" s="3089"/>
      <c r="B105" s="3089"/>
      <c r="C105" s="3089"/>
      <c r="D105" s="3089"/>
      <c r="E105" s="3089"/>
      <c r="F105" s="3089"/>
      <c r="G105" s="3089"/>
      <c r="H105" s="3089"/>
      <c r="I105" s="3089"/>
      <c r="J105" s="3089"/>
      <c r="K105" s="3089"/>
    </row>
    <row r="106" spans="1:11" s="501" customFormat="1">
      <c r="A106" s="3089"/>
      <c r="B106" s="3089"/>
      <c r="C106" s="3089"/>
      <c r="D106" s="3089"/>
      <c r="E106" s="3089"/>
      <c r="F106" s="3089"/>
      <c r="G106" s="3089"/>
      <c r="H106" s="3089"/>
      <c r="I106" s="3089"/>
      <c r="J106" s="3089"/>
      <c r="K106" s="3089"/>
    </row>
    <row r="107" spans="1:11" s="501" customFormat="1">
      <c r="A107" s="3089"/>
      <c r="B107" s="3089"/>
      <c r="C107" s="3089"/>
      <c r="D107" s="3089"/>
      <c r="E107" s="3089"/>
      <c r="F107" s="3089"/>
      <c r="G107" s="3089"/>
      <c r="H107" s="3089"/>
      <c r="I107" s="3089"/>
      <c r="J107" s="3089"/>
      <c r="K107" s="3089"/>
    </row>
    <row r="108" spans="1:11" s="501" customFormat="1">
      <c r="A108" s="3089"/>
      <c r="B108" s="3089"/>
      <c r="C108" s="3089"/>
      <c r="D108" s="3089"/>
      <c r="E108" s="3089"/>
      <c r="F108" s="3089"/>
      <c r="G108" s="3089"/>
      <c r="H108" s="3089"/>
      <c r="I108" s="3089"/>
      <c r="J108" s="3089"/>
      <c r="K108" s="3089"/>
    </row>
    <row r="109" spans="1:11" s="501" customFormat="1">
      <c r="A109" s="3089"/>
      <c r="B109" s="3089"/>
      <c r="C109" s="3089"/>
      <c r="D109" s="3089"/>
      <c r="E109" s="3089"/>
      <c r="F109" s="3089"/>
      <c r="G109" s="3089"/>
      <c r="H109" s="3089"/>
      <c r="I109" s="3089"/>
      <c r="J109" s="3089"/>
      <c r="K109" s="3089"/>
    </row>
    <row r="110" spans="1:11" s="501" customFormat="1">
      <c r="A110" s="3089"/>
      <c r="B110" s="3089"/>
      <c r="C110" s="3089"/>
      <c r="D110" s="3089"/>
      <c r="E110" s="3089"/>
      <c r="F110" s="3089"/>
      <c r="G110" s="3089"/>
      <c r="H110" s="3089"/>
      <c r="I110" s="3089"/>
      <c r="J110" s="3089"/>
      <c r="K110" s="3089"/>
    </row>
    <row r="111" spans="1:11" s="501" customFormat="1">
      <c r="A111" s="3089"/>
      <c r="B111" s="3089"/>
      <c r="C111" s="3089"/>
      <c r="D111" s="3089"/>
      <c r="E111" s="3089"/>
      <c r="F111" s="3089"/>
      <c r="G111" s="3089"/>
      <c r="H111" s="3089"/>
      <c r="I111" s="3089"/>
      <c r="J111" s="3089"/>
      <c r="K111" s="3089"/>
    </row>
    <row r="112" spans="1:11" s="501" customFormat="1">
      <c r="A112" s="3089"/>
      <c r="B112" s="3089"/>
      <c r="C112" s="3089"/>
      <c r="D112" s="3089"/>
      <c r="E112" s="3089"/>
      <c r="F112" s="3089"/>
      <c r="G112" s="3089"/>
      <c r="H112" s="3089"/>
      <c r="I112" s="3089"/>
      <c r="J112" s="3089"/>
      <c r="K112" s="3089"/>
    </row>
    <row r="113" spans="1:11" s="501" customFormat="1">
      <c r="A113" s="3089"/>
      <c r="B113" s="3089"/>
      <c r="C113" s="3089"/>
      <c r="D113" s="3089"/>
      <c r="E113" s="3089"/>
      <c r="F113" s="3089"/>
      <c r="G113" s="3089"/>
      <c r="H113" s="3089"/>
      <c r="I113" s="3089"/>
      <c r="J113" s="3089"/>
      <c r="K113" s="3089"/>
    </row>
    <row r="114" spans="1:11" s="501" customFormat="1">
      <c r="A114" s="3089"/>
      <c r="B114" s="3089"/>
      <c r="C114" s="3089"/>
      <c r="D114" s="3089"/>
      <c r="E114" s="3089"/>
      <c r="F114" s="3089"/>
      <c r="G114" s="3089"/>
      <c r="H114" s="3089"/>
      <c r="I114" s="3089"/>
      <c r="J114" s="3089"/>
      <c r="K114" s="3089"/>
    </row>
    <row r="115" spans="1:11" s="501" customFormat="1">
      <c r="A115" s="3089"/>
      <c r="B115" s="3089"/>
      <c r="C115" s="3089"/>
      <c r="D115" s="3089"/>
      <c r="E115" s="3089"/>
      <c r="F115" s="3089"/>
      <c r="G115" s="3089"/>
      <c r="H115" s="3089"/>
      <c r="I115" s="3089"/>
      <c r="J115" s="3089"/>
      <c r="K115" s="3089"/>
    </row>
    <row r="116" spans="1:11" s="501" customFormat="1">
      <c r="A116" s="3089"/>
      <c r="B116" s="3089"/>
      <c r="C116" s="3089"/>
      <c r="D116" s="3089"/>
      <c r="E116" s="3089"/>
      <c r="F116" s="3089"/>
      <c r="G116" s="3089"/>
      <c r="H116" s="3089"/>
      <c r="I116" s="3089"/>
      <c r="J116" s="3089"/>
      <c r="K116" s="3089"/>
    </row>
    <row r="117" spans="1:11" s="501" customFormat="1">
      <c r="A117" s="3089"/>
      <c r="B117" s="3089"/>
      <c r="C117" s="3089"/>
      <c r="D117" s="3089"/>
      <c r="E117" s="3089"/>
      <c r="F117" s="3089"/>
      <c r="G117" s="3089"/>
      <c r="H117" s="3089"/>
      <c r="I117" s="3089"/>
      <c r="J117" s="3089"/>
      <c r="K117" s="3089"/>
    </row>
    <row r="118" spans="1:11" s="501" customFormat="1">
      <c r="A118" s="3089"/>
      <c r="B118" s="3089"/>
      <c r="C118" s="3089"/>
      <c r="D118" s="3089"/>
      <c r="E118" s="3089"/>
      <c r="F118" s="3089"/>
      <c r="G118" s="3089"/>
      <c r="H118" s="3089"/>
      <c r="I118" s="3089"/>
      <c r="J118" s="3089"/>
      <c r="K118" s="3089"/>
    </row>
    <row r="119" spans="1:11" s="501" customFormat="1">
      <c r="A119" s="3089"/>
      <c r="B119" s="3089"/>
      <c r="C119" s="3089"/>
      <c r="D119" s="3089"/>
      <c r="E119" s="3089"/>
      <c r="F119" s="3089"/>
      <c r="G119" s="3089"/>
      <c r="H119" s="3089"/>
      <c r="I119" s="3089"/>
      <c r="J119" s="3089"/>
      <c r="K119" s="3089"/>
    </row>
    <row r="120" spans="1:11" s="501" customFormat="1">
      <c r="A120" s="3089"/>
      <c r="B120" s="3089"/>
      <c r="C120" s="3089"/>
      <c r="D120" s="3089"/>
      <c r="E120" s="3089"/>
      <c r="F120" s="3089"/>
      <c r="G120" s="3089"/>
      <c r="H120" s="3089"/>
      <c r="I120" s="3089"/>
      <c r="J120" s="3089"/>
      <c r="K120" s="3089"/>
    </row>
    <row r="121" spans="1:11" s="501" customFormat="1">
      <c r="A121" s="3089"/>
      <c r="B121" s="3089"/>
      <c r="C121" s="3089"/>
      <c r="D121" s="3089"/>
      <c r="E121" s="3089"/>
      <c r="F121" s="3089"/>
      <c r="G121" s="3089"/>
      <c r="H121" s="3089"/>
      <c r="I121" s="3089"/>
      <c r="J121" s="3089"/>
      <c r="K121" s="3089"/>
    </row>
    <row r="122" spans="1:11" s="501" customFormat="1">
      <c r="A122" s="3089"/>
      <c r="B122" s="3089"/>
      <c r="C122" s="3089"/>
      <c r="D122" s="3089"/>
      <c r="E122" s="3089"/>
      <c r="F122" s="3089"/>
      <c r="G122" s="3089"/>
      <c r="H122" s="3089"/>
      <c r="I122" s="3089"/>
      <c r="J122" s="3089"/>
      <c r="K122" s="3089"/>
    </row>
    <row r="123" spans="1:11" s="501" customFormat="1">
      <c r="A123" s="3089"/>
      <c r="B123" s="3089"/>
      <c r="C123" s="3089"/>
      <c r="D123" s="3089"/>
      <c r="E123" s="3089"/>
      <c r="F123" s="3089"/>
      <c r="G123" s="3089"/>
      <c r="H123" s="3089"/>
      <c r="I123" s="3089"/>
      <c r="J123" s="3089"/>
      <c r="K123" s="3089"/>
    </row>
    <row r="124" spans="1:11" s="501" customFormat="1">
      <c r="A124" s="3089"/>
      <c r="B124" s="3089"/>
      <c r="C124" s="3089"/>
      <c r="D124" s="3089"/>
      <c r="E124" s="3089"/>
      <c r="F124" s="3089"/>
      <c r="G124" s="3089"/>
      <c r="H124" s="3089"/>
      <c r="I124" s="3089"/>
      <c r="J124" s="3089"/>
      <c r="K124" s="3089"/>
    </row>
    <row r="125" spans="1:11" s="501" customFormat="1">
      <c r="A125" s="3089"/>
      <c r="B125" s="3089"/>
      <c r="C125" s="3089"/>
      <c r="D125" s="3089"/>
      <c r="E125" s="3089"/>
      <c r="F125" s="3089"/>
      <c r="G125" s="3089"/>
      <c r="H125" s="3089"/>
      <c r="I125" s="3089"/>
      <c r="J125" s="3089"/>
      <c r="K125" s="3089"/>
    </row>
    <row r="126" spans="1:11" s="501" customFormat="1">
      <c r="A126" s="3089"/>
      <c r="B126" s="3089"/>
      <c r="C126" s="3089"/>
      <c r="D126" s="3089"/>
      <c r="E126" s="3089"/>
      <c r="F126" s="3089"/>
      <c r="G126" s="3089"/>
      <c r="H126" s="3089"/>
      <c r="I126" s="3089"/>
      <c r="J126" s="3089"/>
      <c r="K126" s="3089"/>
    </row>
    <row r="127" spans="1:11" s="501" customFormat="1">
      <c r="A127" s="3089"/>
      <c r="B127" s="3089"/>
      <c r="C127" s="3089"/>
      <c r="D127" s="3089"/>
      <c r="E127" s="3089"/>
      <c r="F127" s="3089"/>
      <c r="G127" s="3089"/>
      <c r="H127" s="3089"/>
      <c r="I127" s="3089"/>
      <c r="J127" s="3089"/>
      <c r="K127" s="3089"/>
    </row>
    <row r="128" spans="1:11" s="501" customFormat="1">
      <c r="A128" s="3089"/>
      <c r="B128" s="3089"/>
      <c r="C128" s="3089"/>
      <c r="D128" s="3089"/>
      <c r="E128" s="3089"/>
      <c r="F128" s="3089"/>
      <c r="G128" s="3089"/>
      <c r="H128" s="3089"/>
      <c r="I128" s="3089"/>
      <c r="J128" s="3089"/>
      <c r="K128" s="3089"/>
    </row>
    <row r="129" spans="1:11" s="501" customFormat="1">
      <c r="A129" s="3089"/>
      <c r="B129" s="3089"/>
      <c r="C129" s="3089"/>
      <c r="D129" s="3089"/>
      <c r="E129" s="3089"/>
      <c r="F129" s="3089"/>
      <c r="G129" s="3089"/>
      <c r="H129" s="3089"/>
      <c r="I129" s="3089"/>
      <c r="J129" s="3089"/>
      <c r="K129" s="3089"/>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 ref="A96:K96"/>
    <mergeCell ref="A97:K97"/>
    <mergeCell ref="A100:K100"/>
    <mergeCell ref="A101:K101"/>
    <mergeCell ref="A108:K108"/>
    <mergeCell ref="A109:K109"/>
    <mergeCell ref="A98:K98"/>
    <mergeCell ref="A99:K99"/>
    <mergeCell ref="A112:K112"/>
    <mergeCell ref="A113:K113"/>
    <mergeCell ref="A102:K102"/>
    <mergeCell ref="A103:K103"/>
    <mergeCell ref="A104:K104"/>
    <mergeCell ref="A105:K105"/>
    <mergeCell ref="A110:K110"/>
    <mergeCell ref="A111:K111"/>
    <mergeCell ref="A106:K106"/>
    <mergeCell ref="A107:K107"/>
    <mergeCell ref="A94:K94"/>
    <mergeCell ref="A95:K95"/>
    <mergeCell ref="A92:K92"/>
    <mergeCell ref="A93:K93"/>
    <mergeCell ref="A88:K88"/>
    <mergeCell ref="A89:K89"/>
    <mergeCell ref="A90:K90"/>
    <mergeCell ref="A91:K91"/>
    <mergeCell ref="A72:K72"/>
    <mergeCell ref="A73:K73"/>
    <mergeCell ref="A84:K84"/>
    <mergeCell ref="A85:K85"/>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32:K32"/>
    <mergeCell ref="A31:K31"/>
    <mergeCell ref="A29:K29"/>
    <mergeCell ref="A30:K30"/>
    <mergeCell ref="A46:K46"/>
    <mergeCell ref="A51:K51"/>
    <mergeCell ref="A36:K36"/>
    <mergeCell ref="A37:K37"/>
    <mergeCell ref="A33:K33"/>
    <mergeCell ref="A34:K34"/>
    <mergeCell ref="A35:K35"/>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59765625" style="502" customWidth="1"/>
    <col min="2" max="2" width="13.19921875" style="502" customWidth="1"/>
    <col min="3" max="3" width="10.69921875" style="502" customWidth="1"/>
    <col min="4" max="4" width="4.5" style="502" customWidth="1"/>
    <col min="5" max="8" width="10.69921875" style="502" customWidth="1"/>
    <col min="9" max="9" width="55.59765625" style="502" customWidth="1"/>
    <col min="10" max="16384" width="9" style="502"/>
  </cols>
  <sheetData>
    <row r="1" spans="1:10" ht="33" customHeight="1">
      <c r="A1" s="3101" t="s">
        <v>341</v>
      </c>
      <c r="B1" s="3101"/>
      <c r="C1" s="3101"/>
      <c r="D1" s="3101"/>
      <c r="E1" s="3101"/>
      <c r="F1" s="3101"/>
      <c r="G1" s="3101"/>
      <c r="H1" s="3101"/>
      <c r="I1" s="144"/>
      <c r="J1" s="144"/>
    </row>
    <row r="2" spans="1:10" ht="17.25" customHeight="1">
      <c r="A2" s="3102" t="str">
        <f>"委托单位："&amp;基本情况!B2</f>
        <v>委托单位：0</v>
      </c>
      <c r="B2" s="3102"/>
      <c r="C2" s="3102"/>
      <c r="D2" s="3102"/>
      <c r="E2" s="509"/>
      <c r="F2" s="136" t="s">
        <v>1282</v>
      </c>
      <c r="G2" s="136" t="s">
        <v>1053</v>
      </c>
      <c r="H2" s="485" t="s">
        <v>283</v>
      </c>
      <c r="I2" s="144"/>
      <c r="J2" s="144"/>
    </row>
    <row r="3" spans="1:10" ht="17.25" customHeight="1">
      <c r="A3" s="3102"/>
      <c r="B3" s="3102"/>
      <c r="C3" s="3102"/>
      <c r="D3" s="3102"/>
      <c r="E3" s="158" t="s">
        <v>450</v>
      </c>
      <c r="F3" s="510">
        <f>基本情况!B12</f>
        <v>0</v>
      </c>
      <c r="G3" s="511" t="str">
        <f>TEXT(基本情况!B21,"yyyy-mm-dd")</f>
        <v>2017-03-16</v>
      </c>
      <c r="H3" s="3103" t="str">
        <f>档案索引!A35</f>
        <v>2A-15</v>
      </c>
      <c r="I3" s="144"/>
      <c r="J3" s="144"/>
    </row>
    <row r="4" spans="1:10" ht="17.25" customHeight="1">
      <c r="A4" s="3104" t="str">
        <f>"会计期间:"&amp;基本情况!B7</f>
        <v>会计期间:2016年01月01日至2016年12月31日</v>
      </c>
      <c r="B4" s="3104"/>
      <c r="C4" s="3104"/>
      <c r="D4" s="3104"/>
      <c r="E4" s="140" t="s">
        <v>452</v>
      </c>
      <c r="F4" s="513">
        <f>基本情况!B11</f>
        <v>0</v>
      </c>
      <c r="G4" s="514" t="str">
        <f>TEXT(基本情况!B22,"yyyy-mm-dd")</f>
        <v>2017-05-04</v>
      </c>
      <c r="H4" s="3103"/>
      <c r="I4" s="144"/>
      <c r="J4" s="144"/>
    </row>
    <row r="5" spans="1:10" ht="7.5" customHeight="1">
      <c r="A5" s="3107"/>
      <c r="B5" s="3107"/>
      <c r="C5" s="3107"/>
      <c r="D5" s="3107"/>
      <c r="E5" s="3107"/>
      <c r="F5" s="3107"/>
      <c r="G5" s="3107"/>
      <c r="H5" s="3107"/>
      <c r="I5" s="144"/>
      <c r="J5" s="144"/>
    </row>
    <row r="6" spans="1:10" ht="22.5" customHeight="1">
      <c r="A6" s="3046" t="s">
        <v>665</v>
      </c>
      <c r="B6" s="3046"/>
      <c r="C6" s="3108" t="s">
        <v>1283</v>
      </c>
      <c r="D6" s="3108"/>
      <c r="E6" s="515" t="s">
        <v>1284</v>
      </c>
      <c r="F6" s="515" t="s">
        <v>1285</v>
      </c>
      <c r="G6" s="515" t="s">
        <v>1286</v>
      </c>
      <c r="H6" s="485" t="s">
        <v>6487</v>
      </c>
      <c r="I6" s="1332" t="s">
        <v>6088</v>
      </c>
      <c r="J6" s="144"/>
    </row>
    <row r="7" spans="1:10" ht="18" customHeight="1">
      <c r="A7" s="2925" t="s">
        <v>1287</v>
      </c>
      <c r="B7" s="2925"/>
      <c r="C7" s="3105">
        <f>制造费用、生产成本!C11+制造费用、生产成本!C15</f>
        <v>0</v>
      </c>
      <c r="D7" s="3105"/>
      <c r="E7" s="1108"/>
      <c r="F7" s="1109"/>
      <c r="G7" s="1110"/>
      <c r="H7" s="517"/>
      <c r="I7" s="493" t="s">
        <v>1288</v>
      </c>
      <c r="J7" s="144"/>
    </row>
    <row r="8" spans="1:10" ht="18" customHeight="1">
      <c r="A8" s="2925" t="s">
        <v>1289</v>
      </c>
      <c r="B8" s="2925"/>
      <c r="C8" s="3105">
        <f>制造费用、生产成本!C22</f>
        <v>0</v>
      </c>
      <c r="D8" s="3105"/>
      <c r="E8" s="518">
        <f>制造费用、生产成本!C23</f>
        <v>0</v>
      </c>
      <c r="F8" s="518">
        <f>制造费用、生产成本!C24</f>
        <v>0</v>
      </c>
      <c r="G8" s="1111"/>
      <c r="H8" s="519"/>
      <c r="I8" s="493" t="s">
        <v>642</v>
      </c>
      <c r="J8" s="144"/>
    </row>
    <row r="9" spans="1:10" ht="18" customHeight="1">
      <c r="A9" s="3080" t="s">
        <v>1290</v>
      </c>
      <c r="B9" s="3080"/>
      <c r="C9" s="3105">
        <f>营业费用!H6</f>
        <v>0</v>
      </c>
      <c r="D9" s="3105"/>
      <c r="E9" s="518">
        <f>营业费用!H7</f>
        <v>0</v>
      </c>
      <c r="F9" s="518">
        <f>营业费用!H8</f>
        <v>0</v>
      </c>
      <c r="G9" s="520">
        <f>营业费用!H9</f>
        <v>0</v>
      </c>
      <c r="H9" s="519"/>
      <c r="I9" s="493" t="s">
        <v>1291</v>
      </c>
      <c r="J9" s="144"/>
    </row>
    <row r="10" spans="1:10" ht="18" customHeight="1">
      <c r="A10" s="3080" t="s">
        <v>1292</v>
      </c>
      <c r="B10" s="3080"/>
      <c r="C10" s="3105">
        <f>管理费用!H6</f>
        <v>0</v>
      </c>
      <c r="D10" s="3105"/>
      <c r="E10" s="518">
        <f>管理费用!H7</f>
        <v>0</v>
      </c>
      <c r="F10" s="518">
        <f>管理费用!H8</f>
        <v>0</v>
      </c>
      <c r="G10" s="520">
        <f>管理费用!H9</f>
        <v>0</v>
      </c>
      <c r="H10" s="519"/>
      <c r="I10" s="493" t="s">
        <v>320</v>
      </c>
      <c r="J10" s="144"/>
    </row>
    <row r="11" spans="1:10" ht="18" customHeight="1">
      <c r="A11" s="3080" t="s">
        <v>1293</v>
      </c>
      <c r="B11" s="3080"/>
      <c r="C11" s="3106"/>
      <c r="D11" s="3106"/>
      <c r="E11" s="1110"/>
      <c r="F11" s="1110"/>
      <c r="G11" s="1112"/>
      <c r="H11" s="519"/>
      <c r="I11" s="493" t="s">
        <v>324</v>
      </c>
      <c r="J11" s="144"/>
    </row>
    <row r="12" spans="1:10" ht="18" customHeight="1">
      <c r="A12" s="2925" t="s">
        <v>1284</v>
      </c>
      <c r="B12" s="2925"/>
      <c r="C12" s="3106"/>
      <c r="D12" s="3106"/>
      <c r="E12" s="1113"/>
      <c r="F12" s="1113"/>
      <c r="G12" s="1112"/>
      <c r="H12" s="519"/>
      <c r="I12" s="232" t="s">
        <v>1294</v>
      </c>
      <c r="J12" s="144"/>
    </row>
    <row r="13" spans="1:10" ht="18" customHeight="1">
      <c r="A13" s="2925" t="s">
        <v>1295</v>
      </c>
      <c r="B13" s="2925"/>
      <c r="C13" s="3106"/>
      <c r="D13" s="3106"/>
      <c r="E13" s="1113"/>
      <c r="F13" s="1113"/>
      <c r="G13" s="1112"/>
      <c r="H13" s="519"/>
      <c r="I13" s="232" t="s">
        <v>1296</v>
      </c>
      <c r="J13" s="144"/>
    </row>
    <row r="14" spans="1:10" ht="18" customHeight="1">
      <c r="A14" s="2925" t="s">
        <v>1297</v>
      </c>
      <c r="B14" s="2925"/>
      <c r="C14" s="3110">
        <f>SUM(C7:D13)</f>
        <v>0</v>
      </c>
      <c r="D14" s="3110"/>
      <c r="E14" s="522">
        <f>SUM(E7:E13)</f>
        <v>0</v>
      </c>
      <c r="F14" s="522">
        <f>SUM(F7:F13)</f>
        <v>0</v>
      </c>
      <c r="G14" s="522">
        <f>SUM(G7:G13)</f>
        <v>0</v>
      </c>
      <c r="H14" s="519"/>
      <c r="I14" s="232" t="s">
        <v>1298</v>
      </c>
      <c r="J14" s="144"/>
    </row>
    <row r="15" spans="1:10" ht="18" customHeight="1">
      <c r="A15" s="2925" t="s">
        <v>10085</v>
      </c>
      <c r="B15" s="2925"/>
      <c r="C15" s="3106"/>
      <c r="D15" s="3106"/>
      <c r="E15" s="1108"/>
      <c r="F15" s="1108"/>
      <c r="G15" s="1114"/>
      <c r="H15" s="519"/>
      <c r="I15" s="3112" t="s">
        <v>1299</v>
      </c>
      <c r="J15" s="144"/>
    </row>
    <row r="16" spans="1:10" ht="18" customHeight="1">
      <c r="A16" s="2925" t="s">
        <v>10086</v>
      </c>
      <c r="B16" s="2925"/>
      <c r="C16" s="3111">
        <f>C14+C15</f>
        <v>0</v>
      </c>
      <c r="D16" s="3111"/>
      <c r="E16" s="525">
        <f>E14+E15</f>
        <v>0</v>
      </c>
      <c r="F16" s="525">
        <f>F14+F15</f>
        <v>0</v>
      </c>
      <c r="G16" s="525">
        <f>G14+G15</f>
        <v>0</v>
      </c>
      <c r="H16" s="519"/>
      <c r="I16" s="3112"/>
      <c r="J16" s="144"/>
    </row>
    <row r="17" spans="1:10" ht="18" customHeight="1">
      <c r="A17" s="2925" t="s">
        <v>1300</v>
      </c>
      <c r="B17" s="2925"/>
      <c r="C17" s="3111">
        <f>IF(C18&gt;0,C16-C18,C16)</f>
        <v>0</v>
      </c>
      <c r="D17" s="3111"/>
      <c r="E17" s="525">
        <f>IF(E18&gt;0,E16-E18,E16)</f>
        <v>0</v>
      </c>
      <c r="F17" s="525">
        <f>MIN(C17*G34,F16+F20)</f>
        <v>0</v>
      </c>
      <c r="G17" s="525">
        <f>IF(G18&gt;0,G16-G18,G16)</f>
        <v>0</v>
      </c>
      <c r="H17" s="519"/>
      <c r="I17" s="3112"/>
      <c r="J17" s="144"/>
    </row>
    <row r="18" spans="1:10" ht="18" customHeight="1">
      <c r="A18" s="3080" t="s">
        <v>1301</v>
      </c>
      <c r="B18" s="3080"/>
      <c r="C18" s="3111">
        <f>G27+G28</f>
        <v>0</v>
      </c>
      <c r="D18" s="3111"/>
      <c r="E18" s="525">
        <f>G29+G30+G31+G32</f>
        <v>0</v>
      </c>
      <c r="F18" s="525">
        <f>F16-F17</f>
        <v>0</v>
      </c>
      <c r="G18" s="525">
        <f>G35+G36+G37</f>
        <v>0</v>
      </c>
      <c r="H18" s="519"/>
      <c r="I18" s="3112"/>
      <c r="J18" s="144"/>
    </row>
    <row r="19" spans="1:10" ht="18" customHeight="1">
      <c r="A19" s="3080" t="s">
        <v>1302</v>
      </c>
      <c r="B19" s="3080"/>
      <c r="C19" s="3109" t="s">
        <v>509</v>
      </c>
      <c r="D19" s="3109"/>
      <c r="E19" s="526" t="s">
        <v>509</v>
      </c>
      <c r="F19" s="524">
        <f>F18</f>
        <v>0</v>
      </c>
      <c r="G19" s="526" t="s">
        <v>509</v>
      </c>
      <c r="H19" s="519"/>
      <c r="I19" s="3112"/>
      <c r="J19" s="144"/>
    </row>
    <row r="20" spans="1:10" ht="18" customHeight="1">
      <c r="A20" s="3080" t="s">
        <v>1303</v>
      </c>
      <c r="B20" s="3080"/>
      <c r="C20" s="3109" t="s">
        <v>509</v>
      </c>
      <c r="D20" s="3109"/>
      <c r="E20" s="526" t="s">
        <v>509</v>
      </c>
      <c r="F20" s="1115"/>
      <c r="G20" s="526" t="s">
        <v>509</v>
      </c>
      <c r="H20" s="519"/>
      <c r="I20" s="3112"/>
      <c r="J20" s="144"/>
    </row>
    <row r="21" spans="1:10" ht="18" customHeight="1">
      <c r="A21" s="3080" t="s">
        <v>1304</v>
      </c>
      <c r="B21" s="3080"/>
      <c r="C21" s="3109" t="s">
        <v>509</v>
      </c>
      <c r="D21" s="3109"/>
      <c r="E21" s="526" t="s">
        <v>509</v>
      </c>
      <c r="F21" s="524">
        <f>IF(F20&gt;0,IF(F16&lt;ROUND(C16*0.025,2),MIN(F20,ROUND(C16*0.025,2)-F16),0),0)</f>
        <v>0</v>
      </c>
      <c r="G21" s="526" t="s">
        <v>509</v>
      </c>
      <c r="H21" s="519"/>
      <c r="I21" s="3112"/>
      <c r="J21" s="144"/>
    </row>
    <row r="22" spans="1:10" ht="18" customHeight="1">
      <c r="A22" s="3080" t="s">
        <v>1305</v>
      </c>
      <c r="B22" s="3080"/>
      <c r="C22" s="3109" t="s">
        <v>509</v>
      </c>
      <c r="D22" s="3109"/>
      <c r="E22" s="526" t="s">
        <v>509</v>
      </c>
      <c r="F22" s="1682">
        <f>F21</f>
        <v>0</v>
      </c>
      <c r="G22" s="526" t="s">
        <v>509</v>
      </c>
      <c r="H22" s="519"/>
      <c r="I22" s="3112"/>
      <c r="J22" s="144"/>
    </row>
    <row r="23" spans="1:10" ht="18" customHeight="1">
      <c r="A23" s="3080" t="s">
        <v>1306</v>
      </c>
      <c r="B23" s="3080"/>
      <c r="C23" s="3109" t="s">
        <v>509</v>
      </c>
      <c r="D23" s="3109"/>
      <c r="E23" s="526" t="s">
        <v>509</v>
      </c>
      <c r="F23" s="1682">
        <f>F16+F20-F17</f>
        <v>0</v>
      </c>
      <c r="G23" s="526" t="s">
        <v>509</v>
      </c>
      <c r="H23" s="519"/>
      <c r="I23" s="3112"/>
      <c r="J23" s="144"/>
    </row>
    <row r="24" spans="1:10" ht="18" customHeight="1">
      <c r="A24" s="3080" t="s">
        <v>6095</v>
      </c>
      <c r="B24" s="3080"/>
      <c r="C24" s="3120"/>
      <c r="D24" s="3121"/>
      <c r="E24" s="1692" t="s">
        <v>509</v>
      </c>
      <c r="F24" s="1692" t="s">
        <v>509</v>
      </c>
      <c r="G24" s="1693" t="s">
        <v>509</v>
      </c>
      <c r="H24" s="519"/>
      <c r="I24" s="3112"/>
      <c r="J24" s="144"/>
    </row>
    <row r="25" spans="1:10" ht="18" customHeight="1">
      <c r="A25" s="3119" t="s">
        <v>6094</v>
      </c>
      <c r="B25" s="3119"/>
      <c r="C25" s="3122" t="s">
        <v>6096</v>
      </c>
      <c r="D25" s="3123"/>
      <c r="E25" s="1692" t="s">
        <v>509</v>
      </c>
      <c r="F25" s="1694"/>
      <c r="G25" s="1693" t="s">
        <v>509</v>
      </c>
      <c r="H25" s="1771">
        <f>F25</f>
        <v>0</v>
      </c>
      <c r="I25" s="3112"/>
      <c r="J25" s="144"/>
    </row>
    <row r="26" spans="1:10" ht="24.75" customHeight="1">
      <c r="A26" s="3046" t="s">
        <v>1307</v>
      </c>
      <c r="B26" s="3046"/>
      <c r="C26" s="2920" t="s">
        <v>1308</v>
      </c>
      <c r="D26" s="2920"/>
      <c r="E26" s="2920"/>
      <c r="F26" s="2920"/>
      <c r="G26" s="3113" t="s">
        <v>1309</v>
      </c>
      <c r="H26" s="3113"/>
      <c r="I26" s="3112"/>
      <c r="J26" s="144"/>
    </row>
    <row r="27" spans="1:10" ht="18" customHeight="1">
      <c r="A27" s="3114" t="s">
        <v>1310</v>
      </c>
      <c r="B27" s="3114"/>
      <c r="C27" s="3116" t="s">
        <v>1311</v>
      </c>
      <c r="D27" s="3116"/>
      <c r="E27" s="3116"/>
      <c r="F27" s="3116"/>
      <c r="G27" s="3118"/>
      <c r="H27" s="3118"/>
      <c r="I27" s="3112"/>
      <c r="J27" s="144"/>
    </row>
    <row r="28" spans="1:10" ht="18" customHeight="1">
      <c r="A28" s="3114" t="s">
        <v>1310</v>
      </c>
      <c r="B28" s="3114"/>
      <c r="C28" s="3116" t="s">
        <v>1312</v>
      </c>
      <c r="D28" s="3116"/>
      <c r="E28" s="3116"/>
      <c r="F28" s="3116"/>
      <c r="G28" s="3115"/>
      <c r="H28" s="3115"/>
      <c r="I28" s="3112"/>
      <c r="J28" s="144"/>
    </row>
    <row r="29" spans="1:10" ht="18" customHeight="1">
      <c r="A29" s="3114" t="s">
        <v>1313</v>
      </c>
      <c r="B29" s="3114"/>
      <c r="C29" s="3116" t="s">
        <v>1314</v>
      </c>
      <c r="D29" s="3116"/>
      <c r="E29" s="3116"/>
      <c r="F29" s="3116"/>
      <c r="G29" s="3117"/>
      <c r="H29" s="3117"/>
      <c r="I29" s="3112"/>
      <c r="J29" s="144"/>
    </row>
    <row r="30" spans="1:10" ht="18" customHeight="1">
      <c r="A30" s="3114" t="s">
        <v>1313</v>
      </c>
      <c r="B30" s="3114"/>
      <c r="C30" s="3116" t="s">
        <v>1315</v>
      </c>
      <c r="D30" s="3116"/>
      <c r="E30" s="3116"/>
      <c r="F30" s="3116"/>
      <c r="G30" s="3115"/>
      <c r="H30" s="3115"/>
      <c r="I30" s="3112"/>
      <c r="J30" s="144"/>
    </row>
    <row r="31" spans="1:10" ht="18" customHeight="1">
      <c r="A31" s="3114" t="s">
        <v>1313</v>
      </c>
      <c r="B31" s="3114"/>
      <c r="C31" s="3116" t="s">
        <v>1316</v>
      </c>
      <c r="D31" s="3116"/>
      <c r="E31" s="3116"/>
      <c r="F31" s="3116"/>
      <c r="G31" s="3124">
        <f>IF(E16&gt;ROUND(C17*0.14,2),E16-ROUND(C17*0.14,2),0)</f>
        <v>0</v>
      </c>
      <c r="H31" s="3124"/>
      <c r="I31" s="3112"/>
      <c r="J31" s="144"/>
    </row>
    <row r="32" spans="1:10" ht="18" customHeight="1">
      <c r="A32" s="3114" t="s">
        <v>1313</v>
      </c>
      <c r="B32" s="3114"/>
      <c r="C32" s="3116" t="s">
        <v>573</v>
      </c>
      <c r="D32" s="3116"/>
      <c r="E32" s="3116"/>
      <c r="F32" s="3116"/>
      <c r="G32" s="3125">
        <f>SUMIF(凭证检查!M6:M205,凭证检查!R24,凭证检查!G6:G205)</f>
        <v>0</v>
      </c>
      <c r="H32" s="3125"/>
      <c r="I32" s="3112"/>
      <c r="J32" s="144"/>
    </row>
    <row r="33" spans="1:10" ht="18" customHeight="1">
      <c r="A33" s="3114" t="s">
        <v>1285</v>
      </c>
      <c r="B33" s="3114"/>
      <c r="C33" s="3116" t="s">
        <v>1317</v>
      </c>
      <c r="D33" s="3116"/>
      <c r="E33" s="3116"/>
      <c r="F33" s="3116"/>
      <c r="G33" s="3115"/>
      <c r="H33" s="3115"/>
      <c r="I33" s="3112"/>
      <c r="J33" s="144"/>
    </row>
    <row r="34" spans="1:10" ht="18" customHeight="1">
      <c r="A34" s="3114" t="s">
        <v>1285</v>
      </c>
      <c r="B34" s="3114"/>
      <c r="C34" s="3116" t="s">
        <v>6102</v>
      </c>
      <c r="D34" s="3116"/>
      <c r="E34" s="3116"/>
      <c r="F34" s="3116"/>
      <c r="G34" s="3126">
        <v>2.5000000000000001E-2</v>
      </c>
      <c r="H34" s="3126"/>
      <c r="I34" s="3112"/>
      <c r="J34" s="144"/>
    </row>
    <row r="35" spans="1:10" ht="18" customHeight="1">
      <c r="A35" s="3114" t="s">
        <v>1318</v>
      </c>
      <c r="B35" s="3114"/>
      <c r="C35" s="3116" t="s">
        <v>1319</v>
      </c>
      <c r="D35" s="3116"/>
      <c r="E35" s="3116"/>
      <c r="F35" s="3116"/>
      <c r="G35" s="3124">
        <f>IF(G16&gt;ROUND(C17*0.02,2),G16-ROUND(C17*0.02,2),0)</f>
        <v>0</v>
      </c>
      <c r="H35" s="3124"/>
      <c r="I35" s="523"/>
      <c r="J35" s="144"/>
    </row>
    <row r="36" spans="1:10" ht="18" customHeight="1">
      <c r="A36" s="3114" t="s">
        <v>1318</v>
      </c>
      <c r="B36" s="3114"/>
      <c r="C36" s="3116" t="s">
        <v>1320</v>
      </c>
      <c r="D36" s="3116"/>
      <c r="E36" s="3116"/>
      <c r="F36" s="3116"/>
      <c r="G36" s="3115"/>
      <c r="H36" s="3115"/>
      <c r="I36" s="3112" t="s">
        <v>1321</v>
      </c>
      <c r="J36" s="144"/>
    </row>
    <row r="37" spans="1:10" ht="18" customHeight="1">
      <c r="A37" s="3127" t="s">
        <v>1318</v>
      </c>
      <c r="B37" s="3127"/>
      <c r="C37" s="3128" t="s">
        <v>1322</v>
      </c>
      <c r="D37" s="3128"/>
      <c r="E37" s="3128"/>
      <c r="F37" s="3128"/>
      <c r="G37" s="3115"/>
      <c r="H37" s="3115"/>
      <c r="I37" s="3112"/>
      <c r="J37" s="144"/>
    </row>
    <row r="38" spans="1:10" ht="18" customHeight="1">
      <c r="A38" s="3043" t="s">
        <v>702</v>
      </c>
      <c r="B38" s="3043"/>
      <c r="C38" s="3043"/>
      <c r="D38" s="3043"/>
      <c r="E38" s="3043"/>
      <c r="F38" s="3043"/>
      <c r="G38" s="3129">
        <f>SUM(G27:G37)-G34</f>
        <v>0</v>
      </c>
      <c r="H38" s="3129"/>
      <c r="I38" s="3112"/>
      <c r="J38" s="144"/>
    </row>
    <row r="39" spans="1:10" ht="15" customHeight="1">
      <c r="A39" s="3132" t="s">
        <v>1323</v>
      </c>
      <c r="B39" s="3132"/>
      <c r="C39" s="3138" t="s">
        <v>1324</v>
      </c>
      <c r="D39" s="3139"/>
      <c r="E39" s="3139"/>
      <c r="F39" s="3139"/>
      <c r="G39" s="3130" t="str">
        <f>IF(G38&lt;&gt;0,"、E","")</f>
        <v/>
      </c>
      <c r="H39" s="3131"/>
      <c r="I39" s="3112" t="s">
        <v>1325</v>
      </c>
      <c r="J39" s="144"/>
    </row>
    <row r="40" spans="1:10" ht="48.75" customHeight="1">
      <c r="A40" s="3132"/>
      <c r="B40" s="3132"/>
      <c r="C40" s="3136"/>
      <c r="D40" s="3136"/>
      <c r="E40" s="3136"/>
      <c r="F40" s="3136"/>
      <c r="G40" s="3136"/>
      <c r="H40" s="3136"/>
      <c r="I40" s="3112"/>
      <c r="J40" s="144"/>
    </row>
    <row r="41" spans="1:10" ht="22.5" customHeight="1">
      <c r="A41" s="3137" t="s">
        <v>574</v>
      </c>
      <c r="B41" s="3137"/>
      <c r="C41" s="3135" t="str">
        <f>IF(G38&lt;&gt;0,"纳税调整后认可！","不存在调整事项，认可！")</f>
        <v>不存在调整事项，认可！</v>
      </c>
      <c r="D41" s="3135"/>
      <c r="E41" s="3135"/>
      <c r="F41" s="3135"/>
      <c r="G41" s="3135"/>
      <c r="H41" s="3135"/>
      <c r="I41" s="3112"/>
      <c r="J41" s="144"/>
    </row>
    <row r="42" spans="1:10" ht="14.25" customHeight="1">
      <c r="A42" s="144"/>
      <c r="B42" s="144"/>
      <c r="C42" s="144"/>
      <c r="D42" s="144"/>
      <c r="E42" s="144"/>
      <c r="F42" s="144"/>
      <c r="G42" s="144"/>
      <c r="H42" s="144"/>
      <c r="I42" s="3133" t="s">
        <v>1326</v>
      </c>
      <c r="J42" s="144"/>
    </row>
    <row r="43" spans="1:10" ht="12" customHeight="1">
      <c r="A43" s="534"/>
      <c r="B43" s="144"/>
      <c r="C43" s="144"/>
      <c r="D43" s="144"/>
      <c r="E43" s="144"/>
      <c r="F43" s="144"/>
      <c r="G43" s="144"/>
      <c r="H43" s="144"/>
      <c r="I43" s="3133"/>
      <c r="J43" s="144"/>
    </row>
    <row r="44" spans="1:10" ht="15.15" customHeight="1">
      <c r="A44" s="84"/>
      <c r="B44" s="144"/>
      <c r="C44" s="144"/>
      <c r="D44" s="144"/>
      <c r="E44" s="144"/>
      <c r="F44" s="144"/>
      <c r="G44" s="144"/>
      <c r="H44" s="144"/>
      <c r="I44" s="3133" t="s">
        <v>1327</v>
      </c>
      <c r="J44" s="144"/>
    </row>
    <row r="45" spans="1:10">
      <c r="A45" s="534"/>
      <c r="B45" s="144"/>
      <c r="C45" s="144"/>
      <c r="D45" s="144"/>
      <c r="E45" s="144"/>
      <c r="F45" s="144"/>
      <c r="G45" s="144"/>
      <c r="H45" s="144"/>
      <c r="I45" s="3133"/>
      <c r="J45" s="144"/>
    </row>
    <row r="46" spans="1:10" ht="169.35" customHeight="1">
      <c r="A46"/>
      <c r="I46" s="3133"/>
      <c r="J46" s="144"/>
    </row>
    <row r="47" spans="1:10" ht="15.15" customHeight="1">
      <c r="A47" s="535"/>
      <c r="I47" s="3134" t="s">
        <v>1328</v>
      </c>
      <c r="J47" s="144"/>
    </row>
    <row r="48" spans="1:10" ht="15.6">
      <c r="A48"/>
      <c r="I48" s="3134"/>
      <c r="J48" s="144"/>
    </row>
    <row r="49" spans="1:10">
      <c r="A49" s="535"/>
      <c r="I49" s="3134"/>
      <c r="J49" s="144"/>
    </row>
    <row r="50" spans="1:10">
      <c r="I50" s="3134"/>
    </row>
    <row r="51" spans="1:10">
      <c r="I51" s="3134"/>
    </row>
    <row r="52" spans="1:10">
      <c r="I52" s="3134"/>
    </row>
  </sheetData>
  <sheetProtection selectLockedCells="1" selectUnlockedCells="1"/>
  <mergeCells count="95">
    <mergeCell ref="G39:H39"/>
    <mergeCell ref="A39:B40"/>
    <mergeCell ref="I44:I46"/>
    <mergeCell ref="I47:I52"/>
    <mergeCell ref="C41:H41"/>
    <mergeCell ref="I39:I41"/>
    <mergeCell ref="C40:H40"/>
    <mergeCell ref="A41:B41"/>
    <mergeCell ref="I42:I43"/>
    <mergeCell ref="C39:F39"/>
    <mergeCell ref="I36:I38"/>
    <mergeCell ref="A37:B37"/>
    <mergeCell ref="C37:F37"/>
    <mergeCell ref="G37:H37"/>
    <mergeCell ref="A38:F38"/>
    <mergeCell ref="G38:H38"/>
    <mergeCell ref="A36:B36"/>
    <mergeCell ref="C36:F36"/>
    <mergeCell ref="G36:H36"/>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7:H27"/>
    <mergeCell ref="A23:B23"/>
    <mergeCell ref="C27:F27"/>
    <mergeCell ref="C23:D23"/>
    <mergeCell ref="A26:B26"/>
    <mergeCell ref="A25:B25"/>
    <mergeCell ref="A24:B24"/>
    <mergeCell ref="C24:D24"/>
    <mergeCell ref="C25:D25"/>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13:B13"/>
    <mergeCell ref="C13:D13"/>
    <mergeCell ref="A15:B15"/>
    <mergeCell ref="C15:D15"/>
    <mergeCell ref="C20:D20"/>
    <mergeCell ref="A19:B19"/>
    <mergeCell ref="C19:D19"/>
    <mergeCell ref="A20:B20"/>
    <mergeCell ref="A14:B14"/>
    <mergeCell ref="C14:D14"/>
    <mergeCell ref="A18:B18"/>
    <mergeCell ref="C18:D18"/>
    <mergeCell ref="C12:D12"/>
    <mergeCell ref="A5:H5"/>
    <mergeCell ref="A6:B6"/>
    <mergeCell ref="C6:D6"/>
    <mergeCell ref="A7:B7"/>
    <mergeCell ref="C7:D7"/>
    <mergeCell ref="A8:B8"/>
    <mergeCell ref="C8:D8"/>
    <mergeCell ref="A9:B9"/>
    <mergeCell ref="C9:D9"/>
    <mergeCell ref="A11:B11"/>
    <mergeCell ref="C11:D11"/>
    <mergeCell ref="A12:B12"/>
    <mergeCell ref="A1:H1"/>
    <mergeCell ref="A2:D3"/>
    <mergeCell ref="H3:H4"/>
    <mergeCell ref="A4:D4"/>
    <mergeCell ref="A10:B10"/>
    <mergeCell ref="C10:D10"/>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5.6"/>
  <cols>
    <col min="1" max="1" width="7.59765625" style="168" customWidth="1"/>
    <col min="2" max="2" width="5.09765625" style="168" customWidth="1"/>
    <col min="3" max="6" width="7.09765625" style="168" customWidth="1"/>
    <col min="7" max="7" width="5.59765625" style="168" customWidth="1"/>
    <col min="8" max="8" width="9.8984375" style="168" customWidth="1"/>
    <col min="9" max="9" width="0" style="168" hidden="1" customWidth="1"/>
    <col min="10" max="10" width="4.3984375" style="168" customWidth="1"/>
    <col min="11" max="11" width="9.8984375" style="168" customWidth="1"/>
    <col min="12" max="12" width="2.3984375" style="168" customWidth="1"/>
    <col min="13" max="13" width="6.69921875" style="168" customWidth="1"/>
    <col min="14" max="16384" width="9" style="168"/>
  </cols>
  <sheetData>
    <row r="1" spans="1:21" ht="22.2">
      <c r="A1" s="2706" t="s">
        <v>1329</v>
      </c>
      <c r="B1" s="2706"/>
      <c r="C1" s="2706"/>
      <c r="D1" s="2706"/>
      <c r="E1" s="2706"/>
      <c r="F1" s="2706"/>
      <c r="G1" s="2706"/>
      <c r="H1" s="2706"/>
      <c r="I1" s="2706"/>
      <c r="J1" s="2706"/>
      <c r="K1" s="2706"/>
      <c r="L1" s="2706"/>
      <c r="M1" s="2706"/>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46" t="s">
        <v>447</v>
      </c>
      <c r="B3" s="3046"/>
      <c r="C3" s="3140">
        <f>基本情况!B2</f>
        <v>0</v>
      </c>
      <c r="D3" s="3140"/>
      <c r="E3" s="3140"/>
      <c r="F3" s="3140"/>
      <c r="G3" s="537"/>
      <c r="H3" s="369" t="s">
        <v>1330</v>
      </c>
      <c r="I3" s="537"/>
      <c r="J3" s="2920" t="s">
        <v>449</v>
      </c>
      <c r="K3" s="2920"/>
      <c r="L3" s="3079" t="s">
        <v>283</v>
      </c>
      <c r="M3" s="3079"/>
      <c r="N3" s="536"/>
      <c r="O3" s="169"/>
      <c r="P3" s="169"/>
      <c r="Q3" s="169"/>
      <c r="R3" s="169"/>
      <c r="S3" s="169"/>
      <c r="T3" s="169"/>
      <c r="U3" s="169"/>
    </row>
    <row r="4" spans="1:21" ht="19.5" customHeight="1">
      <c r="A4" s="3046"/>
      <c r="B4" s="3046"/>
      <c r="C4" s="3140"/>
      <c r="D4" s="3140"/>
      <c r="E4" s="3140"/>
      <c r="F4" s="3140"/>
      <c r="G4" s="538" t="s">
        <v>450</v>
      </c>
      <c r="H4" s="539">
        <f>基本情况!B12</f>
        <v>0</v>
      </c>
      <c r="I4" s="540"/>
      <c r="J4" s="3141" t="str">
        <f>TEXT(基本情况!B21,"yyyy-mm-dd")</f>
        <v>2017-03-16</v>
      </c>
      <c r="K4" s="3141"/>
      <c r="L4" s="3103" t="str">
        <f>档案索引!A36</f>
        <v>2A-16</v>
      </c>
      <c r="M4" s="3103"/>
      <c r="N4" s="536"/>
      <c r="O4" s="169"/>
      <c r="P4" s="169"/>
      <c r="Q4" s="169"/>
      <c r="R4" s="169"/>
      <c r="S4" s="169"/>
      <c r="T4" s="169"/>
      <c r="U4" s="169"/>
    </row>
    <row r="5" spans="1:21" ht="19.5" customHeight="1">
      <c r="A5" s="2926" t="s">
        <v>451</v>
      </c>
      <c r="B5" s="2926"/>
      <c r="C5" s="2921" t="str">
        <f>基本情况!B7</f>
        <v>2016年01月01日至2016年12月31日</v>
      </c>
      <c r="D5" s="2921"/>
      <c r="E5" s="2921"/>
      <c r="F5" s="2921"/>
      <c r="G5" s="373" t="s">
        <v>452</v>
      </c>
      <c r="H5" s="374">
        <f>基本情况!B11</f>
        <v>0</v>
      </c>
      <c r="I5" s="542"/>
      <c r="J5" s="3142" t="str">
        <f>TEXT(基本情况!B22,"yyyy-mm-dd")</f>
        <v>2017-05-04</v>
      </c>
      <c r="K5" s="3142"/>
      <c r="L5" s="3103"/>
      <c r="M5" s="3103"/>
      <c r="N5" s="543"/>
      <c r="O5" s="169"/>
      <c r="P5" s="169"/>
      <c r="Q5" s="169"/>
      <c r="R5" s="169"/>
      <c r="S5" s="169"/>
      <c r="T5" s="169"/>
      <c r="U5" s="169"/>
    </row>
    <row r="6" spans="1:21" ht="7.5" customHeight="1">
      <c r="A6" s="2916"/>
      <c r="B6" s="2916"/>
      <c r="C6" s="2916"/>
      <c r="D6" s="2916"/>
      <c r="E6" s="2916"/>
      <c r="F6" s="2916"/>
      <c r="G6" s="2916"/>
      <c r="H6" s="2916"/>
      <c r="I6" s="2916"/>
      <c r="J6" s="2916"/>
      <c r="K6" s="2916"/>
      <c r="L6" s="2916"/>
      <c r="M6" s="2916"/>
      <c r="N6" s="84"/>
      <c r="O6" s="169"/>
      <c r="P6" s="169"/>
      <c r="Q6" s="169"/>
      <c r="R6" s="169"/>
      <c r="S6" s="169"/>
      <c r="T6" s="169"/>
      <c r="U6" s="169"/>
    </row>
    <row r="7" spans="1:21" ht="36" customHeight="1">
      <c r="A7" s="3150" t="s">
        <v>665</v>
      </c>
      <c r="B7" s="3150"/>
      <c r="C7" s="3150"/>
      <c r="D7" s="3150"/>
      <c r="E7" s="3045" t="s">
        <v>1331</v>
      </c>
      <c r="F7" s="3045"/>
      <c r="G7" s="3045" t="s">
        <v>1491</v>
      </c>
      <c r="H7" s="3045"/>
      <c r="I7" s="3045"/>
      <c r="J7" s="3045" t="s">
        <v>1492</v>
      </c>
      <c r="K7" s="3045"/>
      <c r="L7" s="3151" t="s">
        <v>455</v>
      </c>
      <c r="M7" s="3151"/>
      <c r="N7" s="84" t="s">
        <v>395</v>
      </c>
      <c r="O7" s="169"/>
      <c r="P7" s="169"/>
      <c r="Q7" s="169"/>
      <c r="R7" s="169"/>
      <c r="S7" s="169"/>
      <c r="T7" s="169"/>
      <c r="U7" s="169"/>
    </row>
    <row r="8" spans="1:21" ht="24" customHeight="1">
      <c r="A8" s="3046" t="s">
        <v>1332</v>
      </c>
      <c r="B8" s="3046"/>
      <c r="C8" s="3046"/>
      <c r="D8" s="3046"/>
      <c r="E8" s="3148">
        <f>营业费用!H10</f>
        <v>0</v>
      </c>
      <c r="F8" s="3148"/>
      <c r="G8" s="3149"/>
      <c r="H8" s="3149"/>
      <c r="I8" s="3149"/>
      <c r="J8" s="3153">
        <f t="shared" ref="J8:J15" si="0">E8+G8</f>
        <v>0</v>
      </c>
      <c r="K8" s="3153"/>
      <c r="L8" s="3152"/>
      <c r="M8" s="3152"/>
      <c r="N8" s="3143" t="s">
        <v>1333</v>
      </c>
      <c r="O8" s="3143"/>
      <c r="P8" s="3143"/>
      <c r="Q8" s="169"/>
      <c r="R8" s="169"/>
      <c r="S8" s="169"/>
      <c r="T8" s="169"/>
      <c r="U8" s="169"/>
    </row>
    <row r="9" spans="1:21" ht="24" customHeight="1">
      <c r="A9" s="2925" t="s">
        <v>1334</v>
      </c>
      <c r="B9" s="2925"/>
      <c r="C9" s="2925"/>
      <c r="D9" s="2925"/>
      <c r="E9" s="3144">
        <f>管理费用!H10</f>
        <v>0</v>
      </c>
      <c r="F9" s="3144"/>
      <c r="G9" s="3145"/>
      <c r="H9" s="3145"/>
      <c r="I9" s="3145"/>
      <c r="J9" s="3146">
        <f t="shared" si="0"/>
        <v>0</v>
      </c>
      <c r="K9" s="3146"/>
      <c r="L9" s="3147"/>
      <c r="M9" s="3147"/>
      <c r="N9" s="442" t="s">
        <v>1335</v>
      </c>
      <c r="O9" s="169"/>
      <c r="P9" s="169"/>
      <c r="Q9" s="169"/>
      <c r="R9" s="169"/>
      <c r="S9" s="169"/>
      <c r="T9" s="169"/>
      <c r="U9" s="169"/>
    </row>
    <row r="10" spans="1:21" ht="24" customHeight="1">
      <c r="A10" s="2925" t="s">
        <v>1336</v>
      </c>
      <c r="B10" s="2925"/>
      <c r="C10" s="2925"/>
      <c r="D10" s="2925"/>
      <c r="E10" s="3144">
        <f>制造费用、生产成本!C25</f>
        <v>0</v>
      </c>
      <c r="F10" s="3144"/>
      <c r="G10" s="3145"/>
      <c r="H10" s="3145"/>
      <c r="I10" s="3145"/>
      <c r="J10" s="3146">
        <f t="shared" si="0"/>
        <v>0</v>
      </c>
      <c r="K10" s="3146"/>
      <c r="L10" s="3147"/>
      <c r="M10" s="3147"/>
      <c r="N10" s="232" t="s">
        <v>1296</v>
      </c>
      <c r="O10" s="169"/>
      <c r="P10" s="169"/>
      <c r="Q10" s="169"/>
      <c r="R10" s="169"/>
      <c r="S10" s="169"/>
      <c r="T10" s="169"/>
      <c r="U10" s="169"/>
    </row>
    <row r="11" spans="1:21" ht="24" customHeight="1">
      <c r="A11" s="2925" t="s">
        <v>1337</v>
      </c>
      <c r="B11" s="2925"/>
      <c r="C11" s="2925"/>
      <c r="D11" s="2925"/>
      <c r="E11" s="3145"/>
      <c r="F11" s="3145"/>
      <c r="G11" s="3145"/>
      <c r="H11" s="3145"/>
      <c r="I11" s="3145"/>
      <c r="J11" s="3146">
        <f t="shared" si="0"/>
        <v>0</v>
      </c>
      <c r="K11" s="3146"/>
      <c r="L11" s="3147"/>
      <c r="M11" s="3147"/>
      <c r="N11" s="442"/>
      <c r="O11" s="169"/>
      <c r="P11" s="169"/>
      <c r="Q11" s="169"/>
      <c r="R11" s="169"/>
      <c r="S11" s="169"/>
      <c r="T11" s="169"/>
      <c r="U11" s="169"/>
    </row>
    <row r="12" spans="1:21" ht="24" customHeight="1">
      <c r="A12" s="2925" t="s">
        <v>1338</v>
      </c>
      <c r="B12" s="2925"/>
      <c r="C12" s="2925"/>
      <c r="D12" s="2925"/>
      <c r="E12" s="3145"/>
      <c r="F12" s="3145"/>
      <c r="G12" s="3145"/>
      <c r="H12" s="3145"/>
      <c r="I12" s="3145"/>
      <c r="J12" s="3146">
        <f t="shared" si="0"/>
        <v>0</v>
      </c>
      <c r="K12" s="3146"/>
      <c r="L12" s="3147"/>
      <c r="M12" s="3147"/>
      <c r="N12" s="442"/>
      <c r="O12" s="169"/>
      <c r="P12" s="169"/>
      <c r="Q12" s="169"/>
      <c r="R12" s="169"/>
      <c r="S12" s="169"/>
      <c r="T12" s="169"/>
      <c r="U12" s="169"/>
    </row>
    <row r="13" spans="1:21" ht="24" customHeight="1">
      <c r="A13" s="2925" t="s">
        <v>1339</v>
      </c>
      <c r="B13" s="2925"/>
      <c r="C13" s="2925"/>
      <c r="D13" s="2925"/>
      <c r="E13" s="3145"/>
      <c r="F13" s="3145"/>
      <c r="G13" s="3145"/>
      <c r="H13" s="3145"/>
      <c r="I13" s="3145"/>
      <c r="J13" s="3146">
        <f t="shared" si="0"/>
        <v>0</v>
      </c>
      <c r="K13" s="3146"/>
      <c r="L13" s="3147"/>
      <c r="M13" s="3147"/>
      <c r="N13" s="442"/>
      <c r="O13" s="169"/>
      <c r="P13" s="169"/>
      <c r="Q13" s="169"/>
      <c r="R13" s="169"/>
      <c r="S13" s="169"/>
      <c r="T13" s="169"/>
      <c r="U13" s="169"/>
    </row>
    <row r="14" spans="1:21" ht="24" customHeight="1">
      <c r="A14" s="2925" t="s">
        <v>1340</v>
      </c>
      <c r="B14" s="2925"/>
      <c r="C14" s="2925"/>
      <c r="D14" s="2925"/>
      <c r="E14" s="3145"/>
      <c r="F14" s="3145"/>
      <c r="G14" s="3146"/>
      <c r="H14" s="3146"/>
      <c r="I14" s="3146"/>
      <c r="J14" s="3146">
        <f t="shared" si="0"/>
        <v>0</v>
      </c>
      <c r="K14" s="3146"/>
      <c r="L14" s="3147"/>
      <c r="M14" s="3147"/>
      <c r="N14" s="3143" t="s">
        <v>324</v>
      </c>
      <c r="O14" s="3143"/>
      <c r="P14" s="3143"/>
      <c r="Q14" s="169"/>
      <c r="R14" s="169"/>
      <c r="S14" s="169"/>
      <c r="T14" s="169"/>
      <c r="U14" s="169"/>
    </row>
    <row r="15" spans="1:21" ht="24" customHeight="1">
      <c r="A15" s="2925" t="s">
        <v>1341</v>
      </c>
      <c r="B15" s="2925"/>
      <c r="C15" s="2925"/>
      <c r="D15" s="2925"/>
      <c r="E15" s="3146">
        <f>SUM(E8:F14)</f>
        <v>0</v>
      </c>
      <c r="F15" s="3146"/>
      <c r="G15" s="3146">
        <f>SUM(G8:I14)</f>
        <v>0</v>
      </c>
      <c r="H15" s="3146"/>
      <c r="I15" s="3146"/>
      <c r="J15" s="3146">
        <f t="shared" si="0"/>
        <v>0</v>
      </c>
      <c r="K15" s="3146"/>
      <c r="L15" s="3147"/>
      <c r="M15" s="3147"/>
      <c r="N15" s="232" t="s">
        <v>1342</v>
      </c>
      <c r="O15" s="169"/>
      <c r="P15" s="169"/>
      <c r="Q15" s="169"/>
      <c r="R15" s="169"/>
      <c r="S15" s="169"/>
      <c r="T15" s="169"/>
      <c r="U15" s="169"/>
    </row>
    <row r="16" spans="1:21" ht="24" customHeight="1">
      <c r="A16" s="3154" t="s">
        <v>1343</v>
      </c>
      <c r="B16" s="3154"/>
      <c r="C16" s="3154"/>
      <c r="D16" s="3154"/>
      <c r="E16" s="3109" t="s">
        <v>509</v>
      </c>
      <c r="F16" s="3109"/>
      <c r="G16" s="3109" t="s">
        <v>509</v>
      </c>
      <c r="H16" s="3109"/>
      <c r="I16" s="3109"/>
      <c r="J16" s="3146">
        <f>ROUND(J15*0.6,2)</f>
        <v>0</v>
      </c>
      <c r="K16" s="3146"/>
      <c r="L16" s="3147"/>
      <c r="M16" s="3147"/>
      <c r="N16" s="232" t="s">
        <v>1344</v>
      </c>
      <c r="O16" s="169"/>
      <c r="P16" s="169"/>
      <c r="Q16" s="169"/>
      <c r="R16" s="169"/>
      <c r="S16" s="169"/>
      <c r="T16" s="169"/>
      <c r="U16" s="169"/>
    </row>
    <row r="17" spans="1:23" ht="24" customHeight="1">
      <c r="A17" s="3154" t="s">
        <v>10087</v>
      </c>
      <c r="B17" s="3154"/>
      <c r="C17" s="3154"/>
      <c r="D17" s="3154"/>
      <c r="E17" s="3109" t="s">
        <v>509</v>
      </c>
      <c r="F17" s="3109"/>
      <c r="G17" s="3109" t="s">
        <v>509</v>
      </c>
      <c r="H17" s="3109"/>
      <c r="I17" s="3109"/>
      <c r="J17" s="3144">
        <f>主营收支!H23</f>
        <v>0</v>
      </c>
      <c r="K17" s="3144"/>
      <c r="L17" s="3147"/>
      <c r="M17" s="3147"/>
      <c r="N17" s="232" t="s">
        <v>1345</v>
      </c>
      <c r="O17" s="169"/>
      <c r="P17" s="169"/>
      <c r="Q17" s="169"/>
      <c r="R17" s="169"/>
      <c r="S17" s="169"/>
      <c r="T17" s="169"/>
      <c r="U17" s="169"/>
    </row>
    <row r="18" spans="1:23" ht="24" customHeight="1">
      <c r="A18" s="3154" t="s">
        <v>10088</v>
      </c>
      <c r="B18" s="3154"/>
      <c r="C18" s="3154"/>
      <c r="D18" s="3154"/>
      <c r="E18" s="3109" t="s">
        <v>509</v>
      </c>
      <c r="F18" s="3109"/>
      <c r="G18" s="3109" t="s">
        <v>509</v>
      </c>
      <c r="H18" s="3109"/>
      <c r="I18" s="3109"/>
      <c r="J18" s="3144">
        <f>其他业务!E18</f>
        <v>0</v>
      </c>
      <c r="K18" s="3144"/>
      <c r="L18" s="3147"/>
      <c r="M18" s="3147"/>
      <c r="N18" s="169"/>
      <c r="O18" s="169"/>
      <c r="P18" s="169"/>
      <c r="Q18" s="169"/>
      <c r="R18" s="169"/>
      <c r="S18" s="169"/>
      <c r="T18" s="169"/>
      <c r="U18" s="169"/>
      <c r="V18" s="546"/>
      <c r="W18" s="546"/>
    </row>
    <row r="19" spans="1:23" ht="24" customHeight="1">
      <c r="A19" s="3154" t="s">
        <v>10089</v>
      </c>
      <c r="B19" s="3154"/>
      <c r="C19" s="3154"/>
      <c r="D19" s="3154"/>
      <c r="E19" s="3109" t="s">
        <v>509</v>
      </c>
      <c r="F19" s="3109"/>
      <c r="G19" s="3109" t="s">
        <v>509</v>
      </c>
      <c r="H19" s="3109"/>
      <c r="I19" s="3109"/>
      <c r="J19" s="3144">
        <f>A105010视同销售和房地产开发企业特定业务纳税调整明细表!C5</f>
        <v>0</v>
      </c>
      <c r="K19" s="3144"/>
      <c r="L19" s="3147"/>
      <c r="M19" s="3147"/>
      <c r="V19" s="546"/>
      <c r="W19" s="546"/>
    </row>
    <row r="20" spans="1:23" ht="24" customHeight="1">
      <c r="A20" s="3154" t="s">
        <v>10090</v>
      </c>
      <c r="B20" s="3154"/>
      <c r="C20" s="3154"/>
      <c r="D20" s="3154"/>
      <c r="E20" s="3109" t="s">
        <v>509</v>
      </c>
      <c r="F20" s="3109"/>
      <c r="G20" s="3109" t="s">
        <v>509</v>
      </c>
      <c r="H20" s="3109"/>
      <c r="I20" s="3109"/>
      <c r="J20" s="3146">
        <f>SUM(J17:K19)+J24</f>
        <v>0</v>
      </c>
      <c r="K20" s="3146"/>
      <c r="L20" s="3147"/>
      <c r="M20" s="3147"/>
      <c r="N20" s="3112" t="s">
        <v>1243</v>
      </c>
      <c r="O20" s="3112"/>
      <c r="P20" s="3112"/>
      <c r="Q20" s="3112"/>
      <c r="R20" s="3112"/>
      <c r="S20" s="3112"/>
      <c r="T20" s="3112"/>
      <c r="U20" s="3112"/>
      <c r="V20" s="546"/>
      <c r="W20" s="546"/>
    </row>
    <row r="21" spans="1:23" ht="24" customHeight="1">
      <c r="A21" s="3154" t="s">
        <v>10091</v>
      </c>
      <c r="B21" s="3154"/>
      <c r="C21" s="3154"/>
      <c r="D21" s="3154"/>
      <c r="E21" s="3109" t="s">
        <v>509</v>
      </c>
      <c r="F21" s="3109"/>
      <c r="G21" s="3109" t="s">
        <v>509</v>
      </c>
      <c r="H21" s="3109"/>
      <c r="I21" s="3109"/>
      <c r="J21" s="3146">
        <f>ROUND(J20*0.005,2)</f>
        <v>0</v>
      </c>
      <c r="K21" s="3146"/>
      <c r="L21" s="3147"/>
      <c r="M21" s="3147"/>
      <c r="N21" s="3112"/>
      <c r="O21" s="3112"/>
      <c r="P21" s="3112"/>
      <c r="Q21" s="3112"/>
      <c r="R21" s="3112"/>
      <c r="S21" s="3112"/>
      <c r="T21" s="3112"/>
      <c r="U21" s="3112"/>
      <c r="V21" s="546"/>
      <c r="W21" s="546"/>
    </row>
    <row r="22" spans="1:23" ht="24" customHeight="1">
      <c r="A22" s="3154" t="s">
        <v>1244</v>
      </c>
      <c r="B22" s="3154"/>
      <c r="C22" s="3154"/>
      <c r="D22" s="3154"/>
      <c r="E22" s="3109" t="s">
        <v>509</v>
      </c>
      <c r="F22" s="3109"/>
      <c r="G22" s="3109" t="s">
        <v>509</v>
      </c>
      <c r="H22" s="3109"/>
      <c r="I22" s="3109"/>
      <c r="J22" s="3146">
        <f>MIN(J16,J21)</f>
        <v>0</v>
      </c>
      <c r="K22" s="3146"/>
      <c r="L22" s="3147"/>
      <c r="M22" s="3147"/>
      <c r="N22" s="3112"/>
      <c r="O22" s="3112"/>
      <c r="P22" s="3112"/>
      <c r="Q22" s="3112"/>
      <c r="R22" s="3112"/>
      <c r="S22" s="3112"/>
      <c r="T22" s="3112"/>
      <c r="U22" s="3112"/>
      <c r="V22" s="546"/>
      <c r="W22" s="546"/>
    </row>
    <row r="23" spans="1:23" ht="24" customHeight="1">
      <c r="A23" s="3166" t="s">
        <v>1245</v>
      </c>
      <c r="B23" s="3166"/>
      <c r="C23" s="3166"/>
      <c r="D23" s="3166"/>
      <c r="E23" s="3155" t="s">
        <v>509</v>
      </c>
      <c r="F23" s="3155"/>
      <c r="G23" s="3155" t="s">
        <v>509</v>
      </c>
      <c r="H23" s="3155"/>
      <c r="I23" s="3155"/>
      <c r="J23" s="3167">
        <f>J15-J22</f>
        <v>0</v>
      </c>
      <c r="K23" s="3167"/>
      <c r="L23" s="3168"/>
      <c r="M23" s="3168"/>
      <c r="N23" s="3112"/>
      <c r="O23" s="3112"/>
      <c r="P23" s="3112"/>
      <c r="Q23" s="3112"/>
      <c r="R23" s="3112"/>
      <c r="S23" s="3112"/>
      <c r="T23" s="3112"/>
      <c r="U23" s="3112"/>
      <c r="V23" s="546"/>
      <c r="W23" s="546"/>
    </row>
    <row r="24" spans="1:23" ht="24" customHeight="1">
      <c r="A24" s="3169" t="s">
        <v>1246</v>
      </c>
      <c r="B24" s="3169"/>
      <c r="C24" s="3169"/>
      <c r="D24" s="3169"/>
      <c r="E24" s="3155" t="s">
        <v>509</v>
      </c>
      <c r="F24" s="3155"/>
      <c r="G24" s="3155" t="s">
        <v>509</v>
      </c>
      <c r="H24" s="3155"/>
      <c r="I24" s="548"/>
      <c r="J24" s="3170">
        <f>视同销售和房地产开发企业特定业务审核表!C30-视同销售和房地产开发企业特定业务审核表!C34</f>
        <v>0</v>
      </c>
      <c r="K24" s="3170"/>
      <c r="L24" s="3171"/>
      <c r="M24" s="3171"/>
      <c r="N24" s="3112"/>
      <c r="O24" s="3112"/>
      <c r="P24" s="3112"/>
      <c r="Q24" s="3112"/>
      <c r="R24" s="3112"/>
      <c r="S24" s="3112"/>
      <c r="T24" s="3112"/>
      <c r="U24" s="3112"/>
      <c r="V24" s="546"/>
      <c r="W24" s="546"/>
    </row>
    <row r="25" spans="1:23" ht="24" hidden="1" customHeight="1">
      <c r="A25" s="3159" t="s">
        <v>1247</v>
      </c>
      <c r="B25" s="3159"/>
      <c r="C25" s="3159"/>
      <c r="D25" s="3159"/>
      <c r="E25" s="3160" t="s">
        <v>509</v>
      </c>
      <c r="F25" s="3160"/>
      <c r="G25" s="3160" t="s">
        <v>509</v>
      </c>
      <c r="H25" s="3160"/>
      <c r="I25" s="549"/>
      <c r="J25" s="3161"/>
      <c r="K25" s="3161"/>
      <c r="L25" s="3162"/>
      <c r="M25" s="3162"/>
      <c r="N25" s="3112"/>
      <c r="O25" s="3112"/>
      <c r="P25" s="3112"/>
      <c r="Q25" s="3112"/>
      <c r="R25" s="3112"/>
      <c r="S25" s="3112"/>
      <c r="T25" s="3112"/>
      <c r="U25" s="3112"/>
      <c r="V25" s="546"/>
      <c r="W25" s="546"/>
    </row>
    <row r="26" spans="1:23" ht="15" customHeight="1">
      <c r="A26" s="3163" t="s">
        <v>1323</v>
      </c>
      <c r="B26" s="3163"/>
      <c r="C26" s="3164" t="s">
        <v>1248</v>
      </c>
      <c r="D26" s="3164"/>
      <c r="E26" s="3131" t="str">
        <f>IF(J23&lt;&gt;0,"、E","")</f>
        <v/>
      </c>
      <c r="F26" s="3131"/>
      <c r="G26" s="3131"/>
      <c r="H26" s="3131"/>
      <c r="I26" s="3131"/>
      <c r="J26" s="3131"/>
      <c r="K26" s="3131"/>
      <c r="L26" s="3131"/>
      <c r="M26" s="3131"/>
      <c r="N26" s="3112"/>
      <c r="O26" s="3112"/>
      <c r="P26" s="3112"/>
      <c r="Q26" s="3112"/>
      <c r="R26" s="3112"/>
      <c r="S26" s="3112"/>
      <c r="T26" s="3112"/>
      <c r="U26" s="3112"/>
    </row>
    <row r="27" spans="1:23" ht="24" customHeight="1">
      <c r="A27" s="3163"/>
      <c r="B27" s="3163"/>
      <c r="C27" s="3165"/>
      <c r="D27" s="3165"/>
      <c r="E27" s="3165"/>
      <c r="F27" s="3165"/>
      <c r="G27" s="3165"/>
      <c r="H27" s="3165"/>
      <c r="I27" s="3165"/>
      <c r="J27" s="3165"/>
      <c r="K27" s="3165"/>
      <c r="L27" s="3165"/>
      <c r="M27" s="3165"/>
      <c r="N27" s="3112"/>
      <c r="O27" s="3112"/>
      <c r="P27" s="3112"/>
      <c r="Q27" s="3112"/>
      <c r="R27" s="3112"/>
      <c r="S27" s="3112"/>
      <c r="T27" s="3112"/>
      <c r="U27" s="3112"/>
    </row>
    <row r="28" spans="1:23" ht="84.75" customHeight="1">
      <c r="A28" s="3163"/>
      <c r="B28" s="3163"/>
      <c r="C28" s="3165"/>
      <c r="D28" s="3165"/>
      <c r="E28" s="3165"/>
      <c r="F28" s="3165"/>
      <c r="G28" s="3165"/>
      <c r="H28" s="3165"/>
      <c r="I28" s="3165"/>
      <c r="J28" s="3165"/>
      <c r="K28" s="3165"/>
      <c r="L28" s="3165"/>
      <c r="M28" s="3165"/>
      <c r="N28" s="547"/>
      <c r="O28" s="551"/>
      <c r="P28" s="551"/>
      <c r="Q28" s="551"/>
      <c r="R28" s="551"/>
      <c r="S28" s="551"/>
      <c r="T28" s="551"/>
      <c r="U28" s="551"/>
    </row>
    <row r="29" spans="1:23" ht="18.75" customHeight="1">
      <c r="A29" s="3156" t="s">
        <v>574</v>
      </c>
      <c r="B29" s="3156"/>
      <c r="C29" s="3157" t="str">
        <f>IF(J23=0,"不存在调整事项，认可！","实际列支招待费大于税法允许列支的限额,应予纳税调整增加"&amp;DOLLAR(J23,2)&amp;"元！")</f>
        <v>不存在调整事项，认可！</v>
      </c>
      <c r="D29" s="3157"/>
      <c r="E29" s="3157"/>
      <c r="F29" s="3157"/>
      <c r="G29" s="3157"/>
      <c r="H29" s="3157"/>
      <c r="I29" s="3157"/>
      <c r="J29" s="3157"/>
      <c r="K29" s="3157"/>
      <c r="L29" s="3157"/>
      <c r="M29" s="3157"/>
      <c r="N29" s="547"/>
      <c r="O29" s="551"/>
      <c r="P29" s="551"/>
      <c r="Q29" s="551"/>
      <c r="R29" s="551"/>
      <c r="S29" s="551"/>
      <c r="T29" s="551"/>
      <c r="U29" s="551"/>
    </row>
    <row r="30" spans="1:23" ht="18.75" customHeight="1">
      <c r="A30" s="3156"/>
      <c r="B30" s="3156"/>
      <c r="C30" s="3157"/>
      <c r="D30" s="3157"/>
      <c r="E30" s="3157"/>
      <c r="F30" s="3157"/>
      <c r="G30" s="3157"/>
      <c r="H30" s="3157"/>
      <c r="I30" s="3157"/>
      <c r="J30" s="3157"/>
      <c r="K30" s="3157"/>
      <c r="L30" s="3157"/>
      <c r="M30" s="3157"/>
      <c r="N30" s="547"/>
      <c r="O30" s="551"/>
      <c r="P30" s="551"/>
      <c r="Q30" s="551"/>
      <c r="R30" s="551"/>
      <c r="S30" s="551"/>
      <c r="T30" s="551"/>
      <c r="U30" s="551"/>
    </row>
    <row r="31" spans="1:23" ht="18.75" customHeight="1">
      <c r="A31" s="3156"/>
      <c r="B31" s="3156"/>
      <c r="C31" s="3157"/>
      <c r="D31" s="3157"/>
      <c r="E31" s="3157"/>
      <c r="F31" s="3157"/>
      <c r="G31" s="3157"/>
      <c r="H31" s="3157"/>
      <c r="I31" s="3157"/>
      <c r="J31" s="3157"/>
      <c r="K31" s="3157"/>
      <c r="L31" s="3157"/>
      <c r="M31" s="3157"/>
      <c r="N31" s="3158" t="s">
        <v>1249</v>
      </c>
      <c r="O31" s="3158"/>
      <c r="P31" s="3158"/>
      <c r="Q31" s="3158"/>
      <c r="R31" s="3158"/>
      <c r="S31" s="3158"/>
      <c r="T31" s="3158"/>
      <c r="U31" s="3158"/>
    </row>
    <row r="32" spans="1:23">
      <c r="A32" s="169"/>
      <c r="B32" s="169"/>
      <c r="C32" s="169"/>
      <c r="D32" s="169"/>
      <c r="E32" s="169"/>
      <c r="F32" s="169"/>
      <c r="G32" s="169"/>
      <c r="H32" s="169"/>
      <c r="I32" s="169"/>
      <c r="J32" s="169"/>
      <c r="K32" s="552"/>
      <c r="L32" s="552"/>
      <c r="M32" s="552"/>
      <c r="N32" s="3158"/>
      <c r="O32" s="3158"/>
      <c r="P32" s="3158"/>
      <c r="Q32" s="3158"/>
      <c r="R32" s="3158"/>
      <c r="S32" s="3158"/>
      <c r="T32" s="3158"/>
      <c r="U32" s="3158"/>
    </row>
    <row r="33" spans="1:21">
      <c r="A33" s="169"/>
      <c r="B33" s="169"/>
      <c r="C33" s="169"/>
      <c r="D33" s="169"/>
      <c r="E33" s="169"/>
      <c r="F33" s="169"/>
      <c r="G33" s="169"/>
      <c r="H33" s="169"/>
      <c r="I33" s="169"/>
      <c r="J33" s="169"/>
      <c r="K33" s="553"/>
      <c r="L33" s="553"/>
      <c r="M33" s="553"/>
      <c r="N33" s="3158"/>
      <c r="O33" s="3158"/>
      <c r="P33" s="3158"/>
      <c r="Q33" s="3158"/>
      <c r="R33" s="3158"/>
      <c r="S33" s="3158"/>
      <c r="T33" s="3158"/>
      <c r="U33" s="3158"/>
    </row>
    <row r="34" spans="1:21">
      <c r="A34" s="169"/>
      <c r="B34" s="169"/>
      <c r="C34" s="169"/>
      <c r="D34" s="169"/>
      <c r="E34" s="169"/>
      <c r="F34" s="169"/>
      <c r="G34" s="169"/>
      <c r="H34" s="169"/>
      <c r="I34" s="169"/>
      <c r="J34" s="169"/>
      <c r="K34" s="553"/>
      <c r="L34" s="553"/>
      <c r="M34" s="553"/>
      <c r="N34" s="3158"/>
      <c r="O34" s="3158"/>
      <c r="P34" s="3158"/>
      <c r="Q34" s="3158"/>
      <c r="R34" s="3158"/>
      <c r="S34" s="3158"/>
      <c r="T34" s="3158"/>
      <c r="U34" s="3158"/>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 ref="G22:I22"/>
    <mergeCell ref="J22:K22"/>
    <mergeCell ref="L22:M22"/>
    <mergeCell ref="E24:F24"/>
    <mergeCell ref="G24:H24"/>
    <mergeCell ref="A21:D21"/>
    <mergeCell ref="E21:F21"/>
    <mergeCell ref="G21:I21"/>
    <mergeCell ref="J21:K21"/>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L16:M16"/>
    <mergeCell ref="A17:D17"/>
    <mergeCell ref="E17:F17"/>
    <mergeCell ref="G17:I17"/>
    <mergeCell ref="J17:K17"/>
    <mergeCell ref="L17:M17"/>
    <mergeCell ref="A16:D16"/>
    <mergeCell ref="E16:F16"/>
    <mergeCell ref="G16:I16"/>
    <mergeCell ref="J16:K16"/>
    <mergeCell ref="N14:P14"/>
    <mergeCell ref="L14:M14"/>
    <mergeCell ref="A15:D15"/>
    <mergeCell ref="E15:F15"/>
    <mergeCell ref="G15:I15"/>
    <mergeCell ref="J15:K15"/>
    <mergeCell ref="L15:M15"/>
    <mergeCell ref="A14:D14"/>
    <mergeCell ref="E14:F14"/>
    <mergeCell ref="G14:I14"/>
    <mergeCell ref="J14:K14"/>
    <mergeCell ref="L12:M12"/>
    <mergeCell ref="A13:D13"/>
    <mergeCell ref="E13:F13"/>
    <mergeCell ref="G13:I13"/>
    <mergeCell ref="J13:K13"/>
    <mergeCell ref="L13:M13"/>
    <mergeCell ref="A12:D12"/>
    <mergeCell ref="E12:F12"/>
    <mergeCell ref="G12:I12"/>
    <mergeCell ref="J12:K12"/>
    <mergeCell ref="A11:D11"/>
    <mergeCell ref="E11:F11"/>
    <mergeCell ref="G11:I11"/>
    <mergeCell ref="L11:M11"/>
    <mergeCell ref="A10:D10"/>
    <mergeCell ref="E10:F10"/>
    <mergeCell ref="G10:I10"/>
    <mergeCell ref="J10:K10"/>
    <mergeCell ref="J11:K11"/>
    <mergeCell ref="A6:M6"/>
    <mergeCell ref="A7:D7"/>
    <mergeCell ref="E7:F7"/>
    <mergeCell ref="G7:I7"/>
    <mergeCell ref="J7:K7"/>
    <mergeCell ref="L7:M7"/>
    <mergeCell ref="L8:M8"/>
    <mergeCell ref="J8:K8"/>
    <mergeCell ref="L10:M10"/>
    <mergeCell ref="N8:P8"/>
    <mergeCell ref="A9:D9"/>
    <mergeCell ref="E9:F9"/>
    <mergeCell ref="G9:I9"/>
    <mergeCell ref="J9:K9"/>
    <mergeCell ref="L9:M9"/>
    <mergeCell ref="A8:D8"/>
    <mergeCell ref="E8:F8"/>
    <mergeCell ref="G8:I8"/>
    <mergeCell ref="A1:M1"/>
    <mergeCell ref="A3:B4"/>
    <mergeCell ref="C3:F4"/>
    <mergeCell ref="J3:K3"/>
    <mergeCell ref="L3:M3"/>
    <mergeCell ref="J4:K4"/>
    <mergeCell ref="L4:M5"/>
    <mergeCell ref="A5:B5"/>
    <mergeCell ref="C5:F5"/>
    <mergeCell ref="J5:K5"/>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topLeftCell="A5" workbookViewId="0">
      <selection activeCell="A10" sqref="A10"/>
    </sheetView>
  </sheetViews>
  <sheetFormatPr defaultColWidth="9" defaultRowHeight="15.6"/>
  <cols>
    <col min="1" max="1" width="7.09765625" style="502" customWidth="1"/>
    <col min="2" max="2" width="13.69921875" style="502" customWidth="1"/>
    <col min="3" max="7" width="12.8984375" style="502" customWidth="1"/>
    <col min="8" max="8" width="55.5" style="554" customWidth="1"/>
    <col min="9" max="16384" width="9" style="554"/>
  </cols>
  <sheetData>
    <row r="1" spans="1:9" ht="30" customHeight="1">
      <c r="A1" s="3172" t="s">
        <v>349</v>
      </c>
      <c r="B1" s="3172"/>
      <c r="C1" s="3172"/>
      <c r="D1" s="3172"/>
      <c r="E1" s="3172"/>
      <c r="F1" s="3172"/>
      <c r="G1" s="3172"/>
      <c r="H1" s="3173"/>
      <c r="I1" s="90"/>
    </row>
    <row r="2" spans="1:9" s="558" customFormat="1" ht="20.100000000000001" customHeight="1">
      <c r="A2" s="3102" t="str">
        <f>"委托单位："&amp;基本情况!B2</f>
        <v>委托单位：0</v>
      </c>
      <c r="B2" s="3102"/>
      <c r="C2" s="3102"/>
      <c r="D2" s="556"/>
      <c r="E2" s="136" t="s">
        <v>1282</v>
      </c>
      <c r="F2" s="136" t="s">
        <v>1053</v>
      </c>
      <c r="G2" s="485" t="s">
        <v>283</v>
      </c>
      <c r="H2" s="3173"/>
      <c r="I2" s="557"/>
    </row>
    <row r="3" spans="1:9" s="558" customFormat="1" ht="20.100000000000001" customHeight="1">
      <c r="A3" s="3102"/>
      <c r="B3" s="3102"/>
      <c r="C3" s="3102"/>
      <c r="D3" s="158" t="s">
        <v>450</v>
      </c>
      <c r="E3" s="510">
        <f>基本情况!B12</f>
        <v>0</v>
      </c>
      <c r="F3" s="559" t="str">
        <f>TEXT(基本情况!B21,"yyyy-mm-dd")</f>
        <v>2017-03-16</v>
      </c>
      <c r="G3" s="3103" t="str">
        <f>档案索引!A37</f>
        <v>2A-17</v>
      </c>
      <c r="H3" s="3173"/>
      <c r="I3" s="557"/>
    </row>
    <row r="4" spans="1:9" s="558" customFormat="1" ht="20.100000000000001" customHeight="1">
      <c r="A4" s="3174" t="str">
        <f>"会计期间："&amp;基本情况!B7</f>
        <v>会计期间：2016年01月01日至2016年12月31日</v>
      </c>
      <c r="B4" s="3174"/>
      <c r="C4" s="3174"/>
      <c r="D4" s="140" t="s">
        <v>452</v>
      </c>
      <c r="E4" s="513">
        <f>基本情况!B11</f>
        <v>0</v>
      </c>
      <c r="F4" s="513" t="str">
        <f>TEXT(基本情况!B22,"yyyy-mm-dd")</f>
        <v>2017-05-04</v>
      </c>
      <c r="G4" s="3103"/>
      <c r="H4" s="3173"/>
      <c r="I4" s="557"/>
    </row>
    <row r="5" spans="1:9" s="565" customFormat="1" ht="7.5" customHeight="1">
      <c r="A5" s="560"/>
      <c r="B5" s="561"/>
      <c r="C5" s="562"/>
      <c r="D5" s="563"/>
      <c r="E5" s="561"/>
      <c r="F5" s="561"/>
      <c r="G5" s="564"/>
      <c r="H5" s="543"/>
      <c r="I5" s="543"/>
    </row>
    <row r="6" spans="1:9" s="558" customFormat="1" ht="28.5" customHeight="1">
      <c r="A6" s="566"/>
      <c r="B6" s="567" t="s">
        <v>1250</v>
      </c>
      <c r="C6" s="567" t="s">
        <v>1251</v>
      </c>
      <c r="D6" s="567" t="s">
        <v>1252</v>
      </c>
      <c r="E6" s="567" t="s">
        <v>1253</v>
      </c>
      <c r="F6" s="567" t="s">
        <v>1254</v>
      </c>
      <c r="G6" s="568" t="s">
        <v>1255</v>
      </c>
      <c r="H6" s="84" t="s">
        <v>395</v>
      </c>
      <c r="I6" s="557"/>
    </row>
    <row r="7" spans="1:9" s="558" customFormat="1" ht="23.25" customHeight="1">
      <c r="A7" s="1745" t="s">
        <v>6416</v>
      </c>
      <c r="B7" s="569" t="s">
        <v>1256</v>
      </c>
      <c r="C7" s="569"/>
      <c r="D7" s="509"/>
      <c r="E7" s="509"/>
      <c r="F7" s="509"/>
      <c r="G7" s="570"/>
      <c r="H7" s="493" t="s">
        <v>1288</v>
      </c>
      <c r="I7" s="144"/>
    </row>
    <row r="8" spans="1:9" s="558" customFormat="1" ht="23.25" customHeight="1">
      <c r="A8" s="2693">
        <f t="shared" ref="A8:A12" ca="1" si="0">C18+G18-E18</f>
        <v>0</v>
      </c>
      <c r="B8" s="571" t="s">
        <v>1257</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619</v>
      </c>
      <c r="I8" s="144"/>
    </row>
    <row r="9" spans="1:9" s="558" customFormat="1" ht="23.25" customHeight="1">
      <c r="A9" s="2693">
        <f t="shared" ca="1" si="0"/>
        <v>0</v>
      </c>
      <c r="B9" s="577" t="s">
        <v>1258</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1259</v>
      </c>
      <c r="I9" s="144"/>
    </row>
    <row r="10" spans="1:9" s="558" customFormat="1" ht="23.25" customHeight="1">
      <c r="A10" s="2693">
        <f t="shared" ca="1" si="0"/>
        <v>0</v>
      </c>
      <c r="B10" s="577" t="s">
        <v>1260</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1291</v>
      </c>
      <c r="I10" s="144"/>
    </row>
    <row r="11" spans="1:9" s="558" customFormat="1" ht="23.25" customHeight="1">
      <c r="A11" s="2693">
        <f t="shared" ca="1" si="0"/>
        <v>0</v>
      </c>
      <c r="B11" s="577" t="s">
        <v>1261</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2693">
        <f t="shared" ca="1" si="0"/>
        <v>0</v>
      </c>
      <c r="B12" s="578" t="s">
        <v>1262</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5" t="s">
        <v>6416</v>
      </c>
      <c r="B13" s="582" t="s">
        <v>702</v>
      </c>
      <c r="C13" s="583">
        <f>SUM(C8:C12)</f>
        <v>0</v>
      </c>
      <c r="D13" s="583">
        <f>SUM(D8:D12)</f>
        <v>0</v>
      </c>
      <c r="E13" s="583">
        <f>SUM(E8:E12)</f>
        <v>0</v>
      </c>
      <c r="F13" s="583">
        <f>SUM(F8:F12)</f>
        <v>0</v>
      </c>
      <c r="G13" s="584">
        <f>SUM(G8:G12)</f>
        <v>0</v>
      </c>
      <c r="H13" s="575" t="s">
        <v>1263</v>
      </c>
      <c r="I13" s="557"/>
    </row>
    <row r="14" spans="1:9" s="558" customFormat="1" ht="23.25" customHeight="1">
      <c r="A14" s="1743"/>
      <c r="B14" s="1711" t="s">
        <v>6409</v>
      </c>
      <c r="C14" s="1730"/>
      <c r="D14" s="1730"/>
      <c r="E14" s="1730"/>
      <c r="F14" s="1731">
        <f>C14+D14-E14</f>
        <v>0</v>
      </c>
      <c r="G14" s="1732">
        <f>F14</f>
        <v>0</v>
      </c>
      <c r="H14" s="1266" t="s">
        <v>6442</v>
      </c>
      <c r="I14" s="557"/>
    </row>
    <row r="15" spans="1:9" s="558" customFormat="1" ht="23.25" customHeight="1">
      <c r="A15" s="1744"/>
      <c r="B15" s="615" t="s">
        <v>6411</v>
      </c>
      <c r="C15" s="1728"/>
      <c r="D15" s="1728"/>
      <c r="E15" s="1728"/>
      <c r="F15" s="527">
        <f>C15+D15-E15</f>
        <v>0</v>
      </c>
      <c r="G15" s="1729">
        <f>F15</f>
        <v>0</v>
      </c>
      <c r="H15" s="1266" t="s">
        <v>6441</v>
      </c>
      <c r="I15" s="557"/>
    </row>
    <row r="16" spans="1:9" s="558" customFormat="1" ht="23.25" customHeight="1">
      <c r="A16" s="581"/>
      <c r="B16" s="1714" t="s">
        <v>6414</v>
      </c>
      <c r="C16" s="1713">
        <f>C14+C15</f>
        <v>0</v>
      </c>
      <c r="D16" s="1713">
        <f>D14+D15</f>
        <v>0</v>
      </c>
      <c r="E16" s="1713">
        <f>E14+E15</f>
        <v>0</v>
      </c>
      <c r="F16" s="1713">
        <f>F14+F15</f>
        <v>0</v>
      </c>
      <c r="G16" s="794"/>
      <c r="H16" s="1266" t="s">
        <v>6412</v>
      </c>
      <c r="I16" s="557"/>
    </row>
    <row r="17" spans="1:10" s="558" customFormat="1" ht="36" customHeight="1">
      <c r="A17" s="837" t="s">
        <v>6415</v>
      </c>
      <c r="B17" s="569" t="s">
        <v>1264</v>
      </c>
      <c r="C17" s="136" t="s">
        <v>1251</v>
      </c>
      <c r="D17" s="136" t="s">
        <v>1252</v>
      </c>
      <c r="E17" s="136" t="s">
        <v>1253</v>
      </c>
      <c r="F17" s="136" t="s">
        <v>1254</v>
      </c>
      <c r="G17" s="505" t="s">
        <v>1265</v>
      </c>
      <c r="H17" s="557"/>
      <c r="I17" s="557"/>
    </row>
    <row r="18" spans="1:10" s="558" customFormat="1" ht="23.25" customHeight="1">
      <c r="A18" s="1742"/>
      <c r="B18" s="571" t="s">
        <v>1257</v>
      </c>
      <c r="C18" s="1118"/>
      <c r="D18" s="572">
        <f>SUMIF(资产类别,B18,本年折旧)</f>
        <v>0</v>
      </c>
      <c r="E18" s="1119"/>
      <c r="F18" s="585">
        <f>C18+D18-E18</f>
        <v>0</v>
      </c>
      <c r="G18" s="586">
        <f ca="1">SUMIF(折旧明细,B18,税收折旧)</f>
        <v>0</v>
      </c>
      <c r="H18" s="3112" t="s">
        <v>850</v>
      </c>
      <c r="I18" s="3112"/>
      <c r="J18" s="587"/>
    </row>
    <row r="19" spans="1:10" s="558" customFormat="1" ht="23.25" customHeight="1">
      <c r="A19" s="732"/>
      <c r="B19" s="577" t="s">
        <v>1258</v>
      </c>
      <c r="C19" s="1120"/>
      <c r="D19" s="573">
        <f>SUMIF(资产类别,B19,本年折旧)</f>
        <v>0</v>
      </c>
      <c r="E19" s="1121"/>
      <c r="F19" s="588">
        <f>C19+D19-E19</f>
        <v>0</v>
      </c>
      <c r="G19" s="586">
        <f ca="1">SUMIF(折旧明细,B19,税收折旧)</f>
        <v>0</v>
      </c>
      <c r="H19" s="3112"/>
      <c r="I19" s="3112"/>
      <c r="J19" s="587"/>
    </row>
    <row r="20" spans="1:10" s="558" customFormat="1" ht="23.25" customHeight="1">
      <c r="A20" s="732"/>
      <c r="B20" s="577" t="s">
        <v>1260</v>
      </c>
      <c r="C20" s="1120"/>
      <c r="D20" s="573">
        <f>SUMIF(资产类别,B20,本年折旧)</f>
        <v>0</v>
      </c>
      <c r="E20" s="1121"/>
      <c r="F20" s="588">
        <f>C20+D20-E20</f>
        <v>0</v>
      </c>
      <c r="G20" s="586">
        <f ca="1">SUMIF(折旧明细,B20,税收折旧)</f>
        <v>0</v>
      </c>
      <c r="H20" s="3112"/>
      <c r="I20" s="3112"/>
      <c r="J20" s="587"/>
    </row>
    <row r="21" spans="1:10" s="558" customFormat="1" ht="23.25" customHeight="1">
      <c r="A21" s="732"/>
      <c r="B21" s="577" t="s">
        <v>1261</v>
      </c>
      <c r="C21" s="1120"/>
      <c r="D21" s="573">
        <f>SUMIF(资产类别,B21,本年折旧)</f>
        <v>0</v>
      </c>
      <c r="E21" s="1121"/>
      <c r="F21" s="588">
        <f>C21+D21-E21</f>
        <v>0</v>
      </c>
      <c r="G21" s="586">
        <f ca="1">SUMIF(折旧明细,B21,税收折旧)</f>
        <v>0</v>
      </c>
      <c r="H21" s="3112"/>
      <c r="I21" s="3112"/>
      <c r="J21" s="587"/>
    </row>
    <row r="22" spans="1:10" s="558" customFormat="1" ht="23.25" customHeight="1">
      <c r="A22" s="737"/>
      <c r="B22" s="578" t="s">
        <v>1262</v>
      </c>
      <c r="C22" s="1122"/>
      <c r="D22" s="579">
        <f>SUMIF(资产类别,B22,本年折旧)</f>
        <v>0</v>
      </c>
      <c r="E22" s="1123"/>
      <c r="F22" s="589">
        <f>C22+D22-E22</f>
        <v>0</v>
      </c>
      <c r="G22" s="586">
        <f ca="1">SUMIF(折旧明细,B22,税收折旧)</f>
        <v>0</v>
      </c>
      <c r="H22" s="3112"/>
      <c r="I22" s="3112"/>
    </row>
    <row r="23" spans="1:10" s="558" customFormat="1" ht="23.25" customHeight="1">
      <c r="A23" s="837" t="s">
        <v>6415</v>
      </c>
      <c r="B23" s="582" t="s">
        <v>702</v>
      </c>
      <c r="C23" s="590">
        <f>SUM(C18:C22)</f>
        <v>0</v>
      </c>
      <c r="D23" s="590">
        <f>SUM(D18:D22)</f>
        <v>0</v>
      </c>
      <c r="E23" s="590">
        <f>SUM(E18:E22)</f>
        <v>0</v>
      </c>
      <c r="F23" s="590">
        <f>SUM(F18:F22)</f>
        <v>0</v>
      </c>
      <c r="G23" s="533">
        <f ca="1">SUM(G18:G22)</f>
        <v>0</v>
      </c>
      <c r="H23" s="591" t="s">
        <v>851</v>
      </c>
      <c r="I23" s="592"/>
    </row>
    <row r="24" spans="1:10" s="558" customFormat="1" ht="23.25" customHeight="1">
      <c r="A24" s="1740"/>
      <c r="B24" s="1710" t="s">
        <v>6408</v>
      </c>
      <c r="C24" s="1736"/>
      <c r="D24" s="1736"/>
      <c r="E24" s="1736"/>
      <c r="F24" s="985">
        <f t="shared" ref="F24:F25" si="1">C24+D24-E24</f>
        <v>0</v>
      </c>
      <c r="G24" s="1738"/>
      <c r="H24" s="484"/>
      <c r="I24" s="592"/>
    </row>
    <row r="25" spans="1:10" s="558" customFormat="1" ht="23.25" customHeight="1">
      <c r="A25" s="1741"/>
      <c r="B25" s="1734" t="s">
        <v>6410</v>
      </c>
      <c r="C25" s="1735"/>
      <c r="D25" s="1735"/>
      <c r="E25" s="1735"/>
      <c r="F25" s="1731">
        <f t="shared" si="1"/>
        <v>0</v>
      </c>
      <c r="G25" s="1739"/>
      <c r="H25" s="484"/>
      <c r="I25" s="592"/>
    </row>
    <row r="26" spans="1:10" s="558" customFormat="1" ht="23.25" customHeight="1">
      <c r="A26" s="1733"/>
      <c r="B26" s="1712" t="s">
        <v>6413</v>
      </c>
      <c r="C26" s="1727">
        <f>C24+C25</f>
        <v>0</v>
      </c>
      <c r="D26" s="1727">
        <f>D24+D25</f>
        <v>0</v>
      </c>
      <c r="E26" s="1727">
        <f>E24+E25</f>
        <v>0</v>
      </c>
      <c r="F26" s="1713">
        <f>F24+F25</f>
        <v>0</v>
      </c>
      <c r="G26" s="1737"/>
      <c r="H26" s="484"/>
      <c r="I26" s="592"/>
    </row>
    <row r="27" spans="1:10" s="558" customFormat="1" ht="20.25" customHeight="1">
      <c r="A27" s="2917" t="s">
        <v>852</v>
      </c>
      <c r="B27" s="2917"/>
      <c r="C27" s="2917"/>
      <c r="D27" s="2917"/>
      <c r="E27" s="2917"/>
      <c r="F27" s="2917"/>
      <c r="G27" s="2917"/>
      <c r="H27" s="557"/>
      <c r="I27" s="557"/>
    </row>
    <row r="28" spans="1:10" s="558" customFormat="1" ht="26.25" customHeight="1">
      <c r="A28" s="3175" t="s">
        <v>853</v>
      </c>
      <c r="B28" s="3175"/>
      <c r="C28" s="593" t="s">
        <v>854</v>
      </c>
      <c r="D28" s="593" t="s">
        <v>855</v>
      </c>
      <c r="E28" s="593" t="s">
        <v>1292</v>
      </c>
      <c r="F28" s="593" t="s">
        <v>856</v>
      </c>
      <c r="G28" s="594" t="s">
        <v>702</v>
      </c>
      <c r="H28" s="557"/>
      <c r="I28" s="557"/>
    </row>
    <row r="29" spans="1:10" s="558" customFormat="1" ht="26.25" customHeight="1">
      <c r="A29" s="2926" t="s">
        <v>557</v>
      </c>
      <c r="B29" s="2926"/>
      <c r="C29" s="1124"/>
      <c r="D29" s="595">
        <f>营业费用!H20</f>
        <v>0</v>
      </c>
      <c r="E29" s="595">
        <f>管理费用!H20</f>
        <v>0</v>
      </c>
      <c r="F29" s="1125"/>
      <c r="G29" s="596">
        <f>SUM(C29:F29)</f>
        <v>0</v>
      </c>
      <c r="H29" s="557"/>
      <c r="I29" s="557"/>
    </row>
    <row r="30" spans="1:10" s="558" customFormat="1" ht="24" customHeight="1">
      <c r="A30" s="3150" t="s">
        <v>641</v>
      </c>
      <c r="B30" s="3150"/>
      <c r="C30" s="3176" t="str">
        <f>IF(F13&lt;&gt;资产负债!D23,"固定资产原值账载数与报表数相差"&amp;DOLLAR(F13-资产负债!D23,2)&amp;"元！","固定资产原值账载数与报表数相符！")</f>
        <v>固定资产原值账载数与报表数相符！</v>
      </c>
      <c r="D30" s="3176"/>
      <c r="E30" s="3176"/>
      <c r="F30" s="3176"/>
      <c r="G30" s="3176"/>
      <c r="H30" s="557"/>
      <c r="I30" s="557"/>
    </row>
    <row r="31" spans="1:10" s="558" customFormat="1" ht="24" customHeight="1">
      <c r="A31" s="3150"/>
      <c r="B31" s="3150"/>
      <c r="C31" s="3177" t="str">
        <f>IF(F23&lt;&gt;资产负债!D24,"累计折旧账载数与报表数相差"&amp;DOLLAR(F23-资产负债!D24,2)&amp;"元！","累计折旧账载数与报表数相符！")</f>
        <v>累计折旧账载数与报表数相符！</v>
      </c>
      <c r="D31" s="3177"/>
      <c r="E31" s="3177"/>
      <c r="F31" s="3177"/>
      <c r="G31" s="3177"/>
      <c r="H31" s="557"/>
      <c r="I31" s="557"/>
    </row>
    <row r="32" spans="1:10" s="558" customFormat="1" ht="24" customHeight="1">
      <c r="A32" s="3150"/>
      <c r="B32" s="3150"/>
      <c r="C32" s="3157" t="str">
        <f>IF(G29&lt;&gt;D23,"对应科目折旧发生额与本期折旧额相差"&amp;DOLLAR(G29-D23,2)&amp;"元！","对应科目折旧发生额与本期折旧额相符！")</f>
        <v>对应科目折旧发生额与本期折旧额相符！</v>
      </c>
      <c r="D32" s="3157"/>
      <c r="E32" s="3157"/>
      <c r="F32" s="3157"/>
      <c r="G32" s="3157"/>
      <c r="H32" s="557"/>
      <c r="I32" s="557"/>
    </row>
    <row r="33" spans="1:9" s="558" customFormat="1" ht="15" customHeight="1">
      <c r="A33" s="3163" t="s">
        <v>1323</v>
      </c>
      <c r="B33" s="3163"/>
      <c r="C33" s="3179" t="s">
        <v>857</v>
      </c>
      <c r="D33" s="3179"/>
      <c r="E33" s="3180" t="str">
        <f ca="1">IF(D23-G23&gt;0,"、E","")</f>
        <v/>
      </c>
      <c r="F33" s="3180"/>
      <c r="G33" s="3180"/>
      <c r="H33" s="557"/>
      <c r="I33" s="557"/>
    </row>
    <row r="34" spans="1:9" s="558" customFormat="1" ht="43.5" customHeight="1">
      <c r="A34" s="3163"/>
      <c r="B34" s="3163"/>
      <c r="C34" s="3181"/>
      <c r="D34" s="3181"/>
      <c r="E34" s="3181"/>
      <c r="F34" s="3181"/>
      <c r="G34" s="3181"/>
      <c r="H34" s="557"/>
      <c r="I34" s="557"/>
    </row>
    <row r="35" spans="1:9" s="558" customFormat="1" ht="28.5" customHeight="1">
      <c r="A35" s="3178" t="s">
        <v>574</v>
      </c>
      <c r="B35" s="3178"/>
      <c r="C35" s="3157"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57"/>
      <c r="E35" s="3157"/>
      <c r="F35" s="3157"/>
      <c r="G35" s="3157"/>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5:B35"/>
    <mergeCell ref="C35:G35"/>
    <mergeCell ref="A33:B34"/>
    <mergeCell ref="C33:D33"/>
    <mergeCell ref="E33:G33"/>
    <mergeCell ref="C34:G34"/>
    <mergeCell ref="A27:G27"/>
    <mergeCell ref="A28:B28"/>
    <mergeCell ref="A29:B29"/>
    <mergeCell ref="A30:B32"/>
    <mergeCell ref="C30:G30"/>
    <mergeCell ref="C31:G31"/>
    <mergeCell ref="C32:G32"/>
    <mergeCell ref="H18:I22"/>
    <mergeCell ref="A1:G1"/>
    <mergeCell ref="H1:H4"/>
    <mergeCell ref="A2:C3"/>
    <mergeCell ref="G3:G4"/>
    <mergeCell ref="A4:C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09765625" style="502" customWidth="1"/>
    <col min="3" max="3" width="9.5" style="600" customWidth="1"/>
    <col min="4" max="4" width="8.19921875" style="601" customWidth="1"/>
    <col min="5" max="6" width="9.5" style="601" customWidth="1"/>
    <col min="7" max="7" width="8.19921875" style="601" customWidth="1"/>
    <col min="8" max="11" width="9.5" style="601" customWidth="1"/>
    <col min="12" max="13" width="9.5" style="600" customWidth="1"/>
    <col min="14" max="14" width="9.5" style="502" customWidth="1"/>
    <col min="15" max="15" width="7.69921875" style="502" customWidth="1"/>
    <col min="16" max="16" width="27.09765625" style="502" customWidth="1"/>
    <col min="17" max="16384" width="9" style="502"/>
  </cols>
  <sheetData>
    <row r="1" spans="1:19" ht="26.25" customHeight="1">
      <c r="A1" s="2764" t="s">
        <v>858</v>
      </c>
      <c r="B1" s="2764"/>
      <c r="C1" s="2764"/>
      <c r="D1" s="2764"/>
      <c r="E1" s="2764"/>
      <c r="F1" s="2764"/>
      <c r="G1" s="2764"/>
      <c r="H1" s="2764"/>
      <c r="I1" s="2764"/>
      <c r="J1" s="2764"/>
      <c r="K1" s="2764"/>
      <c r="L1" s="2764"/>
      <c r="M1" s="2764"/>
      <c r="N1" s="2764"/>
      <c r="O1" s="2764"/>
      <c r="P1" s="3173"/>
      <c r="Q1" s="144"/>
      <c r="R1" s="144"/>
      <c r="S1" s="144"/>
    </row>
    <row r="2" spans="1:19" ht="22.5" customHeight="1">
      <c r="A2" s="3185" t="str">
        <f>"委托单位："&amp;基本情况!B2</f>
        <v>委托单位：0</v>
      </c>
      <c r="B2" s="3185"/>
      <c r="C2" s="3185"/>
      <c r="D2" s="3185"/>
      <c r="E2" s="3185"/>
      <c r="F2" s="3185"/>
      <c r="G2" s="602" t="s">
        <v>450</v>
      </c>
      <c r="H2" s="3186">
        <f>基本情况!B12</f>
        <v>0</v>
      </c>
      <c r="I2" s="3186"/>
      <c r="J2" s="136" t="s">
        <v>449</v>
      </c>
      <c r="K2" s="3187" t="str">
        <f>TEXT(基本情况!B21,"yyyy-mm-dd")</f>
        <v>2017-03-16</v>
      </c>
      <c r="L2" s="3187"/>
      <c r="M2" s="1685"/>
      <c r="N2" s="3188" t="s">
        <v>283</v>
      </c>
      <c r="O2" s="3189"/>
      <c r="P2" s="3173"/>
      <c r="Q2" s="144"/>
      <c r="R2" s="144"/>
      <c r="S2" s="144"/>
    </row>
    <row r="3" spans="1:19" ht="22.5" customHeight="1">
      <c r="A3" s="3183" t="str">
        <f>"会计期间："&amp;基本情况!B7</f>
        <v>会计期间：2016年01月01日至2016年12月31日</v>
      </c>
      <c r="B3" s="3183"/>
      <c r="C3" s="3183"/>
      <c r="D3" s="3183"/>
      <c r="E3" s="3183"/>
      <c r="F3" s="3183"/>
      <c r="G3" s="604" t="s">
        <v>452</v>
      </c>
      <c r="H3" s="3184">
        <f>基本情况!B11</f>
        <v>0</v>
      </c>
      <c r="I3" s="3184"/>
      <c r="J3" s="605" t="s">
        <v>449</v>
      </c>
      <c r="K3" s="3184" t="str">
        <f>TEXT(基本情况!B22,"yyyy-mm-dd")</f>
        <v>2017-05-04</v>
      </c>
      <c r="L3" s="3184"/>
      <c r="M3" s="1686"/>
      <c r="N3" s="3188"/>
      <c r="O3" s="3189"/>
      <c r="P3" s="3173"/>
      <c r="Q3" s="144"/>
      <c r="R3" s="144"/>
      <c r="S3" s="144"/>
    </row>
    <row r="4" spans="1:19" s="607" customFormat="1" ht="7.5" customHeight="1">
      <c r="A4" s="2916"/>
      <c r="B4" s="2916"/>
      <c r="C4" s="2916"/>
      <c r="D4" s="2916"/>
      <c r="E4" s="2916"/>
      <c r="F4" s="2916"/>
      <c r="G4" s="2916"/>
      <c r="H4" s="2916"/>
      <c r="I4" s="2916"/>
      <c r="J4" s="2916"/>
      <c r="K4" s="2916"/>
      <c r="L4" s="2916"/>
      <c r="M4" s="2916"/>
      <c r="N4" s="2916"/>
      <c r="O4" s="2916"/>
      <c r="P4" s="3173"/>
      <c r="Q4" s="606"/>
      <c r="R4" s="606"/>
      <c r="S4" s="606"/>
    </row>
    <row r="5" spans="1:19" s="607" customFormat="1" ht="18" customHeight="1">
      <c r="A5" s="3163" t="s">
        <v>1250</v>
      </c>
      <c r="B5" s="3192" t="s">
        <v>859</v>
      </c>
      <c r="C5" s="3193" t="s">
        <v>860</v>
      </c>
      <c r="D5" s="3190" t="s">
        <v>1252</v>
      </c>
      <c r="E5" s="3190"/>
      <c r="F5" s="3190"/>
      <c r="G5" s="3190" t="s">
        <v>1253</v>
      </c>
      <c r="H5" s="3190"/>
      <c r="I5" s="3190"/>
      <c r="J5" s="3182" t="s">
        <v>861</v>
      </c>
      <c r="K5" s="3182" t="s">
        <v>862</v>
      </c>
      <c r="L5" s="3193" t="s">
        <v>863</v>
      </c>
      <c r="M5" s="3194" t="s">
        <v>6089</v>
      </c>
      <c r="N5" s="3192" t="s">
        <v>864</v>
      </c>
      <c r="O5" s="3113" t="s">
        <v>865</v>
      </c>
      <c r="P5" s="555"/>
      <c r="Q5" s="606"/>
      <c r="R5" s="606"/>
      <c r="S5" s="606"/>
    </row>
    <row r="6" spans="1:19" ht="21" customHeight="1">
      <c r="A6" s="3163"/>
      <c r="B6" s="3192"/>
      <c r="C6" s="3193"/>
      <c r="D6" s="609" t="s">
        <v>866</v>
      </c>
      <c r="E6" s="609" t="s">
        <v>557</v>
      </c>
      <c r="F6" s="609" t="s">
        <v>867</v>
      </c>
      <c r="G6" s="609" t="s">
        <v>868</v>
      </c>
      <c r="H6" s="609" t="s">
        <v>557</v>
      </c>
      <c r="I6" s="609" t="s">
        <v>869</v>
      </c>
      <c r="J6" s="3182"/>
      <c r="K6" s="3182"/>
      <c r="L6" s="3193"/>
      <c r="M6" s="3195"/>
      <c r="N6" s="3192"/>
      <c r="O6" s="3113"/>
      <c r="P6" s="543"/>
      <c r="Q6" s="144"/>
      <c r="R6" s="144"/>
      <c r="S6" s="144"/>
    </row>
    <row r="7" spans="1:19" ht="46.5" customHeight="1">
      <c r="A7" s="610" t="s">
        <v>870</v>
      </c>
      <c r="B7" s="611" t="s">
        <v>871</v>
      </c>
      <c r="C7" s="612">
        <v>1</v>
      </c>
      <c r="D7" s="613" t="s">
        <v>872</v>
      </c>
      <c r="E7" s="614">
        <v>2</v>
      </c>
      <c r="F7" s="613" t="s">
        <v>873</v>
      </c>
      <c r="G7" s="613" t="s">
        <v>874</v>
      </c>
      <c r="H7" s="614">
        <v>4</v>
      </c>
      <c r="I7" s="613" t="s">
        <v>875</v>
      </c>
      <c r="J7" s="615" t="s">
        <v>876</v>
      </c>
      <c r="K7" s="615" t="s">
        <v>877</v>
      </c>
      <c r="L7" s="616">
        <v>8</v>
      </c>
      <c r="M7" s="616" t="s">
        <v>6090</v>
      </c>
      <c r="N7" s="617" t="s">
        <v>6091</v>
      </c>
      <c r="O7" s="618" t="s">
        <v>878</v>
      </c>
      <c r="P7" s="543"/>
      <c r="Q7" s="144"/>
      <c r="R7" s="144"/>
      <c r="S7" s="144"/>
    </row>
    <row r="8" spans="1:19" ht="18" customHeight="1">
      <c r="A8" s="3150" t="s">
        <v>702</v>
      </c>
      <c r="B8" s="3150"/>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395</v>
      </c>
      <c r="Q8" s="144"/>
      <c r="R8" s="144"/>
      <c r="S8" s="144"/>
    </row>
    <row r="9" spans="1:19" ht="14.25" customHeight="1">
      <c r="A9" s="624" t="s">
        <v>1261</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1288</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619</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879</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6442</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91" t="s">
        <v>880</v>
      </c>
      <c r="Q15" s="3191"/>
      <c r="R15" s="3191"/>
      <c r="S15" s="3191"/>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91"/>
      <c r="Q16" s="3191"/>
      <c r="R16" s="3191"/>
      <c r="S16" s="3191"/>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91"/>
      <c r="Q17" s="3191"/>
      <c r="R17" s="3191"/>
      <c r="S17" s="3191"/>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881</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3.8">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3.8">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3.8">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3.8">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3.8">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3.8">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3.8">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3.8">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3.8">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3.8">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3.8">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3.8">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3.8">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3.8">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3.8">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3.8">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3.8">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3.8">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3.8">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3.8">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3.8">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3.8">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3.8">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3.8">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3.8">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3.8">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3.8">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3.8">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3.8">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3.8">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3.8">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3.8">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3.8">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3.8">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3.8">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3.8">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3.8">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3.8">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3.8">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3.8">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3.8">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3.8">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3.8">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3.8">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3.8">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3.8">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3.8">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3.8">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3.8">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3.8">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3.8">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3.8">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3.8">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3.8">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3.8">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3.8">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3.8">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3.8">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3.8">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3.8">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3.8">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3.8">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3.8">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3.8">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3.8">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3.8">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3.8">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3.8">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3.8">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3.8">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3.8">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3.8">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3.8">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3.8">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3.8">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3.8">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3.8">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3.8">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3.8">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3.8">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3.8">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3.8">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3.8">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3.8">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3.8">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3.8">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3.8">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3.8">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3.8">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3.8">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3.8">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3.8">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3.8">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3.8">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3.8">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3.8">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3.8">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3.8">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3.8">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3.8">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3.8">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3.8">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3.8">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3.8">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3.8">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3.8">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3.8">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3.8">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3.8">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3.8">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3.8">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3.8">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3.8">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3.8">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3.8">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3.8">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3.8">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3.8">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3.8">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3.8">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3.8">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3.8">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3.8">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3.8">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3.8">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3.8">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3.8">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3.8">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3.8">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3.8">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3.8">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3.8">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3.8">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3.8">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3.8">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3.8">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3.8">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3.8">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3.8">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3.8">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3.8">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3.8">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3.8">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3.8">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3.8">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3.8">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3.8">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3.8">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8:B8"/>
    <mergeCell ref="G5:I5"/>
    <mergeCell ref="P15:S17"/>
    <mergeCell ref="A4:O4"/>
    <mergeCell ref="A5:A6"/>
    <mergeCell ref="B5:B6"/>
    <mergeCell ref="C5:C6"/>
    <mergeCell ref="K5:K6"/>
    <mergeCell ref="L5:L6"/>
    <mergeCell ref="N5:N6"/>
    <mergeCell ref="D5:F5"/>
    <mergeCell ref="O5:O6"/>
    <mergeCell ref="M5:M6"/>
    <mergeCell ref="A1:O1"/>
    <mergeCell ref="J5:J6"/>
    <mergeCell ref="A3:F3"/>
    <mergeCell ref="H3:I3"/>
    <mergeCell ref="P1:P4"/>
    <mergeCell ref="A2:F2"/>
    <mergeCell ref="H2:I2"/>
    <mergeCell ref="K2:L2"/>
    <mergeCell ref="N2:N3"/>
    <mergeCell ref="O2:O3"/>
    <mergeCell ref="K3:L3"/>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5.6"/>
  <cols>
    <col min="1" max="1" width="19.19921875" style="130" customWidth="1"/>
    <col min="2" max="2" width="8.5" style="130" customWidth="1"/>
    <col min="3" max="7" width="9.69921875" style="130" customWidth="1"/>
    <col min="8" max="8" width="4.09765625" style="643" customWidth="1"/>
    <col min="9" max="11" width="9.69921875" style="130" customWidth="1"/>
    <col min="12" max="12" width="4.09765625" style="643" customWidth="1"/>
    <col min="13" max="14" width="9.69921875" style="643" customWidth="1"/>
    <col min="15" max="15" width="9.69921875" style="130" customWidth="1"/>
    <col min="16" max="16" width="22.59765625" style="554" customWidth="1"/>
    <col min="17" max="17" width="9" style="554"/>
    <col min="18" max="18" width="15.5" style="554" customWidth="1"/>
    <col min="19" max="16384" width="9" style="554"/>
  </cols>
  <sheetData>
    <row r="1" spans="1:23" ht="31.5" customHeight="1">
      <c r="A1" s="3172" t="s">
        <v>353</v>
      </c>
      <c r="B1" s="3172"/>
      <c r="C1" s="3172"/>
      <c r="D1" s="3172"/>
      <c r="E1" s="3172"/>
      <c r="F1" s="3172"/>
      <c r="G1" s="3172"/>
      <c r="H1" s="3172"/>
      <c r="I1" s="3172"/>
      <c r="J1" s="3172"/>
      <c r="K1" s="3172"/>
      <c r="L1" s="3172"/>
      <c r="M1" s="3172"/>
      <c r="N1" s="3172"/>
      <c r="O1" s="3172"/>
      <c r="P1" s="84"/>
      <c r="Q1" s="90"/>
      <c r="R1" s="90"/>
      <c r="S1" s="90"/>
      <c r="T1" s="90"/>
    </row>
    <row r="2" spans="1:23" s="558" customFormat="1" ht="22.5" customHeight="1">
      <c r="A2" s="3197" t="str">
        <f>"委托单位："&amp;基本情况!B2</f>
        <v>委托单位：0</v>
      </c>
      <c r="B2" s="3197"/>
      <c r="C2" s="3197"/>
      <c r="D2" s="3197"/>
      <c r="E2" s="3197"/>
      <c r="F2" s="3197"/>
      <c r="G2" s="136" t="s">
        <v>450</v>
      </c>
      <c r="H2" s="3048">
        <f>基本情况!B12</f>
        <v>0</v>
      </c>
      <c r="I2" s="3048"/>
      <c r="J2" s="136" t="s">
        <v>882</v>
      </c>
      <c r="K2" s="3198" t="str">
        <f>TEXT(基本情况!B21,"yyyy-mm-dd")</f>
        <v>2017-03-16</v>
      </c>
      <c r="L2" s="3198"/>
      <c r="M2" s="644"/>
      <c r="N2" s="644"/>
      <c r="O2" s="485" t="s">
        <v>283</v>
      </c>
      <c r="P2" s="557"/>
      <c r="Q2" s="557"/>
      <c r="R2" s="557"/>
      <c r="S2" s="557"/>
      <c r="T2" s="557"/>
    </row>
    <row r="3" spans="1:23" s="558" customFormat="1" ht="22.5" customHeight="1">
      <c r="A3" s="3104" t="str">
        <f>"会计期间："&amp;基本情况!B7</f>
        <v>会计期间：2016年01月01日至2016年12月31日</v>
      </c>
      <c r="B3" s="3104"/>
      <c r="C3" s="3104"/>
      <c r="D3" s="3104"/>
      <c r="E3" s="3104"/>
      <c r="F3" s="3104"/>
      <c r="G3" s="140" t="s">
        <v>452</v>
      </c>
      <c r="H3" s="3052">
        <f>基本情况!B11</f>
        <v>0</v>
      </c>
      <c r="I3" s="3052"/>
      <c r="J3" s="140" t="s">
        <v>882</v>
      </c>
      <c r="K3" s="3196" t="str">
        <f>TEXT(基本情况!B22,"yyyy-mm-dd")</f>
        <v>2017-05-04</v>
      </c>
      <c r="L3" s="3196"/>
      <c r="M3" s="645"/>
      <c r="N3" s="1715"/>
      <c r="O3" s="646" t="str">
        <f>档案索引!A38</f>
        <v>2A-18</v>
      </c>
      <c r="P3" s="557"/>
      <c r="Q3" s="557"/>
      <c r="R3" s="557"/>
      <c r="S3" s="557"/>
      <c r="T3" s="557"/>
    </row>
    <row r="4" spans="1:23" s="565" customFormat="1" ht="7.5" customHeight="1">
      <c r="A4" s="2916"/>
      <c r="B4" s="2916"/>
      <c r="C4" s="2916"/>
      <c r="D4" s="2916"/>
      <c r="E4" s="2916"/>
      <c r="F4" s="2916"/>
      <c r="G4" s="2916"/>
      <c r="H4" s="2916"/>
      <c r="I4" s="2916"/>
      <c r="J4" s="2916"/>
      <c r="K4" s="2916"/>
      <c r="L4" s="2916"/>
      <c r="M4" s="2916"/>
      <c r="N4" s="2916"/>
      <c r="O4" s="2916"/>
      <c r="P4" s="543"/>
      <c r="Q4" s="543"/>
      <c r="R4" s="543"/>
      <c r="S4" s="543"/>
      <c r="T4" s="543"/>
    </row>
    <row r="5" spans="1:23" s="649" customFormat="1" ht="20.25" customHeight="1">
      <c r="A5" s="3205" t="s">
        <v>1250</v>
      </c>
      <c r="B5" s="3192" t="s">
        <v>883</v>
      </c>
      <c r="C5" s="3192"/>
      <c r="D5" s="3192"/>
      <c r="E5" s="3192"/>
      <c r="F5" s="3200" t="s">
        <v>884</v>
      </c>
      <c r="G5" s="3206" t="s">
        <v>885</v>
      </c>
      <c r="H5" s="3200" t="s">
        <v>886</v>
      </c>
      <c r="I5" s="2920" t="s">
        <v>887</v>
      </c>
      <c r="J5" s="2920"/>
      <c r="K5" s="3200" t="s">
        <v>888</v>
      </c>
      <c r="L5" s="3201" t="s">
        <v>889</v>
      </c>
      <c r="M5" s="3202"/>
      <c r="N5" s="3203"/>
      <c r="O5" s="3151" t="s">
        <v>890</v>
      </c>
      <c r="P5" s="84" t="s">
        <v>395</v>
      </c>
      <c r="Q5" s="648"/>
      <c r="R5" s="648"/>
      <c r="S5" s="648"/>
      <c r="T5" s="648"/>
    </row>
    <row r="6" spans="1:23" s="649" customFormat="1" ht="25.5" customHeight="1">
      <c r="A6" s="3205"/>
      <c r="B6" s="611" t="s">
        <v>891</v>
      </c>
      <c r="C6" s="611" t="s">
        <v>892</v>
      </c>
      <c r="D6" s="611" t="s">
        <v>893</v>
      </c>
      <c r="E6" s="611" t="s">
        <v>1255</v>
      </c>
      <c r="F6" s="3200"/>
      <c r="G6" s="3206"/>
      <c r="H6" s="3200"/>
      <c r="I6" s="605" t="s">
        <v>894</v>
      </c>
      <c r="J6" s="605" t="s">
        <v>895</v>
      </c>
      <c r="K6" s="3200"/>
      <c r="L6" s="611" t="s">
        <v>896</v>
      </c>
      <c r="M6" s="650" t="s">
        <v>897</v>
      </c>
      <c r="N6" s="617" t="s">
        <v>6417</v>
      </c>
      <c r="O6" s="3151"/>
      <c r="P6" s="232" t="s">
        <v>1538</v>
      </c>
      <c r="Q6" s="648"/>
      <c r="R6" s="648"/>
      <c r="S6" s="648"/>
      <c r="T6" s="648"/>
    </row>
    <row r="7" spans="1:23" s="558" customFormat="1" ht="24" customHeight="1">
      <c r="A7" s="651" t="s">
        <v>898</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619</v>
      </c>
      <c r="Q7" s="557"/>
      <c r="R7" s="557"/>
      <c r="S7" s="144"/>
      <c r="T7" s="557"/>
    </row>
    <row r="8" spans="1:23" s="558" customFormat="1" ht="24">
      <c r="A8" s="656" t="s">
        <v>6401</v>
      </c>
      <c r="B8" s="657"/>
      <c r="C8" s="1130"/>
      <c r="D8" s="1130"/>
      <c r="E8" s="659">
        <f>C8+D8</f>
        <v>0</v>
      </c>
      <c r="F8" s="1130"/>
      <c r="G8" s="1130"/>
      <c r="H8" s="660"/>
      <c r="I8" s="658"/>
      <c r="J8" s="658"/>
      <c r="K8" s="659">
        <f>F8+G8-I8-J8</f>
        <v>0</v>
      </c>
      <c r="L8" s="661"/>
      <c r="M8" s="1230"/>
      <c r="N8" s="1230"/>
      <c r="O8" s="662">
        <f>IF(I8-M8&lt;3,0,I8-M8)</f>
        <v>0</v>
      </c>
      <c r="P8" s="232" t="s">
        <v>1291</v>
      </c>
      <c r="Q8" s="557"/>
      <c r="R8" s="557"/>
      <c r="S8" s="144"/>
      <c r="T8" s="557"/>
    </row>
    <row r="9" spans="1:23" s="558" customFormat="1" ht="24">
      <c r="A9" s="663" t="s">
        <v>6402</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6403</v>
      </c>
      <c r="B10" s="664"/>
      <c r="C10" s="1131"/>
      <c r="D10" s="1131"/>
      <c r="E10" s="666">
        <f>C10+D10</f>
        <v>0</v>
      </c>
      <c r="F10" s="1131"/>
      <c r="G10" s="1131"/>
      <c r="H10" s="667"/>
      <c r="I10" s="1131"/>
      <c r="J10" s="1131"/>
      <c r="K10" s="666">
        <f>F10+G10-I10-J10</f>
        <v>0</v>
      </c>
      <c r="L10" s="668"/>
      <c r="M10" s="1229"/>
      <c r="N10" s="1233"/>
      <c r="O10" s="662">
        <f>IF(I10-M10&lt;3,0,I10-M10)</f>
        <v>0</v>
      </c>
      <c r="P10" s="232" t="s">
        <v>1288</v>
      </c>
      <c r="Q10" s="557"/>
      <c r="R10" s="557"/>
      <c r="S10" s="144"/>
      <c r="T10" s="557"/>
    </row>
    <row r="11" spans="1:23" s="558" customFormat="1" ht="16.5" customHeight="1">
      <c r="A11" s="663" t="s">
        <v>6404</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6405</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899</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112" t="s">
        <v>900</v>
      </c>
      <c r="Q13" s="3112"/>
      <c r="R13" s="3112"/>
      <c r="S13" s="3112"/>
      <c r="T13" s="3112"/>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112"/>
      <c r="Q14" s="3112"/>
      <c r="R14" s="3112"/>
      <c r="S14" s="3112"/>
      <c r="T14" s="3112"/>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112"/>
      <c r="Q15" s="3112"/>
      <c r="R15" s="3112"/>
      <c r="S15" s="3112"/>
      <c r="T15" s="3112"/>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6"/>
      <c r="O16" s="662">
        <f t="shared" si="3"/>
        <v>0</v>
      </c>
      <c r="P16" s="3112"/>
      <c r="Q16" s="3112"/>
      <c r="R16" s="3112"/>
      <c r="S16" s="3112"/>
      <c r="T16" s="3112"/>
      <c r="U16" s="587"/>
      <c r="V16" s="587"/>
      <c r="W16" s="673"/>
    </row>
    <row r="17" spans="1:23" s="558" customFormat="1" ht="24.75" customHeight="1">
      <c r="A17" s="651" t="s">
        <v>901</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112"/>
      <c r="Q17" s="3112"/>
      <c r="R17" s="3112"/>
      <c r="S17" s="3112"/>
      <c r="T17" s="3112"/>
      <c r="U17" s="587"/>
      <c r="V17" s="587"/>
      <c r="W17" s="673"/>
    </row>
    <row r="18" spans="1:23" s="558" customFormat="1" ht="16.5" customHeight="1">
      <c r="A18" s="663" t="s">
        <v>6418</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112"/>
      <c r="Q18" s="3112"/>
      <c r="R18" s="3112"/>
      <c r="S18" s="3112"/>
      <c r="T18" s="3112"/>
      <c r="U18" s="587"/>
      <c r="V18" s="587"/>
      <c r="W18" s="673"/>
    </row>
    <row r="19" spans="1:23" s="558" customFormat="1" ht="16.5" customHeight="1">
      <c r="A19" s="663" t="s">
        <v>6419</v>
      </c>
      <c r="B19" s="681"/>
      <c r="C19" s="1131"/>
      <c r="D19" s="1131"/>
      <c r="E19" s="666">
        <f t="shared" si="4"/>
        <v>0</v>
      </c>
      <c r="F19" s="1131"/>
      <c r="G19" s="1131"/>
      <c r="H19" s="668"/>
      <c r="I19" s="1131"/>
      <c r="J19" s="1131"/>
      <c r="K19" s="666">
        <f t="shared" si="5"/>
        <v>0</v>
      </c>
      <c r="L19" s="668"/>
      <c r="M19" s="1229"/>
      <c r="N19" s="1233"/>
      <c r="O19" s="662">
        <f t="shared" si="3"/>
        <v>0</v>
      </c>
      <c r="P19" s="3112"/>
      <c r="Q19" s="3112"/>
      <c r="R19" s="3112"/>
      <c r="S19" s="3112"/>
      <c r="T19" s="3112"/>
      <c r="U19" s="587"/>
      <c r="V19" s="587"/>
      <c r="W19" s="673"/>
    </row>
    <row r="20" spans="1:23" s="558" customFormat="1" ht="16.5" customHeight="1">
      <c r="A20" s="663" t="s">
        <v>6420</v>
      </c>
      <c r="B20" s="681"/>
      <c r="C20" s="1131"/>
      <c r="D20" s="1131"/>
      <c r="E20" s="666">
        <f t="shared" si="4"/>
        <v>0</v>
      </c>
      <c r="F20" s="1131"/>
      <c r="G20" s="1131"/>
      <c r="H20" s="668"/>
      <c r="I20" s="1131"/>
      <c r="J20" s="1131"/>
      <c r="K20" s="666">
        <f t="shared" si="5"/>
        <v>0</v>
      </c>
      <c r="L20" s="668"/>
      <c r="M20" s="1229"/>
      <c r="N20" s="1233"/>
      <c r="O20" s="662">
        <f t="shared" si="3"/>
        <v>0</v>
      </c>
      <c r="P20" s="3112"/>
      <c r="Q20" s="3112"/>
      <c r="R20" s="3112"/>
      <c r="S20" s="3112"/>
      <c r="T20" s="3112"/>
      <c r="U20" s="587"/>
      <c r="V20" s="587"/>
      <c r="W20" s="673"/>
    </row>
    <row r="21" spans="1:23" s="558" customFormat="1" ht="16.5" customHeight="1">
      <c r="A21" s="663" t="s">
        <v>6421</v>
      </c>
      <c r="B21" s="681"/>
      <c r="C21" s="1131"/>
      <c r="D21" s="1131"/>
      <c r="E21" s="666">
        <f t="shared" si="4"/>
        <v>0</v>
      </c>
      <c r="F21" s="1131"/>
      <c r="G21" s="1131"/>
      <c r="H21" s="668"/>
      <c r="I21" s="1131"/>
      <c r="J21" s="1131"/>
      <c r="K21" s="666">
        <f t="shared" si="5"/>
        <v>0</v>
      </c>
      <c r="L21" s="668"/>
      <c r="M21" s="1229"/>
      <c r="N21" s="1233"/>
      <c r="O21" s="662">
        <f t="shared" si="3"/>
        <v>0</v>
      </c>
      <c r="P21" s="3112"/>
      <c r="Q21" s="3112"/>
      <c r="R21" s="3112"/>
      <c r="S21" s="3112"/>
      <c r="T21" s="3112"/>
      <c r="U21" s="587"/>
      <c r="V21" s="587"/>
      <c r="W21" s="673"/>
    </row>
    <row r="22" spans="1:23" s="558" customFormat="1" ht="16.5" customHeight="1">
      <c r="A22" s="663" t="s">
        <v>6422</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6423</v>
      </c>
      <c r="B23" s="681"/>
      <c r="C23" s="1131"/>
      <c r="D23" s="1131"/>
      <c r="E23" s="666">
        <f t="shared" si="4"/>
        <v>0</v>
      </c>
      <c r="F23" s="1131"/>
      <c r="G23" s="1131"/>
      <c r="H23" s="668"/>
      <c r="I23" s="1131"/>
      <c r="J23" s="1131"/>
      <c r="K23" s="666">
        <f t="shared" si="5"/>
        <v>0</v>
      </c>
      <c r="L23" s="668"/>
      <c r="M23" s="1229"/>
      <c r="N23" s="1233"/>
      <c r="O23" s="662">
        <f t="shared" si="3"/>
        <v>0</v>
      </c>
      <c r="P23" s="3112" t="s">
        <v>902</v>
      </c>
      <c r="Q23" s="3112"/>
      <c r="R23" s="3112"/>
      <c r="S23" s="3112"/>
      <c r="T23" s="3112"/>
      <c r="U23" s="587"/>
      <c r="V23" s="587"/>
      <c r="W23" s="673"/>
    </row>
    <row r="24" spans="1:23" s="558" customFormat="1" ht="16.5" customHeight="1">
      <c r="A24" s="1757" t="s">
        <v>6424</v>
      </c>
      <c r="B24" s="683"/>
      <c r="C24" s="1133"/>
      <c r="D24" s="1133"/>
      <c r="E24" s="684">
        <f t="shared" si="4"/>
        <v>0</v>
      </c>
      <c r="F24" s="1133"/>
      <c r="G24" s="1133"/>
      <c r="H24" s="685"/>
      <c r="I24" s="1133"/>
      <c r="J24" s="1133"/>
      <c r="K24" s="684">
        <f t="shared" si="5"/>
        <v>0</v>
      </c>
      <c r="L24" s="685"/>
      <c r="M24" s="1234"/>
      <c r="N24" s="1746"/>
      <c r="O24" s="1751">
        <f t="shared" si="3"/>
        <v>0</v>
      </c>
      <c r="P24" s="3112"/>
      <c r="Q24" s="3112"/>
      <c r="R24" s="3112"/>
      <c r="S24" s="3112"/>
      <c r="T24" s="3112"/>
      <c r="U24" s="587"/>
      <c r="V24" s="587"/>
    </row>
    <row r="25" spans="1:23" s="558" customFormat="1" ht="16.5" customHeight="1">
      <c r="A25" s="1758" t="s">
        <v>6425</v>
      </c>
      <c r="B25" s="1752"/>
      <c r="C25" s="1759">
        <f>C26+C27</f>
        <v>0</v>
      </c>
      <c r="D25" s="1759">
        <f>D26+D27</f>
        <v>0</v>
      </c>
      <c r="E25" s="1760">
        <f>E26+E27</f>
        <v>0</v>
      </c>
      <c r="F25" s="1759">
        <f>F26+F27</f>
        <v>0</v>
      </c>
      <c r="G25" s="1759">
        <f t="shared" ref="G25:K25" si="6">G26+G27</f>
        <v>0</v>
      </c>
      <c r="H25" s="1753"/>
      <c r="I25" s="1759">
        <f t="shared" si="6"/>
        <v>0</v>
      </c>
      <c r="J25" s="1759">
        <f t="shared" si="6"/>
        <v>0</v>
      </c>
      <c r="K25" s="653">
        <f t="shared" si="6"/>
        <v>0</v>
      </c>
      <c r="L25" s="1754"/>
      <c r="M25" s="679">
        <f>M26+M27</f>
        <v>0</v>
      </c>
      <c r="N25" s="679">
        <f>N26+N27</f>
        <v>0</v>
      </c>
      <c r="O25" s="655">
        <f>O26+O27</f>
        <v>0</v>
      </c>
      <c r="P25" s="3112"/>
      <c r="Q25" s="3112"/>
      <c r="R25" s="3112"/>
      <c r="S25" s="3112"/>
      <c r="T25" s="3112"/>
      <c r="U25" s="1716"/>
      <c r="V25" s="1716"/>
    </row>
    <row r="26" spans="1:23" s="558" customFormat="1" ht="16.5" customHeight="1">
      <c r="A26" s="663" t="s">
        <v>6426</v>
      </c>
      <c r="B26" s="1755"/>
      <c r="C26" s="1131"/>
      <c r="D26" s="1131"/>
      <c r="E26" s="666">
        <f t="shared" si="4"/>
        <v>0</v>
      </c>
      <c r="F26" s="1131"/>
      <c r="G26" s="1131"/>
      <c r="H26" s="1756"/>
      <c r="I26" s="1229"/>
      <c r="J26" s="1229"/>
      <c r="K26" s="666">
        <f t="shared" si="5"/>
        <v>0</v>
      </c>
      <c r="L26" s="1756"/>
      <c r="M26" s="1229"/>
      <c r="N26" s="1131"/>
      <c r="O26" s="662">
        <f t="shared" si="3"/>
        <v>0</v>
      </c>
      <c r="P26" s="3112"/>
      <c r="Q26" s="3112"/>
      <c r="R26" s="3112"/>
      <c r="S26" s="3112"/>
      <c r="T26" s="3112"/>
      <c r="U26" s="1716"/>
      <c r="V26" s="1716"/>
    </row>
    <row r="27" spans="1:23" s="558" customFormat="1" ht="16.5" customHeight="1">
      <c r="A27" s="663" t="s">
        <v>6427</v>
      </c>
      <c r="B27" s="1747"/>
      <c r="C27" s="1748"/>
      <c r="D27" s="1748"/>
      <c r="E27" s="666">
        <f t="shared" si="4"/>
        <v>0</v>
      </c>
      <c r="F27" s="1748"/>
      <c r="G27" s="1748"/>
      <c r="H27" s="1749"/>
      <c r="I27" s="1750"/>
      <c r="J27" s="1750"/>
      <c r="K27" s="666">
        <f t="shared" si="5"/>
        <v>0</v>
      </c>
      <c r="L27" s="1749"/>
      <c r="M27" s="1750"/>
      <c r="N27" s="1746"/>
      <c r="O27" s="662">
        <f t="shared" si="3"/>
        <v>0</v>
      </c>
      <c r="P27" s="3112"/>
      <c r="Q27" s="3112"/>
      <c r="R27" s="3112"/>
      <c r="S27" s="3112"/>
      <c r="T27" s="3112"/>
      <c r="U27" s="1716"/>
      <c r="V27" s="1716"/>
    </row>
    <row r="28" spans="1:23" s="558" customFormat="1" ht="22.5" customHeight="1">
      <c r="A28" s="3043" t="s">
        <v>641</v>
      </c>
      <c r="B28" s="3043"/>
      <c r="C28" s="3210" t="str">
        <f>IF(K7&lt;&gt;资产负债!D32,"长期待摊费用账载数与报表数相差"&amp;DOLLAR(K7-资产负债!D32,2)&amp;"元！","长期待摊费用账载数与报表数相符！")</f>
        <v>长期待摊费用账载数与报表数相符！</v>
      </c>
      <c r="D28" s="3210"/>
      <c r="E28" s="3210"/>
      <c r="F28" s="3210"/>
      <c r="G28" s="3210"/>
      <c r="H28" s="3208" t="str">
        <f>IF(K17&lt;&gt;资产负债!D30,"无形资产账载数与报表数相差"&amp;DOLLAR(K17-资产负债!D30,2)&amp;"元！","无形资产账载数与报表数相符！")</f>
        <v>无形资产账载数与报表数相符！</v>
      </c>
      <c r="I28" s="3208"/>
      <c r="J28" s="3208"/>
      <c r="K28" s="3208"/>
      <c r="L28" s="3208"/>
      <c r="M28" s="3208"/>
      <c r="N28" s="3208"/>
      <c r="O28" s="3208"/>
      <c r="P28" s="3112"/>
      <c r="Q28" s="3112"/>
      <c r="R28" s="3112"/>
      <c r="S28" s="3112"/>
      <c r="T28" s="3112"/>
    </row>
    <row r="29" spans="1:23" s="558" customFormat="1" ht="15" customHeight="1">
      <c r="A29" s="3046" t="s">
        <v>1323</v>
      </c>
      <c r="B29" s="3046"/>
      <c r="C29" s="3199" t="s">
        <v>857</v>
      </c>
      <c r="D29" s="3199"/>
      <c r="E29" s="3199"/>
      <c r="F29" s="3209" t="str">
        <f>IF(OR(I7-M7&gt;0,I17-M17&gt;0),"、E","")</f>
        <v/>
      </c>
      <c r="G29" s="3209"/>
      <c r="H29" s="3209"/>
      <c r="I29" s="3209"/>
      <c r="J29" s="3209"/>
      <c r="K29" s="3209"/>
      <c r="L29" s="3209"/>
      <c r="M29" s="3209"/>
      <c r="N29" s="3209"/>
      <c r="O29" s="3209"/>
      <c r="P29" s="3112" t="s">
        <v>903</v>
      </c>
      <c r="Q29" s="3112"/>
      <c r="R29" s="3112"/>
      <c r="S29" s="3112"/>
      <c r="T29" s="3112"/>
    </row>
    <row r="30" spans="1:23" s="558" customFormat="1" ht="32.25" customHeight="1">
      <c r="A30" s="3046"/>
      <c r="B30" s="3046"/>
      <c r="C30" s="3181"/>
      <c r="D30" s="3181"/>
      <c r="E30" s="3181"/>
      <c r="F30" s="3181"/>
      <c r="G30" s="3181"/>
      <c r="H30" s="3181"/>
      <c r="I30" s="3181"/>
      <c r="J30" s="3181"/>
      <c r="K30" s="3181"/>
      <c r="L30" s="3181"/>
      <c r="M30" s="3181"/>
      <c r="N30" s="3181"/>
      <c r="O30" s="3181"/>
      <c r="P30" s="3112"/>
      <c r="Q30" s="3112"/>
      <c r="R30" s="3112"/>
      <c r="S30" s="3112"/>
      <c r="T30" s="3112"/>
    </row>
    <row r="31" spans="1:23" s="558" customFormat="1" ht="22.5" customHeight="1">
      <c r="A31" s="3178" t="s">
        <v>574</v>
      </c>
      <c r="B31" s="3178"/>
      <c r="C31" s="3204" t="str">
        <f>IF(I7-M7&gt;0,"长期待摊费用摊销应予纳税调增"&amp;DOLLAR(I7-M7,2)&amp;"元！","长期待摊费用会计摊销与税收摊销不存在差异，认可！")</f>
        <v>长期待摊费用会计摊销与税收摊销不存在差异，认可！</v>
      </c>
      <c r="D31" s="3204"/>
      <c r="E31" s="3204"/>
      <c r="F31" s="3204"/>
      <c r="G31" s="3204"/>
      <c r="H31" s="3211" t="str">
        <f>IF(I17-M17&gt;0,"无形资产摊销应予纳税调增"&amp;DOLLAR(I17-M17,2)&amp;"元！","无形资产会计摊销与税收摊销不存在差异，认可！")</f>
        <v>无形资产会计摊销与税收摊销不存在差异，认可！</v>
      </c>
      <c r="I31" s="3211"/>
      <c r="J31" s="3211"/>
      <c r="K31" s="3211"/>
      <c r="L31" s="3211"/>
      <c r="M31" s="3211"/>
      <c r="N31" s="3211"/>
      <c r="O31" s="3211"/>
      <c r="P31" s="3112" t="s">
        <v>1460</v>
      </c>
      <c r="Q31" s="3112"/>
      <c r="R31" s="3112"/>
      <c r="S31" s="3112"/>
      <c r="T31" s="3112"/>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207"/>
      <c r="L33" s="3207"/>
      <c r="M33" s="3207"/>
      <c r="N33" s="3207"/>
      <c r="O33" s="3207"/>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K33:O33"/>
    <mergeCell ref="P13:T21"/>
    <mergeCell ref="P23:T28"/>
    <mergeCell ref="H28:O28"/>
    <mergeCell ref="F29:O29"/>
    <mergeCell ref="P29:T30"/>
    <mergeCell ref="C28:G28"/>
    <mergeCell ref="H31:O31"/>
    <mergeCell ref="P31:T31"/>
    <mergeCell ref="A31:B31"/>
    <mergeCell ref="C31:G31"/>
    <mergeCell ref="A5:A6"/>
    <mergeCell ref="H5:H6"/>
    <mergeCell ref="B5:E5"/>
    <mergeCell ref="F5:F6"/>
    <mergeCell ref="G5:G6"/>
    <mergeCell ref="O5:O6"/>
    <mergeCell ref="I5:J5"/>
    <mergeCell ref="A29:B30"/>
    <mergeCell ref="C29:E29"/>
    <mergeCell ref="C30:O30"/>
    <mergeCell ref="A28:B28"/>
    <mergeCell ref="K5:K6"/>
    <mergeCell ref="L5:N5"/>
    <mergeCell ref="A3:F3"/>
    <mergeCell ref="A4:O4"/>
    <mergeCell ref="H3:I3"/>
    <mergeCell ref="K3:L3"/>
    <mergeCell ref="A1:O1"/>
    <mergeCell ref="A2:F2"/>
    <mergeCell ref="H2:I2"/>
    <mergeCell ref="K2:L2"/>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5.6"/>
  <cols>
    <col min="1" max="1" width="4.8984375" customWidth="1"/>
    <col min="2" max="2" width="6.19921875" customWidth="1"/>
    <col min="3" max="3" width="23.3984375" customWidth="1"/>
    <col min="4" max="6" width="11.69921875" customWidth="1"/>
    <col min="7" max="7" width="12.19921875" customWidth="1"/>
  </cols>
  <sheetData>
    <row r="1" spans="1:15" ht="22.2">
      <c r="A1" s="2729" t="s">
        <v>1461</v>
      </c>
      <c r="B1" s="2729"/>
      <c r="C1" s="2729"/>
      <c r="D1" s="2729"/>
      <c r="E1" s="2729"/>
      <c r="F1" s="2729"/>
      <c r="G1" s="2729"/>
      <c r="H1" s="693"/>
      <c r="I1" s="693"/>
      <c r="J1" s="84"/>
      <c r="K1" s="84"/>
      <c r="L1" s="84"/>
      <c r="M1" s="84"/>
      <c r="N1" s="84"/>
      <c r="O1" s="84"/>
    </row>
    <row r="2" spans="1:15">
      <c r="A2" s="2729"/>
      <c r="B2" s="2729"/>
      <c r="C2" s="2729"/>
      <c r="D2" s="2729"/>
      <c r="E2" s="2729"/>
      <c r="F2" s="2729"/>
      <c r="G2" s="2729"/>
      <c r="H2" s="84"/>
      <c r="I2" s="84"/>
      <c r="J2" s="84"/>
      <c r="K2" s="84"/>
      <c r="L2" s="84"/>
      <c r="M2" s="84"/>
      <c r="N2" s="84"/>
      <c r="O2" s="84"/>
    </row>
    <row r="3" spans="1:15">
      <c r="A3" s="3212" t="str">
        <f>"委托单位："&amp;基本情况!B2</f>
        <v>委托单位：0</v>
      </c>
      <c r="B3" s="3212"/>
      <c r="C3" s="3212"/>
      <c r="D3" s="509"/>
      <c r="E3" s="136" t="s">
        <v>448</v>
      </c>
      <c r="F3" s="136" t="s">
        <v>449</v>
      </c>
      <c r="G3" s="485" t="s">
        <v>283</v>
      </c>
      <c r="H3" s="84"/>
      <c r="I3" s="84"/>
      <c r="J3" s="84"/>
      <c r="K3" s="84"/>
      <c r="L3" s="84"/>
      <c r="M3" s="84"/>
      <c r="N3" s="84"/>
      <c r="O3" s="84"/>
    </row>
    <row r="4" spans="1:15" ht="17.25" customHeight="1">
      <c r="A4" s="3212"/>
      <c r="B4" s="3212"/>
      <c r="C4" s="3212"/>
      <c r="D4" s="158" t="s">
        <v>450</v>
      </c>
      <c r="E4" s="510">
        <f>基本情况!B12</f>
        <v>0</v>
      </c>
      <c r="F4" s="559" t="str">
        <f>TEXT(基本情况!B21,"yyyy-mm-dd")</f>
        <v>2017-03-16</v>
      </c>
      <c r="G4" s="3103" t="str">
        <f>档案索引!A39</f>
        <v>2A-19</v>
      </c>
      <c r="H4" s="84"/>
      <c r="I4" s="84"/>
      <c r="J4" s="84"/>
      <c r="K4" s="84"/>
      <c r="L4" s="84"/>
      <c r="M4" s="84"/>
      <c r="N4" s="84"/>
      <c r="O4" s="84"/>
    </row>
    <row r="5" spans="1:15" ht="17.25" customHeight="1">
      <c r="A5" s="3213" t="str">
        <f>"会计期间："&amp;基本情况!B7</f>
        <v>会计期间：2016年01月01日至2016年12月31日</v>
      </c>
      <c r="B5" s="3213"/>
      <c r="C5" s="3213"/>
      <c r="D5" s="140" t="s">
        <v>452</v>
      </c>
      <c r="E5" s="513">
        <f>基本情况!B11</f>
        <v>0</v>
      </c>
      <c r="F5" s="513" t="str">
        <f>TEXT(基本情况!B22,"yyyy-mm-dd")</f>
        <v>2017-05-04</v>
      </c>
      <c r="G5" s="3103"/>
      <c r="H5" s="84"/>
      <c r="I5" s="84"/>
      <c r="J5" s="84"/>
      <c r="K5" s="84"/>
      <c r="L5" s="84"/>
      <c r="M5" s="84"/>
      <c r="N5" s="84"/>
      <c r="O5" s="84"/>
    </row>
    <row r="6" spans="1:15" ht="7.5" customHeight="1">
      <c r="A6" s="2981"/>
      <c r="B6" s="2981"/>
      <c r="C6" s="2981"/>
      <c r="D6" s="2981"/>
      <c r="E6" s="2981"/>
      <c r="F6" s="2981"/>
      <c r="G6" s="2981"/>
      <c r="H6" s="84"/>
      <c r="I6" s="84"/>
      <c r="J6" s="84"/>
      <c r="K6" s="84"/>
      <c r="L6" s="84"/>
      <c r="M6" s="84"/>
      <c r="N6" s="84"/>
      <c r="O6" s="84"/>
    </row>
    <row r="7" spans="1:15" ht="20.25" customHeight="1">
      <c r="A7" s="135" t="s">
        <v>645</v>
      </c>
      <c r="B7" s="2920" t="s">
        <v>665</v>
      </c>
      <c r="C7" s="2920"/>
      <c r="D7" s="136" t="s">
        <v>1331</v>
      </c>
      <c r="E7" s="136" t="s">
        <v>1300</v>
      </c>
      <c r="F7" s="136" t="s">
        <v>1462</v>
      </c>
      <c r="G7" s="485" t="s">
        <v>1463</v>
      </c>
      <c r="H7" s="84" t="s">
        <v>395</v>
      </c>
      <c r="I7" s="84"/>
      <c r="J7" s="84"/>
      <c r="K7" s="84"/>
      <c r="L7" s="84"/>
      <c r="M7" s="84"/>
      <c r="N7" s="84"/>
      <c r="O7" s="84"/>
    </row>
    <row r="8" spans="1:15" ht="20.100000000000001" customHeight="1">
      <c r="A8" s="143">
        <v>1</v>
      </c>
      <c r="B8" s="3215" t="s">
        <v>1464</v>
      </c>
      <c r="C8" s="3215"/>
      <c r="D8" s="1120">
        <f>G24</f>
        <v>0</v>
      </c>
      <c r="E8" s="1134">
        <f>MIN(社保明细工资人数!B21,D8)</f>
        <v>0</v>
      </c>
      <c r="F8" s="525">
        <f>MAX(0,D8-E8)</f>
        <v>0</v>
      </c>
      <c r="G8" s="694" t="s">
        <v>509</v>
      </c>
      <c r="H8" s="84"/>
      <c r="I8" s="84"/>
      <c r="J8" s="84"/>
      <c r="K8" s="84"/>
      <c r="L8" s="84"/>
      <c r="M8" s="84"/>
      <c r="N8" s="84"/>
      <c r="O8" s="84"/>
    </row>
    <row r="9" spans="1:15" ht="20.100000000000001" customHeight="1">
      <c r="A9" s="143">
        <v>2</v>
      </c>
      <c r="B9" s="3215" t="s">
        <v>1465</v>
      </c>
      <c r="C9" s="3215"/>
      <c r="D9" s="526" t="s">
        <v>509</v>
      </c>
      <c r="E9" s="526" t="s">
        <v>509</v>
      </c>
      <c r="F9" s="526" t="s">
        <v>509</v>
      </c>
      <c r="G9" s="694" t="s">
        <v>509</v>
      </c>
      <c r="H9" s="3216" t="s">
        <v>1466</v>
      </c>
      <c r="I9" s="3216"/>
      <c r="J9" s="3216"/>
      <c r="K9" s="3216"/>
      <c r="L9" s="84"/>
      <c r="M9" s="84"/>
      <c r="N9" s="84"/>
      <c r="O9" s="84"/>
    </row>
    <row r="10" spans="1:15" ht="20.100000000000001" customHeight="1">
      <c r="A10" s="143">
        <v>3</v>
      </c>
      <c r="B10" s="3215" t="s">
        <v>1467</v>
      </c>
      <c r="C10" s="3215"/>
      <c r="D10" s="526" t="s">
        <v>509</v>
      </c>
      <c r="E10" s="526" t="s">
        <v>509</v>
      </c>
      <c r="F10" s="526" t="s">
        <v>509</v>
      </c>
      <c r="G10" s="694" t="s">
        <v>509</v>
      </c>
      <c r="H10" s="84"/>
      <c r="I10" s="84"/>
      <c r="J10" s="84"/>
      <c r="K10" s="84"/>
      <c r="L10" s="84"/>
      <c r="M10" s="84"/>
      <c r="N10" s="84"/>
      <c r="O10" s="84"/>
    </row>
    <row r="11" spans="1:15" ht="20.100000000000001" customHeight="1">
      <c r="A11" s="143">
        <v>4</v>
      </c>
      <c r="B11" s="3215" t="s">
        <v>1468</v>
      </c>
      <c r="C11" s="3215"/>
      <c r="D11" s="526" t="s">
        <v>509</v>
      </c>
      <c r="E11" s="526" t="s">
        <v>509</v>
      </c>
      <c r="F11" s="526" t="s">
        <v>509</v>
      </c>
      <c r="G11" s="694" t="s">
        <v>509</v>
      </c>
      <c r="H11" s="3216" t="s">
        <v>324</v>
      </c>
      <c r="I11" s="3216"/>
      <c r="J11" s="3216"/>
      <c r="K11" s="84"/>
      <c r="L11" s="84"/>
      <c r="M11" s="84"/>
      <c r="N11" s="84"/>
      <c r="O11" s="84"/>
    </row>
    <row r="12" spans="1:15" ht="19.5" customHeight="1">
      <c r="A12" s="143">
        <v>5</v>
      </c>
      <c r="B12" s="3215" t="s">
        <v>1469</v>
      </c>
      <c r="C12" s="3215"/>
      <c r="D12" s="526" t="s">
        <v>509</v>
      </c>
      <c r="E12" s="526" t="s">
        <v>509</v>
      </c>
      <c r="F12" s="526" t="s">
        <v>509</v>
      </c>
      <c r="G12" s="694" t="s">
        <v>509</v>
      </c>
      <c r="H12" s="84"/>
      <c r="I12" s="84"/>
      <c r="J12" s="84"/>
      <c r="K12" s="84"/>
      <c r="L12" s="84"/>
      <c r="M12" s="84"/>
      <c r="N12" s="84"/>
      <c r="O12" s="84"/>
    </row>
    <row r="13" spans="1:15" ht="20.100000000000001" customHeight="1">
      <c r="A13" s="143">
        <v>6</v>
      </c>
      <c r="B13" s="3215" t="s">
        <v>1470</v>
      </c>
      <c r="C13" s="3215"/>
      <c r="D13" s="526" t="s">
        <v>509</v>
      </c>
      <c r="E13" s="526" t="s">
        <v>509</v>
      </c>
      <c r="F13" s="526" t="s">
        <v>509</v>
      </c>
      <c r="G13" s="694" t="s">
        <v>509</v>
      </c>
      <c r="H13" s="3112" t="s">
        <v>10092</v>
      </c>
      <c r="I13" s="3112"/>
      <c r="J13" s="3112"/>
      <c r="K13" s="3112"/>
      <c r="L13" s="3112"/>
      <c r="M13" s="3112"/>
      <c r="N13" s="3112"/>
      <c r="O13" s="3112"/>
    </row>
    <row r="14" spans="1:15" ht="20.100000000000001" customHeight="1">
      <c r="A14" s="143">
        <v>7</v>
      </c>
      <c r="B14" s="3215" t="s">
        <v>1471</v>
      </c>
      <c r="C14" s="3215"/>
      <c r="D14" s="1682">
        <f>D15+D16</f>
        <v>0</v>
      </c>
      <c r="E14" s="1135">
        <f>E15+E16</f>
        <v>0</v>
      </c>
      <c r="F14" s="525">
        <f t="shared" ref="F14:F19" si="0">MAX(0,D14-E14)</f>
        <v>0</v>
      </c>
      <c r="G14" s="694" t="s">
        <v>509</v>
      </c>
      <c r="H14" s="3112"/>
      <c r="I14" s="3112"/>
      <c r="J14" s="3112"/>
      <c r="K14" s="3112"/>
      <c r="L14" s="3112"/>
      <c r="M14" s="3112"/>
      <c r="N14" s="3112"/>
      <c r="O14" s="3112"/>
    </row>
    <row r="15" spans="1:15" ht="20.100000000000001" customHeight="1">
      <c r="A15" s="143">
        <v>8</v>
      </c>
      <c r="B15" s="3215" t="s">
        <v>1472</v>
      </c>
      <c r="C15" s="3215"/>
      <c r="D15" s="1682">
        <f>社保明细工资人数!B36</f>
        <v>0</v>
      </c>
      <c r="E15" s="1134">
        <f>MIN(社保明细工资人数!B36,工资福利!C17*0.05)</f>
        <v>0</v>
      </c>
      <c r="F15" s="525">
        <f t="shared" si="0"/>
        <v>0</v>
      </c>
      <c r="G15" s="694" t="s">
        <v>509</v>
      </c>
      <c r="H15" s="3112"/>
      <c r="I15" s="3112"/>
      <c r="J15" s="3112"/>
      <c r="K15" s="3112"/>
      <c r="L15" s="3112"/>
      <c r="M15" s="3112"/>
      <c r="N15" s="3112"/>
      <c r="O15" s="3112"/>
    </row>
    <row r="16" spans="1:15" ht="20.100000000000001" customHeight="1">
      <c r="A16" s="143">
        <v>9</v>
      </c>
      <c r="B16" s="3215" t="s">
        <v>1473</v>
      </c>
      <c r="C16" s="3215"/>
      <c r="D16" s="1682">
        <f>社保明细工资人数!F36</f>
        <v>0</v>
      </c>
      <c r="E16" s="1134">
        <f>MIN(社保明细工资人数!F36,工资福利!C17*0.05)</f>
        <v>0</v>
      </c>
      <c r="F16" s="525">
        <f t="shared" si="0"/>
        <v>0</v>
      </c>
      <c r="G16" s="694" t="s">
        <v>509</v>
      </c>
      <c r="H16" s="3112"/>
      <c r="I16" s="3112"/>
      <c r="J16" s="3112"/>
      <c r="K16" s="3112"/>
      <c r="L16" s="3112"/>
      <c r="M16" s="3112"/>
      <c r="N16" s="3112"/>
      <c r="O16" s="3112"/>
    </row>
    <row r="17" spans="1:15" ht="20.100000000000001" customHeight="1">
      <c r="A17" s="143">
        <v>10</v>
      </c>
      <c r="B17" s="3215" t="s">
        <v>1474</v>
      </c>
      <c r="C17" s="3215"/>
      <c r="D17" s="1120">
        <f>G27</f>
        <v>0</v>
      </c>
      <c r="E17" s="1134">
        <f>社保明细工资人数!F21</f>
        <v>0</v>
      </c>
      <c r="F17" s="525">
        <f t="shared" si="0"/>
        <v>0</v>
      </c>
      <c r="G17" s="694" t="s">
        <v>509</v>
      </c>
      <c r="H17" s="3112"/>
      <c r="I17" s="3112"/>
      <c r="J17" s="3112"/>
      <c r="K17" s="3112"/>
      <c r="L17" s="3112"/>
      <c r="M17" s="3112"/>
      <c r="N17" s="3112"/>
      <c r="O17" s="3112"/>
    </row>
    <row r="18" spans="1:15" ht="20.100000000000001" customHeight="1">
      <c r="A18" s="143">
        <v>11</v>
      </c>
      <c r="B18" s="3215" t="s">
        <v>6097</v>
      </c>
      <c r="C18" s="3215"/>
      <c r="D18" s="1120"/>
      <c r="E18" s="1120"/>
      <c r="F18" s="525">
        <f t="shared" si="0"/>
        <v>0</v>
      </c>
      <c r="G18" s="694" t="s">
        <v>509</v>
      </c>
      <c r="H18" s="3112"/>
      <c r="I18" s="3112"/>
      <c r="J18" s="3112"/>
      <c r="K18" s="3112"/>
      <c r="L18" s="3112"/>
      <c r="M18" s="3112"/>
      <c r="N18" s="3112"/>
      <c r="O18" s="3112"/>
    </row>
    <row r="19" spans="1:15" ht="20.100000000000001" customHeight="1">
      <c r="A19" s="695">
        <v>12</v>
      </c>
      <c r="B19" s="3217"/>
      <c r="C19" s="3217"/>
      <c r="D19" s="1122"/>
      <c r="E19" s="1122"/>
      <c r="F19" s="525">
        <f t="shared" si="0"/>
        <v>0</v>
      </c>
      <c r="G19" s="694" t="s">
        <v>509</v>
      </c>
      <c r="H19" s="3112"/>
      <c r="I19" s="3112"/>
      <c r="J19" s="3112"/>
      <c r="K19" s="3112"/>
      <c r="L19" s="3112"/>
      <c r="M19" s="3112"/>
      <c r="N19" s="3112"/>
      <c r="O19" s="3112"/>
    </row>
    <row r="20" spans="1:15" ht="22.5" customHeight="1">
      <c r="A20" s="3043" t="s">
        <v>702</v>
      </c>
      <c r="B20" s="3043"/>
      <c r="C20" s="3043"/>
      <c r="D20" s="697">
        <f>D8+D14+D17+D18</f>
        <v>0</v>
      </c>
      <c r="E20" s="697">
        <f>E8+E14+E17+E18</f>
        <v>0</v>
      </c>
      <c r="F20" s="697">
        <f>F8+F14+F17+F18</f>
        <v>0</v>
      </c>
      <c r="G20" s="698"/>
      <c r="H20" s="523"/>
      <c r="I20" s="592"/>
      <c r="J20" s="592"/>
      <c r="K20" s="592"/>
      <c r="L20" s="592"/>
      <c r="M20" s="592"/>
      <c r="N20" s="592"/>
      <c r="O20" s="592"/>
    </row>
    <row r="21" spans="1:15" s="558" customFormat="1" ht="20.25" customHeight="1">
      <c r="A21" s="3214" t="s">
        <v>1475</v>
      </c>
      <c r="B21" s="3214"/>
      <c r="C21" s="3214"/>
      <c r="D21" s="3214"/>
      <c r="E21" s="3214"/>
      <c r="F21" s="3214"/>
      <c r="G21" s="3214"/>
      <c r="H21" s="557"/>
      <c r="I21" s="557"/>
      <c r="J21" s="557"/>
      <c r="K21" s="557"/>
      <c r="L21" s="557"/>
      <c r="M21" s="557"/>
      <c r="N21" s="557"/>
      <c r="O21" s="557"/>
    </row>
    <row r="22" spans="1:15" s="558" customFormat="1" ht="19.5" customHeight="1">
      <c r="A22" s="3218" t="s">
        <v>1476</v>
      </c>
      <c r="B22" s="3218"/>
      <c r="C22" s="3218"/>
      <c r="D22" s="3218"/>
      <c r="E22" s="3218"/>
      <c r="F22" s="3218"/>
      <c r="G22" s="3218"/>
      <c r="H22" s="557"/>
      <c r="I22" s="557"/>
      <c r="J22" s="557"/>
      <c r="K22" s="557"/>
      <c r="L22" s="557"/>
      <c r="M22" s="557"/>
      <c r="N22" s="557"/>
      <c r="O22" s="557"/>
    </row>
    <row r="23" spans="1:15" s="558" customFormat="1" ht="19.5" customHeight="1">
      <c r="A23" s="3080" t="s">
        <v>853</v>
      </c>
      <c r="B23" s="3080"/>
      <c r="C23" s="158" t="s">
        <v>1292</v>
      </c>
      <c r="D23" s="158" t="s">
        <v>854</v>
      </c>
      <c r="E23" s="158" t="s">
        <v>855</v>
      </c>
      <c r="F23" s="158" t="s">
        <v>856</v>
      </c>
      <c r="G23" s="159" t="s">
        <v>702</v>
      </c>
      <c r="H23" s="557"/>
      <c r="I23" s="557"/>
      <c r="J23" s="557"/>
      <c r="K23" s="557"/>
      <c r="L23" s="557"/>
      <c r="M23" s="557"/>
      <c r="N23" s="557"/>
      <c r="O23" s="557"/>
    </row>
    <row r="24" spans="1:15" s="558" customFormat="1" ht="19.5" customHeight="1">
      <c r="A24" s="2925" t="s">
        <v>557</v>
      </c>
      <c r="B24" s="2925"/>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224" t="s">
        <v>1477</v>
      </c>
      <c r="B25" s="3224"/>
      <c r="C25" s="3224"/>
      <c r="D25" s="3224"/>
      <c r="E25" s="3224"/>
      <c r="F25" s="3224"/>
      <c r="G25" s="3224"/>
      <c r="H25" s="557"/>
      <c r="I25" s="557"/>
      <c r="J25" s="557"/>
      <c r="K25" s="557"/>
      <c r="L25" s="557"/>
      <c r="M25" s="557"/>
      <c r="N25" s="557"/>
      <c r="O25" s="557"/>
    </row>
    <row r="26" spans="1:15" s="558" customFormat="1" ht="19.5" customHeight="1">
      <c r="A26" s="3080" t="s">
        <v>853</v>
      </c>
      <c r="B26" s="3080"/>
      <c r="C26" s="158" t="s">
        <v>1292</v>
      </c>
      <c r="D26" s="158" t="s">
        <v>854</v>
      </c>
      <c r="E26" s="158" t="s">
        <v>855</v>
      </c>
      <c r="F26" s="158" t="s">
        <v>856</v>
      </c>
      <c r="G26" s="159" t="s">
        <v>702</v>
      </c>
      <c r="H26" s="557"/>
      <c r="I26" s="557"/>
      <c r="J26" s="557"/>
      <c r="K26" s="557"/>
      <c r="L26" s="557"/>
      <c r="M26" s="557"/>
      <c r="N26" s="557"/>
      <c r="O26" s="557"/>
    </row>
    <row r="27" spans="1:15" s="558" customFormat="1" ht="19.5" customHeight="1">
      <c r="A27" s="3169" t="s">
        <v>557</v>
      </c>
      <c r="B27" s="3169"/>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43" t="s">
        <v>641</v>
      </c>
      <c r="B28" s="3043"/>
      <c r="C28" s="3221" t="str">
        <f>IF(G24&lt;&gt;D8,"保障性缴款原始凭证检查金额与账载数不符，请检查！","保障性缴款原始凭证检查金额与账载数相符！")</f>
        <v>保障性缴款原始凭证检查金额与账载数相符！</v>
      </c>
      <c r="D28" s="3221"/>
      <c r="E28" s="3222" t="str">
        <f>IF(G27&lt;&gt;D17,"住房公积金原始凭证检查金额与账载数不符，请检查！","住房公积金原始凭证检查金额与账载数相符！")</f>
        <v>住房公积金原始凭证检查金额与账载数相符！</v>
      </c>
      <c r="F28" s="3222"/>
      <c r="G28" s="3222"/>
      <c r="H28" s="557"/>
      <c r="I28" s="557"/>
      <c r="J28" s="557"/>
      <c r="K28" s="557"/>
      <c r="L28" s="557"/>
      <c r="M28" s="557"/>
      <c r="N28" s="557"/>
      <c r="O28" s="557"/>
    </row>
    <row r="29" spans="1:15" ht="15" customHeight="1">
      <c r="A29" s="3163" t="s">
        <v>1323</v>
      </c>
      <c r="B29" s="3163"/>
      <c r="C29" s="550" t="s">
        <v>1248</v>
      </c>
      <c r="D29" s="3131" t="str">
        <f>IF(OR(F8&gt;0,F17&gt;0),"、E","")</f>
        <v/>
      </c>
      <c r="E29" s="3131"/>
      <c r="F29" s="3131"/>
      <c r="G29" s="3131"/>
      <c r="H29" s="523"/>
      <c r="I29" s="592"/>
      <c r="J29" s="592"/>
      <c r="K29" s="592"/>
      <c r="L29" s="592"/>
      <c r="M29" s="592"/>
      <c r="N29" s="592"/>
      <c r="O29" s="592"/>
    </row>
    <row r="30" spans="1:15" ht="107.25" customHeight="1">
      <c r="A30" s="3163"/>
      <c r="B30" s="3163"/>
      <c r="C30" s="3223"/>
      <c r="D30" s="3223"/>
      <c r="E30" s="3223"/>
      <c r="F30" s="3223"/>
      <c r="G30" s="3223"/>
      <c r="H30" s="84"/>
      <c r="I30" s="84"/>
      <c r="J30" s="84"/>
      <c r="K30" s="84"/>
      <c r="L30" s="84"/>
      <c r="M30" s="84"/>
      <c r="N30" s="84"/>
      <c r="O30" s="84"/>
    </row>
    <row r="31" spans="1:15" ht="14.25" customHeight="1">
      <c r="A31" s="3178" t="s">
        <v>574</v>
      </c>
      <c r="B31" s="3178"/>
      <c r="C31" s="3219" t="str">
        <f>IF(F8&lt;&gt;0,"实际列支社会保障性缴款大于税法允许列支的限额,应予纳税调整增加"&amp;DOLLAR(F8,2)&amp;"元！","不存在社会保障性缴款调整事项，认可！")</f>
        <v>不存在社会保障性缴款调整事项，认可！</v>
      </c>
      <c r="D31" s="3219"/>
      <c r="E31" s="3219"/>
      <c r="F31" s="3219"/>
      <c r="G31" s="3219"/>
      <c r="H31" s="84"/>
      <c r="I31" s="84"/>
      <c r="J31" s="84"/>
      <c r="K31" s="84"/>
      <c r="L31" s="84"/>
      <c r="M31" s="84"/>
      <c r="N31" s="84"/>
      <c r="O31" s="84"/>
    </row>
    <row r="32" spans="1:15">
      <c r="A32" s="3178"/>
      <c r="B32" s="3178"/>
      <c r="C32" s="3219"/>
      <c r="D32" s="3219"/>
      <c r="E32" s="3219"/>
      <c r="F32" s="3219"/>
      <c r="G32" s="3219"/>
      <c r="H32" s="84"/>
      <c r="I32" s="84"/>
      <c r="J32" s="84"/>
      <c r="K32" s="84"/>
      <c r="L32" s="84"/>
      <c r="M32" s="84"/>
      <c r="N32" s="84"/>
      <c r="O32" s="84"/>
    </row>
    <row r="33" spans="1:15">
      <c r="A33" s="3178"/>
      <c r="B33" s="3178"/>
      <c r="C33" s="3220" t="str">
        <f>IF(F17&lt;&gt;0,"实际列支住房公积金大于税法允许列支的限额,应予纳税调整增加"&amp;DOLLAR(F17,2)&amp;"元！","不存在住房公积金调整事项，认可！")</f>
        <v>不存在住房公积金调整事项，认可！</v>
      </c>
      <c r="D33" s="3220"/>
      <c r="E33" s="3220"/>
      <c r="F33" s="3220"/>
      <c r="G33" s="3220"/>
      <c r="H33" s="84"/>
      <c r="I33" s="84"/>
      <c r="J33" s="84"/>
      <c r="K33" s="84"/>
      <c r="L33" s="84"/>
      <c r="M33" s="84"/>
      <c r="N33" s="84"/>
      <c r="O33" s="84"/>
    </row>
    <row r="34" spans="1:15">
      <c r="A34" s="3178"/>
      <c r="B34" s="3178"/>
      <c r="C34" s="3220"/>
      <c r="D34" s="3220"/>
      <c r="E34" s="3220"/>
      <c r="F34" s="3220"/>
      <c r="G34" s="3220"/>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 ref="H9:K9"/>
    <mergeCell ref="B10:C10"/>
    <mergeCell ref="B12:C12"/>
    <mergeCell ref="B13:C13"/>
    <mergeCell ref="H13:O19"/>
    <mergeCell ref="B14:C14"/>
    <mergeCell ref="B15:C15"/>
    <mergeCell ref="B16:C16"/>
    <mergeCell ref="B17:C17"/>
    <mergeCell ref="B18:C18"/>
    <mergeCell ref="B11:C11"/>
    <mergeCell ref="H11:J11"/>
    <mergeCell ref="B19:C19"/>
    <mergeCell ref="A20:C20"/>
    <mergeCell ref="A21:G21"/>
    <mergeCell ref="B7:C7"/>
    <mergeCell ref="B8:C8"/>
    <mergeCell ref="B9:C9"/>
    <mergeCell ref="A1:G2"/>
    <mergeCell ref="A3:C4"/>
    <mergeCell ref="G4:G5"/>
    <mergeCell ref="A5:C5"/>
    <mergeCell ref="A6:G6"/>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J9" sqref="J9:J20"/>
    </sheetView>
  </sheetViews>
  <sheetFormatPr defaultRowHeight="15.6"/>
  <cols>
    <col min="1" max="1" width="5.19921875" customWidth="1"/>
    <col min="10" max="10" width="8.3984375" customWidth="1"/>
    <col min="35" max="165" width="9" style="705"/>
  </cols>
  <sheetData>
    <row r="1" spans="1:34">
      <c r="A1" s="2729" t="s">
        <v>1478</v>
      </c>
      <c r="B1" s="2729"/>
      <c r="C1" s="2729"/>
      <c r="D1" s="2729"/>
      <c r="E1" s="2729"/>
      <c r="F1" s="2729"/>
      <c r="G1" s="2729"/>
      <c r="H1" s="2729"/>
      <c r="I1" s="2729"/>
      <c r="J1" s="2729"/>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29"/>
      <c r="B2" s="2729"/>
      <c r="C2" s="2729"/>
      <c r="D2" s="2729"/>
      <c r="E2" s="2729"/>
      <c r="F2" s="2729"/>
      <c r="G2" s="2729"/>
      <c r="H2" s="2729"/>
      <c r="I2" s="2729"/>
      <c r="J2" s="2729"/>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212" t="str">
        <f>"委托单位："&amp;基本情况!B2</f>
        <v>委托单位：0</v>
      </c>
      <c r="B3" s="3212"/>
      <c r="C3" s="3212"/>
      <c r="D3" s="3212"/>
      <c r="E3" s="3212"/>
      <c r="F3" s="509"/>
      <c r="G3" s="2920" t="s">
        <v>448</v>
      </c>
      <c r="H3" s="2920"/>
      <c r="I3" s="136" t="s">
        <v>449</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212"/>
      <c r="B4" s="3212"/>
      <c r="C4" s="3212"/>
      <c r="D4" s="3212"/>
      <c r="E4" s="3212"/>
      <c r="F4" s="158" t="s">
        <v>450</v>
      </c>
      <c r="G4" s="3226">
        <f>基本情况!B12</f>
        <v>0</v>
      </c>
      <c r="H4" s="3226"/>
      <c r="I4" s="559" t="str">
        <f>TEXT(基本情况!B21,"yyyy-mm-dd")</f>
        <v>2017-03-16</v>
      </c>
      <c r="J4" s="3227"/>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213" t="str">
        <f>"会计期间："&amp;基本情况!B7</f>
        <v>会计期间：2016年01月01日至2016年12月31日</v>
      </c>
      <c r="B5" s="3213"/>
      <c r="C5" s="3213"/>
      <c r="D5" s="3213"/>
      <c r="E5" s="3213"/>
      <c r="F5" s="140" t="s">
        <v>452</v>
      </c>
      <c r="G5" s="3052">
        <f>基本情况!B11</f>
        <v>0</v>
      </c>
      <c r="H5" s="3052"/>
      <c r="I5" s="513" t="str">
        <f>TEXT(基本情况!B22,"yyyy-mm-dd")</f>
        <v>2017-05-04</v>
      </c>
      <c r="J5" s="3227"/>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81"/>
      <c r="B6" s="2981"/>
      <c r="C6" s="2981"/>
      <c r="D6" s="2981"/>
      <c r="E6" s="2981"/>
      <c r="F6" s="2981"/>
      <c r="G6" s="2981"/>
      <c r="H6" s="2981"/>
      <c r="I6" s="2981"/>
      <c r="J6" s="2981"/>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46" t="s">
        <v>660</v>
      </c>
      <c r="B7" s="2920" t="s">
        <v>1479</v>
      </c>
      <c r="C7" s="2920"/>
      <c r="D7" s="2920"/>
      <c r="E7" s="2920"/>
      <c r="F7" s="2920" t="s">
        <v>1480</v>
      </c>
      <c r="G7" s="2920"/>
      <c r="H7" s="2920"/>
      <c r="I7" s="2920"/>
      <c r="J7" s="1633" t="s">
        <v>1481</v>
      </c>
      <c r="K7" s="706" t="s">
        <v>395</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46"/>
      <c r="B8" s="2928" t="s">
        <v>1482</v>
      </c>
      <c r="C8" s="2928"/>
      <c r="D8" s="2928" t="s">
        <v>1483</v>
      </c>
      <c r="E8" s="2928"/>
      <c r="F8" s="2928" t="s">
        <v>1482</v>
      </c>
      <c r="G8" s="2928"/>
      <c r="H8" s="2928" t="s">
        <v>1483</v>
      </c>
      <c r="I8" s="2928"/>
      <c r="J8" s="2055"/>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25"/>
      <c r="C9" s="3225"/>
      <c r="D9" s="3225"/>
      <c r="E9" s="3225"/>
      <c r="F9" s="3225"/>
      <c r="G9" s="3225"/>
      <c r="H9" s="3225"/>
      <c r="I9" s="3225"/>
      <c r="J9" s="1259"/>
      <c r="K9" s="708" t="s">
        <v>1479</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25"/>
      <c r="C10" s="3225"/>
      <c r="D10" s="3225"/>
      <c r="E10" s="3225"/>
      <c r="F10" s="3225"/>
      <c r="G10" s="3225"/>
      <c r="H10" s="3225"/>
      <c r="I10" s="3225"/>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25"/>
      <c r="C11" s="3225"/>
      <c r="D11" s="3225"/>
      <c r="E11" s="3225"/>
      <c r="F11" s="3225"/>
      <c r="G11" s="3225"/>
      <c r="H11" s="3225"/>
      <c r="I11" s="3225"/>
      <c r="J11" s="1259"/>
      <c r="K11" s="708" t="s">
        <v>1484</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25"/>
      <c r="C12" s="3225"/>
      <c r="D12" s="3225"/>
      <c r="E12" s="3225"/>
      <c r="F12" s="3225"/>
      <c r="G12" s="3225"/>
      <c r="H12" s="3225"/>
      <c r="I12" s="3225"/>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25"/>
      <c r="C13" s="3225"/>
      <c r="D13" s="3225"/>
      <c r="E13" s="3225"/>
      <c r="F13" s="3225"/>
      <c r="G13" s="3225"/>
      <c r="H13" s="3225"/>
      <c r="I13" s="3225"/>
      <c r="J13" s="1259"/>
      <c r="K13" s="708" t="s">
        <v>1485</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25"/>
      <c r="C14" s="3225"/>
      <c r="D14" s="3225"/>
      <c r="E14" s="3225"/>
      <c r="F14" s="3225"/>
      <c r="G14" s="3225"/>
      <c r="H14" s="3225"/>
      <c r="I14" s="3225"/>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25"/>
      <c r="C15" s="3225"/>
      <c r="D15" s="3225"/>
      <c r="E15" s="3225"/>
      <c r="F15" s="3225"/>
      <c r="G15" s="3225"/>
      <c r="H15" s="3225"/>
      <c r="I15" s="3225"/>
      <c r="J15" s="1259"/>
      <c r="K15" s="708" t="s">
        <v>1486</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25"/>
      <c r="C16" s="3225"/>
      <c r="D16" s="3225"/>
      <c r="E16" s="3225"/>
      <c r="F16" s="3225"/>
      <c r="G16" s="3225"/>
      <c r="H16" s="3225"/>
      <c r="I16" s="3225"/>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25"/>
      <c r="C17" s="3225"/>
      <c r="D17" s="3225"/>
      <c r="E17" s="3225"/>
      <c r="F17" s="3225"/>
      <c r="G17" s="3225"/>
      <c r="H17" s="3225"/>
      <c r="I17" s="3225"/>
      <c r="J17" s="1259"/>
      <c r="K17" s="1270" t="s">
        <v>1335</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25"/>
      <c r="C18" s="3225"/>
      <c r="D18" s="3225"/>
      <c r="E18" s="3225"/>
      <c r="F18" s="3225"/>
      <c r="G18" s="3225"/>
      <c r="H18" s="3225"/>
      <c r="I18" s="3225"/>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25"/>
      <c r="C19" s="3225"/>
      <c r="D19" s="3225"/>
      <c r="E19" s="3225"/>
      <c r="F19" s="3225"/>
      <c r="G19" s="3225"/>
      <c r="H19" s="3225"/>
      <c r="I19" s="3225"/>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25"/>
      <c r="C20" s="3225"/>
      <c r="D20" s="3225"/>
      <c r="E20" s="3225"/>
      <c r="F20" s="3225"/>
      <c r="G20" s="3225"/>
      <c r="H20" s="3225"/>
      <c r="I20" s="3225"/>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702</v>
      </c>
      <c r="B21" s="3228">
        <f>SUM(B9:C20)</f>
        <v>0</v>
      </c>
      <c r="C21" s="3228"/>
      <c r="D21" s="3228">
        <f>SUM(D9:E20)</f>
        <v>0</v>
      </c>
      <c r="E21" s="3228"/>
      <c r="F21" s="3228">
        <f>SUM(F9:G20)</f>
        <v>0</v>
      </c>
      <c r="G21" s="3228"/>
      <c r="H21" s="3228">
        <f>SUM(H9:I20)</f>
        <v>0</v>
      </c>
      <c r="I21" s="3228"/>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46" t="s">
        <v>660</v>
      </c>
      <c r="B22" s="2920" t="s">
        <v>1487</v>
      </c>
      <c r="C22" s="2920"/>
      <c r="D22" s="2920"/>
      <c r="E22" s="2920"/>
      <c r="F22" s="2920" t="s">
        <v>1488</v>
      </c>
      <c r="G22" s="2920"/>
      <c r="H22" s="2920"/>
      <c r="I22" s="2920"/>
      <c r="J22" s="3229" t="s">
        <v>1638</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46"/>
      <c r="B23" s="2928" t="s">
        <v>1482</v>
      </c>
      <c r="C23" s="2928"/>
      <c r="D23" s="2928" t="s">
        <v>1483</v>
      </c>
      <c r="E23" s="2928"/>
      <c r="F23" s="2928" t="s">
        <v>1482</v>
      </c>
      <c r="G23" s="2928"/>
      <c r="H23" s="2928" t="s">
        <v>1483</v>
      </c>
      <c r="I23" s="2928"/>
      <c r="J23" s="3230"/>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25"/>
      <c r="C24" s="3225"/>
      <c r="D24" s="3225"/>
      <c r="E24" s="3225"/>
      <c r="F24" s="3225"/>
      <c r="G24" s="3225"/>
      <c r="H24" s="3225"/>
      <c r="I24" s="3225"/>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25"/>
      <c r="C25" s="3225"/>
      <c r="D25" s="3225"/>
      <c r="E25" s="3225"/>
      <c r="F25" s="3225"/>
      <c r="G25" s="3225"/>
      <c r="H25" s="3225"/>
      <c r="I25" s="3225"/>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25"/>
      <c r="C26" s="3225"/>
      <c r="D26" s="3225"/>
      <c r="E26" s="3225"/>
      <c r="F26" s="3225"/>
      <c r="G26" s="3225"/>
      <c r="H26" s="3225"/>
      <c r="I26" s="3225"/>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25"/>
      <c r="C27" s="3225"/>
      <c r="D27" s="3225"/>
      <c r="E27" s="3225"/>
      <c r="F27" s="3225"/>
      <c r="G27" s="3225"/>
      <c r="H27" s="3225"/>
      <c r="I27" s="3225"/>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25"/>
      <c r="C28" s="3225"/>
      <c r="D28" s="3225"/>
      <c r="E28" s="3225"/>
      <c r="F28" s="3225"/>
      <c r="G28" s="3225"/>
      <c r="H28" s="3225"/>
      <c r="I28" s="3225"/>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25"/>
      <c r="C29" s="3225"/>
      <c r="D29" s="3225"/>
      <c r="E29" s="3225"/>
      <c r="F29" s="3225"/>
      <c r="G29" s="3225"/>
      <c r="H29" s="3225"/>
      <c r="I29" s="3225"/>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25"/>
      <c r="C30" s="3225"/>
      <c r="D30" s="3225"/>
      <c r="E30" s="3225"/>
      <c r="F30" s="3225"/>
      <c r="G30" s="3225"/>
      <c r="H30" s="3225"/>
      <c r="I30" s="3225"/>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25"/>
      <c r="C31" s="3225"/>
      <c r="D31" s="3225"/>
      <c r="E31" s="3225"/>
      <c r="F31" s="3225"/>
      <c r="G31" s="3225"/>
      <c r="H31" s="3225"/>
      <c r="I31" s="3225"/>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25"/>
      <c r="C32" s="3225"/>
      <c r="D32" s="3225"/>
      <c r="E32" s="3225"/>
      <c r="F32" s="3225"/>
      <c r="G32" s="3225"/>
      <c r="H32" s="3225"/>
      <c r="I32" s="3225"/>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25"/>
      <c r="C33" s="3225"/>
      <c r="D33" s="3225"/>
      <c r="E33" s="3225"/>
      <c r="F33" s="3225"/>
      <c r="G33" s="3225"/>
      <c r="H33" s="3225"/>
      <c r="I33" s="3225"/>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25"/>
      <c r="C34" s="3225"/>
      <c r="D34" s="3225"/>
      <c r="E34" s="3225"/>
      <c r="F34" s="3225"/>
      <c r="G34" s="3225"/>
      <c r="H34" s="3225"/>
      <c r="I34" s="3225"/>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25"/>
      <c r="C35" s="3225"/>
      <c r="D35" s="3225"/>
      <c r="E35" s="3225"/>
      <c r="F35" s="3225"/>
      <c r="G35" s="3225"/>
      <c r="H35" s="3225"/>
      <c r="I35" s="3225"/>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702</v>
      </c>
      <c r="B36" s="3228">
        <f>SUM(B24:C35)</f>
        <v>0</v>
      </c>
      <c r="C36" s="3228"/>
      <c r="D36" s="3228">
        <f>SUM(D24:E35)</f>
        <v>0</v>
      </c>
      <c r="E36" s="3228"/>
      <c r="F36" s="3228">
        <f>SUM(F24:G35)</f>
        <v>0</v>
      </c>
      <c r="G36" s="3228"/>
      <c r="H36" s="3228">
        <f>SUM(H24:I35)</f>
        <v>0</v>
      </c>
      <c r="I36" s="3228"/>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A1:J2"/>
    <mergeCell ref="A3:E4"/>
    <mergeCell ref="G3:H3"/>
    <mergeCell ref="G4:H4"/>
    <mergeCell ref="J4:J5"/>
    <mergeCell ref="G5:H5"/>
    <mergeCell ref="A6:J6"/>
    <mergeCell ref="A7:A8"/>
    <mergeCell ref="B7:E7"/>
    <mergeCell ref="A5:E5"/>
    <mergeCell ref="D8:E8"/>
    <mergeCell ref="F8:G8"/>
    <mergeCell ref="H8:I8"/>
    <mergeCell ref="F9:G9"/>
    <mergeCell ref="F7:I7"/>
    <mergeCell ref="B8:C8"/>
    <mergeCell ref="H9:I9"/>
    <mergeCell ref="B10:C10"/>
    <mergeCell ref="D10:E10"/>
    <mergeCell ref="F10:G10"/>
    <mergeCell ref="H10:I10"/>
    <mergeCell ref="B11:C11"/>
    <mergeCell ref="D11:E11"/>
    <mergeCell ref="F11:G11"/>
    <mergeCell ref="H11:I11"/>
    <mergeCell ref="B9:C9"/>
    <mergeCell ref="D9:E9"/>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5.6"/>
  <cols>
    <col min="1" max="1" width="5.59765625" style="168" customWidth="1"/>
    <col min="2" max="2" width="3.09765625" style="168" customWidth="1"/>
    <col min="3" max="3" width="11" style="168" customWidth="1"/>
    <col min="4" max="4" width="14.59765625" style="168" customWidth="1"/>
    <col min="5" max="6" width="7" style="168" customWidth="1"/>
    <col min="7" max="7" width="3.5" style="168" customWidth="1"/>
    <col min="8" max="8" width="2.8984375" style="168" customWidth="1"/>
    <col min="9" max="9" width="8" style="168" customWidth="1"/>
    <col min="10" max="10" width="13.8984375" style="168" customWidth="1"/>
    <col min="11" max="11" width="7.8984375" style="168" customWidth="1"/>
    <col min="12" max="16384" width="9" style="168"/>
  </cols>
  <sheetData>
    <row r="1" spans="1:20" ht="22.2">
      <c r="A1" s="2706" t="s">
        <v>360</v>
      </c>
      <c r="B1" s="2706"/>
      <c r="C1" s="2706"/>
      <c r="D1" s="2706"/>
      <c r="E1" s="2706"/>
      <c r="F1" s="2706"/>
      <c r="G1" s="2706"/>
      <c r="H1" s="2706"/>
      <c r="I1" s="2706"/>
      <c r="J1" s="2706"/>
      <c r="K1" s="2706"/>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46" t="s">
        <v>447</v>
      </c>
      <c r="B3" s="3046"/>
      <c r="C3" s="2919">
        <f>基本情况!B2</f>
        <v>0</v>
      </c>
      <c r="D3" s="2919"/>
      <c r="E3" s="369" t="s">
        <v>450</v>
      </c>
      <c r="F3" s="3048">
        <f>基本情况!B12</f>
        <v>0</v>
      </c>
      <c r="G3" s="3048"/>
      <c r="H3" s="3048"/>
      <c r="I3" s="710" t="s">
        <v>449</v>
      </c>
      <c r="J3" s="711" t="str">
        <f>TEXT(基本情况!B21,"yyyy-mm-dd")</f>
        <v>2017-03-16</v>
      </c>
      <c r="K3" s="712" t="s">
        <v>283</v>
      </c>
      <c r="L3" s="169"/>
      <c r="M3" s="169"/>
      <c r="N3" s="169"/>
      <c r="O3" s="169"/>
      <c r="P3" s="169"/>
      <c r="Q3" s="169"/>
      <c r="R3" s="169"/>
      <c r="S3" s="169"/>
    </row>
    <row r="4" spans="1:20" ht="18" customHeight="1">
      <c r="A4" s="2926" t="s">
        <v>451</v>
      </c>
      <c r="B4" s="2926"/>
      <c r="C4" s="2921" t="str">
        <f>基本情况!B7</f>
        <v>2016年01月01日至2016年12月31日</v>
      </c>
      <c r="D4" s="2921"/>
      <c r="E4" s="373" t="s">
        <v>452</v>
      </c>
      <c r="F4" s="3052">
        <f>基本情况!B11</f>
        <v>0</v>
      </c>
      <c r="G4" s="3052"/>
      <c r="H4" s="3052"/>
      <c r="I4" s="713" t="s">
        <v>449</v>
      </c>
      <c r="J4" s="374" t="str">
        <f>TEXT(基本情况!B22,"yyyy-mm-dd")</f>
        <v>2017-05-04</v>
      </c>
      <c r="K4" s="541" t="str">
        <f>档案索引!A40</f>
        <v>2A-20</v>
      </c>
      <c r="L4" s="169"/>
      <c r="M4" s="169"/>
      <c r="N4" s="169"/>
      <c r="O4" s="169"/>
      <c r="P4" s="169"/>
      <c r="Q4" s="169"/>
      <c r="R4" s="169"/>
      <c r="S4" s="169"/>
    </row>
    <row r="5" spans="1:20" ht="7.5" customHeight="1">
      <c r="A5" s="2916"/>
      <c r="B5" s="2916"/>
      <c r="C5" s="2916"/>
      <c r="D5" s="2916"/>
      <c r="E5" s="2916"/>
      <c r="F5" s="2916"/>
      <c r="G5" s="2916"/>
      <c r="H5" s="2916"/>
      <c r="I5" s="2916"/>
      <c r="J5" s="2916"/>
      <c r="K5" s="2916"/>
      <c r="L5" s="169"/>
      <c r="M5" s="169"/>
      <c r="N5" s="169"/>
      <c r="O5" s="169"/>
      <c r="P5" s="169"/>
      <c r="Q5" s="169"/>
      <c r="R5" s="169"/>
      <c r="S5" s="169"/>
    </row>
    <row r="6" spans="1:20" ht="19.5" customHeight="1">
      <c r="A6" s="3150" t="s">
        <v>665</v>
      </c>
      <c r="B6" s="3150"/>
      <c r="C6" s="3045" t="s">
        <v>1489</v>
      </c>
      <c r="D6" s="3045"/>
      <c r="E6" s="3045" t="s">
        <v>1490</v>
      </c>
      <c r="F6" s="3045"/>
      <c r="G6" s="3045" t="s">
        <v>1491</v>
      </c>
      <c r="H6" s="3045"/>
      <c r="I6" s="3045"/>
      <c r="J6" s="376" t="s">
        <v>1492</v>
      </c>
      <c r="K6" s="544" t="s">
        <v>455</v>
      </c>
      <c r="L6" s="84" t="s">
        <v>395</v>
      </c>
      <c r="M6" s="169"/>
      <c r="N6" s="169"/>
      <c r="O6" s="169"/>
      <c r="P6" s="169"/>
      <c r="Q6" s="169"/>
      <c r="R6" s="169"/>
      <c r="S6" s="169"/>
    </row>
    <row r="7" spans="1:20" ht="18" customHeight="1">
      <c r="A7" s="3046" t="s">
        <v>1493</v>
      </c>
      <c r="B7" s="3046"/>
      <c r="C7" s="3231"/>
      <c r="D7" s="3231"/>
      <c r="E7" s="3232">
        <f>SUM(E8:F14)</f>
        <v>0</v>
      </c>
      <c r="F7" s="3232"/>
      <c r="G7" s="3232">
        <f>E7-J7</f>
        <v>0</v>
      </c>
      <c r="H7" s="3232"/>
      <c r="I7" s="3232"/>
      <c r="J7" s="714">
        <f>SUM(J8:J14)</f>
        <v>0</v>
      </c>
      <c r="K7" s="383"/>
      <c r="L7" s="169"/>
      <c r="M7" s="169"/>
      <c r="N7" s="169"/>
      <c r="O7" s="169"/>
      <c r="P7" s="169"/>
      <c r="Q7" s="169"/>
      <c r="R7" s="169"/>
      <c r="S7" s="169"/>
    </row>
    <row r="8" spans="1:20" ht="18" customHeight="1">
      <c r="A8" s="3233"/>
      <c r="B8" s="3233"/>
      <c r="C8" s="3234"/>
      <c r="D8" s="3234"/>
      <c r="E8" s="3145"/>
      <c r="F8" s="3145"/>
      <c r="G8" s="3146">
        <f t="shared" ref="G8:G14" si="0">E8-J8</f>
        <v>0</v>
      </c>
      <c r="H8" s="3146"/>
      <c r="I8" s="3146"/>
      <c r="J8" s="1095">
        <f t="shared" ref="J8:J14" si="1">E8</f>
        <v>0</v>
      </c>
      <c r="K8" s="388"/>
      <c r="L8" s="3143" t="s">
        <v>1494</v>
      </c>
      <c r="M8" s="3143"/>
      <c r="N8" s="3143"/>
      <c r="O8" s="169"/>
      <c r="P8" s="169"/>
      <c r="Q8" s="169"/>
      <c r="R8" s="169"/>
      <c r="S8" s="169"/>
    </row>
    <row r="9" spans="1:20" ht="18" customHeight="1">
      <c r="A9" s="3233"/>
      <c r="B9" s="3233"/>
      <c r="C9" s="3234"/>
      <c r="D9" s="3234"/>
      <c r="E9" s="3145"/>
      <c r="F9" s="3145"/>
      <c r="G9" s="3146">
        <f t="shared" si="0"/>
        <v>0</v>
      </c>
      <c r="H9" s="3146"/>
      <c r="I9" s="3146"/>
      <c r="J9" s="1095">
        <f t="shared" si="1"/>
        <v>0</v>
      </c>
      <c r="K9" s="388"/>
      <c r="L9" s="169"/>
      <c r="M9" s="169"/>
      <c r="N9" s="169"/>
      <c r="O9" s="169"/>
      <c r="P9" s="169"/>
      <c r="Q9" s="169"/>
      <c r="R9" s="169"/>
      <c r="S9" s="169"/>
    </row>
    <row r="10" spans="1:20" ht="18" customHeight="1">
      <c r="A10" s="3233"/>
      <c r="B10" s="3233"/>
      <c r="C10" s="3234"/>
      <c r="D10" s="3234"/>
      <c r="E10" s="3235"/>
      <c r="F10" s="3235"/>
      <c r="G10" s="3146">
        <f t="shared" si="0"/>
        <v>0</v>
      </c>
      <c r="H10" s="3146"/>
      <c r="I10" s="3146"/>
      <c r="J10" s="1315">
        <f t="shared" si="1"/>
        <v>0</v>
      </c>
      <c r="K10" s="388"/>
      <c r="L10" s="3143" t="s">
        <v>1486</v>
      </c>
      <c r="M10" s="3143"/>
      <c r="N10" s="3143"/>
      <c r="O10" s="169"/>
      <c r="P10" s="169"/>
      <c r="Q10" s="169"/>
      <c r="R10" s="169"/>
      <c r="S10" s="169"/>
    </row>
    <row r="11" spans="1:20" ht="18" customHeight="1">
      <c r="A11" s="3233"/>
      <c r="B11" s="3233"/>
      <c r="C11" s="3234"/>
      <c r="D11" s="3234"/>
      <c r="E11" s="3145"/>
      <c r="F11" s="3145"/>
      <c r="G11" s="3146">
        <f t="shared" si="0"/>
        <v>0</v>
      </c>
      <c r="H11" s="3146"/>
      <c r="I11" s="3146"/>
      <c r="J11" s="1315">
        <f t="shared" si="1"/>
        <v>0</v>
      </c>
      <c r="K11" s="388"/>
      <c r="L11" s="169"/>
      <c r="M11" s="169"/>
      <c r="N11" s="169"/>
      <c r="O11" s="169"/>
      <c r="P11" s="169"/>
      <c r="Q11" s="169"/>
      <c r="R11" s="169"/>
      <c r="S11" s="169"/>
    </row>
    <row r="12" spans="1:20" ht="18" customHeight="1">
      <c r="A12" s="3233"/>
      <c r="B12" s="3233"/>
      <c r="C12" s="3234"/>
      <c r="D12" s="3234"/>
      <c r="E12" s="3145"/>
      <c r="F12" s="3145"/>
      <c r="G12" s="3146">
        <f t="shared" si="0"/>
        <v>0</v>
      </c>
      <c r="H12" s="3146"/>
      <c r="I12" s="3146"/>
      <c r="J12" s="1315">
        <f t="shared" si="1"/>
        <v>0</v>
      </c>
      <c r="K12" s="388"/>
      <c r="L12" s="3143" t="s">
        <v>324</v>
      </c>
      <c r="M12" s="3143"/>
      <c r="N12" s="3143"/>
      <c r="O12" s="169"/>
      <c r="P12" s="169"/>
      <c r="Q12" s="169"/>
      <c r="R12" s="169"/>
      <c r="S12" s="169"/>
    </row>
    <row r="13" spans="1:20" ht="18" customHeight="1">
      <c r="A13" s="3233"/>
      <c r="B13" s="3233"/>
      <c r="C13" s="3234"/>
      <c r="D13" s="3234"/>
      <c r="E13" s="3145"/>
      <c r="F13" s="3145"/>
      <c r="G13" s="3146">
        <f t="shared" si="0"/>
        <v>0</v>
      </c>
      <c r="H13" s="3146"/>
      <c r="I13" s="3146"/>
      <c r="J13" s="1315">
        <f t="shared" si="1"/>
        <v>0</v>
      </c>
      <c r="K13" s="388"/>
      <c r="L13" s="169"/>
      <c r="M13" s="169"/>
      <c r="N13" s="169"/>
      <c r="O13" s="169"/>
      <c r="P13" s="169"/>
      <c r="Q13" s="169"/>
      <c r="R13" s="169"/>
      <c r="S13" s="169"/>
    </row>
    <row r="14" spans="1:20" ht="18" customHeight="1">
      <c r="A14" s="3237"/>
      <c r="B14" s="3237"/>
      <c r="C14" s="3236"/>
      <c r="D14" s="3236"/>
      <c r="E14" s="3238"/>
      <c r="F14" s="3238"/>
      <c r="G14" s="3239">
        <f t="shared" si="0"/>
        <v>0</v>
      </c>
      <c r="H14" s="3239"/>
      <c r="I14" s="3239"/>
      <c r="J14" s="1137">
        <f t="shared" si="1"/>
        <v>0</v>
      </c>
      <c r="K14" s="398"/>
      <c r="L14" s="3143" t="s">
        <v>320</v>
      </c>
      <c r="M14" s="3143"/>
      <c r="N14" s="3143"/>
      <c r="O14" s="169"/>
      <c r="P14" s="169"/>
      <c r="Q14" s="169"/>
      <c r="R14" s="169"/>
      <c r="S14" s="169"/>
      <c r="T14" s="717"/>
    </row>
    <row r="15" spans="1:20" ht="18" customHeight="1">
      <c r="A15" s="3046" t="s">
        <v>1495</v>
      </c>
      <c r="B15" s="3046"/>
      <c r="C15" s="3231"/>
      <c r="D15" s="3231"/>
      <c r="E15" s="3232">
        <f>SUM(E16:F19)</f>
        <v>0</v>
      </c>
      <c r="F15" s="3232"/>
      <c r="G15" s="3232">
        <f>SUM(G16:I19)</f>
        <v>0</v>
      </c>
      <c r="H15" s="3232"/>
      <c r="I15" s="3232"/>
      <c r="J15" s="714">
        <f>SUM(J16:J19)</f>
        <v>0</v>
      </c>
      <c r="K15" s="383"/>
      <c r="L15" s="169"/>
      <c r="M15" s="169"/>
      <c r="N15" s="169"/>
      <c r="O15" s="169"/>
      <c r="P15" s="169"/>
      <c r="Q15" s="169"/>
      <c r="R15" s="169"/>
      <c r="S15" s="169"/>
      <c r="T15" s="717"/>
    </row>
    <row r="16" spans="1:20" ht="18" customHeight="1">
      <c r="A16" s="3233"/>
      <c r="B16" s="3233"/>
      <c r="C16" s="3234"/>
      <c r="D16" s="3234"/>
      <c r="E16" s="3145"/>
      <c r="F16" s="3145"/>
      <c r="G16" s="3146">
        <f>E16-J16</f>
        <v>0</v>
      </c>
      <c r="H16" s="3146"/>
      <c r="I16" s="3146"/>
      <c r="J16" s="1136">
        <f>E16</f>
        <v>0</v>
      </c>
      <c r="K16" s="388"/>
      <c r="L16" s="232" t="s">
        <v>1298</v>
      </c>
      <c r="M16" s="169"/>
      <c r="N16" s="169"/>
      <c r="O16" s="169"/>
      <c r="P16" s="169"/>
      <c r="Q16" s="169"/>
      <c r="R16" s="169"/>
      <c r="S16" s="169"/>
      <c r="T16" s="717"/>
    </row>
    <row r="17" spans="1:20" ht="18" customHeight="1">
      <c r="A17" s="3233"/>
      <c r="B17" s="3233"/>
      <c r="C17" s="3234"/>
      <c r="D17" s="3234"/>
      <c r="E17" s="3240"/>
      <c r="F17" s="3240"/>
      <c r="G17" s="3146">
        <f>E17-J17</f>
        <v>0</v>
      </c>
      <c r="H17" s="3146"/>
      <c r="I17" s="3146"/>
      <c r="J17" s="1095">
        <f>E17</f>
        <v>0</v>
      </c>
      <c r="K17" s="388"/>
      <c r="L17" s="169"/>
      <c r="M17" s="169"/>
      <c r="N17" s="169"/>
      <c r="O17" s="169"/>
      <c r="P17" s="169"/>
      <c r="Q17" s="169"/>
      <c r="R17" s="169"/>
      <c r="S17" s="169"/>
      <c r="T17" s="717"/>
    </row>
    <row r="18" spans="1:20" ht="18" customHeight="1">
      <c r="A18" s="3233"/>
      <c r="B18" s="3233"/>
      <c r="C18" s="3234"/>
      <c r="D18" s="3234"/>
      <c r="E18" s="3240"/>
      <c r="F18" s="3240"/>
      <c r="G18" s="3146">
        <f>E18-J18</f>
        <v>0</v>
      </c>
      <c r="H18" s="3146"/>
      <c r="I18" s="3146"/>
      <c r="J18" s="1095">
        <f>E18</f>
        <v>0</v>
      </c>
      <c r="K18" s="388"/>
      <c r="L18" s="232" t="s">
        <v>1496</v>
      </c>
      <c r="M18" s="169"/>
      <c r="N18" s="169"/>
      <c r="O18" s="169"/>
      <c r="P18" s="169"/>
      <c r="Q18" s="169"/>
      <c r="R18" s="169"/>
      <c r="S18" s="169"/>
      <c r="T18" s="717"/>
    </row>
    <row r="19" spans="1:20" ht="18" customHeight="1">
      <c r="A19" s="3237"/>
      <c r="B19" s="3237"/>
      <c r="C19" s="3236"/>
      <c r="D19" s="3236"/>
      <c r="E19" s="3241"/>
      <c r="F19" s="3241"/>
      <c r="G19" s="3239">
        <f>E19-J19</f>
        <v>0</v>
      </c>
      <c r="H19" s="3239"/>
      <c r="I19" s="3239"/>
      <c r="J19" s="1137">
        <f>E19</f>
        <v>0</v>
      </c>
      <c r="K19" s="398"/>
      <c r="L19" s="3246" t="s">
        <v>1497</v>
      </c>
      <c r="M19" s="3246"/>
      <c r="N19" s="3246"/>
      <c r="O19" s="3246"/>
      <c r="P19" s="3246"/>
      <c r="Q19" s="3246"/>
      <c r="R19" s="3246"/>
      <c r="S19" s="3246"/>
      <c r="T19" s="717"/>
    </row>
    <row r="20" spans="1:20" ht="18" customHeight="1">
      <c r="A20" s="3046" t="s">
        <v>1295</v>
      </c>
      <c r="B20" s="3046"/>
      <c r="C20" s="3231"/>
      <c r="D20" s="3231"/>
      <c r="E20" s="3232">
        <f>E21</f>
        <v>0</v>
      </c>
      <c r="F20" s="3232"/>
      <c r="G20" s="3232">
        <f>E20-J20</f>
        <v>0</v>
      </c>
      <c r="H20" s="3232"/>
      <c r="I20" s="3232"/>
      <c r="J20" s="714">
        <f>J21</f>
        <v>0</v>
      </c>
      <c r="K20" s="383"/>
      <c r="L20" s="3246"/>
      <c r="M20" s="3246"/>
      <c r="N20" s="3246"/>
      <c r="O20" s="3246"/>
      <c r="P20" s="3246"/>
      <c r="Q20" s="3246"/>
      <c r="R20" s="3246"/>
      <c r="S20" s="3246"/>
      <c r="T20" s="717"/>
    </row>
    <row r="21" spans="1:20" ht="18" customHeight="1">
      <c r="A21" s="3242"/>
      <c r="B21" s="3242"/>
      <c r="C21" s="3236"/>
      <c r="D21" s="3236"/>
      <c r="E21" s="3241"/>
      <c r="F21" s="3241"/>
      <c r="G21" s="3238"/>
      <c r="H21" s="3238"/>
      <c r="I21" s="3238"/>
      <c r="J21" s="1137"/>
      <c r="K21" s="398"/>
      <c r="L21" s="3246"/>
      <c r="M21" s="3246"/>
      <c r="N21" s="3246"/>
      <c r="O21" s="3246"/>
      <c r="P21" s="3246"/>
      <c r="Q21" s="3246"/>
      <c r="R21" s="3246"/>
      <c r="S21" s="3246"/>
      <c r="T21" s="717"/>
    </row>
    <row r="22" spans="1:20" ht="18" customHeight="1">
      <c r="A22" s="3249" t="s">
        <v>6104</v>
      </c>
      <c r="B22" s="3249"/>
      <c r="C22" s="3249"/>
      <c r="D22" s="3249"/>
      <c r="E22" s="3232">
        <f>E7+E15+E20</f>
        <v>0</v>
      </c>
      <c r="F22" s="3232"/>
      <c r="G22" s="3232">
        <f>G7+G15+G20</f>
        <v>0</v>
      </c>
      <c r="H22" s="3232"/>
      <c r="I22" s="3232"/>
      <c r="J22" s="714">
        <f>J7+J15+J20</f>
        <v>0</v>
      </c>
      <c r="K22" s="383"/>
      <c r="L22" s="3246"/>
      <c r="M22" s="3246"/>
      <c r="N22" s="3246"/>
      <c r="O22" s="3246"/>
      <c r="P22" s="3246"/>
      <c r="Q22" s="3246"/>
      <c r="R22" s="3246"/>
      <c r="S22" s="3246"/>
      <c r="T22" s="717"/>
    </row>
    <row r="23" spans="1:20" ht="18" customHeight="1">
      <c r="A23" s="3248" t="s">
        <v>6103</v>
      </c>
      <c r="B23" s="3248"/>
      <c r="C23" s="3248"/>
      <c r="D23" s="3248"/>
      <c r="E23" s="3240"/>
      <c r="F23" s="3240"/>
      <c r="G23" s="3146">
        <f>E23-J23</f>
        <v>0</v>
      </c>
      <c r="H23" s="3146"/>
      <c r="I23" s="3146"/>
      <c r="J23" s="1136"/>
      <c r="K23" s="388"/>
      <c r="L23" s="3246"/>
      <c r="M23" s="3246"/>
      <c r="N23" s="3246"/>
      <c r="O23" s="3246"/>
      <c r="P23" s="3246"/>
      <c r="Q23" s="3246"/>
      <c r="R23" s="3246"/>
      <c r="S23" s="3246"/>
      <c r="T23" s="717"/>
    </row>
    <row r="24" spans="1:20" ht="18" customHeight="1">
      <c r="A24" s="3247" t="s">
        <v>6105</v>
      </c>
      <c r="B24" s="3247"/>
      <c r="C24" s="3247"/>
      <c r="D24" s="3247"/>
      <c r="E24" s="3239">
        <f>E22-E23</f>
        <v>0</v>
      </c>
      <c r="F24" s="3239"/>
      <c r="G24" s="3239">
        <f>G22+G23</f>
        <v>0</v>
      </c>
      <c r="H24" s="3239"/>
      <c r="I24" s="3239"/>
      <c r="J24" s="718">
        <f>J22-J23</f>
        <v>0</v>
      </c>
      <c r="K24" s="398"/>
      <c r="L24" s="3246"/>
      <c r="M24" s="3246"/>
      <c r="N24" s="3246"/>
      <c r="O24" s="3246"/>
      <c r="P24" s="3246"/>
      <c r="Q24" s="3246"/>
      <c r="R24" s="3246"/>
      <c r="S24" s="3246"/>
    </row>
    <row r="25" spans="1:20" s="558" customFormat="1" ht="19.5" customHeight="1">
      <c r="A25" s="3250" t="s">
        <v>1498</v>
      </c>
      <c r="B25" s="3250"/>
      <c r="C25" s="3250"/>
      <c r="D25" s="3250"/>
      <c r="E25" s="3250"/>
      <c r="F25" s="3250"/>
      <c r="G25" s="3250"/>
      <c r="H25" s="3250"/>
      <c r="I25" s="3250"/>
      <c r="J25" s="3250"/>
      <c r="K25" s="719"/>
      <c r="L25" s="3246"/>
      <c r="M25" s="3246"/>
      <c r="N25" s="3246"/>
      <c r="O25" s="3246"/>
      <c r="P25" s="3246"/>
      <c r="Q25" s="3246"/>
      <c r="R25" s="3246"/>
      <c r="S25" s="3246"/>
    </row>
    <row r="26" spans="1:20" s="558" customFormat="1" ht="18" customHeight="1">
      <c r="A26" s="3154" t="s">
        <v>853</v>
      </c>
      <c r="B26" s="3154"/>
      <c r="C26" s="158" t="s">
        <v>854</v>
      </c>
      <c r="D26" s="158" t="s">
        <v>855</v>
      </c>
      <c r="E26" s="2928" t="s">
        <v>1292</v>
      </c>
      <c r="F26" s="2928"/>
      <c r="G26" s="2928" t="s">
        <v>856</v>
      </c>
      <c r="H26" s="2928"/>
      <c r="I26" s="2928"/>
      <c r="J26" s="158" t="s">
        <v>702</v>
      </c>
      <c r="K26" s="720"/>
      <c r="L26" s="3246"/>
      <c r="M26" s="3246"/>
      <c r="N26" s="3246"/>
      <c r="O26" s="3246"/>
      <c r="P26" s="3246"/>
      <c r="Q26" s="3246"/>
      <c r="R26" s="3246"/>
      <c r="S26" s="3246"/>
    </row>
    <row r="27" spans="1:20" s="558" customFormat="1" ht="18" customHeight="1">
      <c r="A27" s="3166" t="s">
        <v>557</v>
      </c>
      <c r="B27" s="3166"/>
      <c r="C27" s="1113"/>
      <c r="D27" s="701">
        <f>营业费用!H11</f>
        <v>0</v>
      </c>
      <c r="E27" s="3255">
        <f>管理费用!H11</f>
        <v>0</v>
      </c>
      <c r="F27" s="3255"/>
      <c r="G27" s="3238"/>
      <c r="H27" s="3238"/>
      <c r="I27" s="3238"/>
      <c r="J27" s="721">
        <f>SUM(C27:I27)</f>
        <v>0</v>
      </c>
      <c r="K27" s="722"/>
      <c r="L27" s="3251" t="s">
        <v>1499</v>
      </c>
      <c r="M27" s="3251"/>
      <c r="N27" s="3251"/>
      <c r="O27" s="3251"/>
      <c r="P27" s="3251"/>
      <c r="Q27" s="3251"/>
      <c r="R27" s="3251"/>
      <c r="S27" s="3251"/>
    </row>
    <row r="28" spans="1:20" s="558" customFormat="1" ht="20.25" customHeight="1">
      <c r="A28" s="3043" t="s">
        <v>641</v>
      </c>
      <c r="B28" s="3043"/>
      <c r="C28" s="3043"/>
      <c r="D28" s="3256" t="str">
        <f>IF(J27&lt;&gt;E22,"原始凭证检查金额与账载数不符，请检查！","原始凭证检查金额与账载数相符！")</f>
        <v>原始凭证检查金额与账载数相符！</v>
      </c>
      <c r="E28" s="3256"/>
      <c r="F28" s="3256"/>
      <c r="G28" s="3256"/>
      <c r="H28" s="3256"/>
      <c r="I28" s="3256"/>
      <c r="J28" s="3256"/>
      <c r="K28" s="723"/>
      <c r="L28" s="3251"/>
      <c r="M28" s="3251"/>
      <c r="N28" s="3251"/>
      <c r="O28" s="3251"/>
      <c r="P28" s="3251"/>
      <c r="Q28" s="3251"/>
      <c r="R28" s="3251"/>
      <c r="S28" s="3251"/>
    </row>
    <row r="29" spans="1:20" ht="18" customHeight="1">
      <c r="A29" s="3253" t="s">
        <v>1500</v>
      </c>
      <c r="B29" s="3253"/>
      <c r="C29" s="3253"/>
      <c r="D29" s="3253"/>
      <c r="E29" s="3253"/>
      <c r="F29" s="3253"/>
      <c r="G29" s="3253"/>
      <c r="H29" s="3253"/>
      <c r="I29" s="3253"/>
      <c r="J29" s="724">
        <f>招待!J20</f>
        <v>0</v>
      </c>
      <c r="K29" s="383"/>
      <c r="L29" s="3246" t="s">
        <v>1501</v>
      </c>
      <c r="M29" s="3246"/>
      <c r="N29" s="3246"/>
      <c r="O29" s="3246"/>
      <c r="P29" s="3246"/>
      <c r="Q29" s="3246"/>
      <c r="R29" s="3246"/>
      <c r="S29" s="3246"/>
    </row>
    <row r="30" spans="1:20" ht="18" customHeight="1">
      <c r="A30" s="3257" t="s">
        <v>1502</v>
      </c>
      <c r="B30" s="3258"/>
      <c r="C30" s="3259"/>
      <c r="D30" s="725" t="s">
        <v>1503</v>
      </c>
      <c r="E30" s="726">
        <v>0.15</v>
      </c>
      <c r="F30" s="3252" t="s">
        <v>1504</v>
      </c>
      <c r="G30" s="3252"/>
      <c r="H30" s="3252"/>
      <c r="I30" s="3252"/>
      <c r="J30" s="727">
        <f>ROUND(J29*E30,2)</f>
        <v>0</v>
      </c>
      <c r="K30" s="388"/>
      <c r="L30" s="3246"/>
      <c r="M30" s="3246"/>
      <c r="N30" s="3246"/>
      <c r="O30" s="3246"/>
      <c r="P30" s="3246"/>
      <c r="Q30" s="3246"/>
      <c r="R30" s="3246"/>
      <c r="S30" s="3246"/>
    </row>
    <row r="31" spans="1:20" ht="18" customHeight="1">
      <c r="A31" s="3260"/>
      <c r="B31" s="3261"/>
      <c r="C31" s="3262"/>
      <c r="D31" s="3252" t="s">
        <v>1245</v>
      </c>
      <c r="E31" s="3252"/>
      <c r="F31" s="3252"/>
      <c r="G31" s="3252"/>
      <c r="H31" s="3252"/>
      <c r="I31" s="3252"/>
      <c r="J31" s="727">
        <f>IF(J24&gt;J30,J22-J30,J23)</f>
        <v>0</v>
      </c>
      <c r="K31" s="728"/>
      <c r="L31" s="3112" t="s">
        <v>1505</v>
      </c>
      <c r="M31" s="3112"/>
      <c r="N31" s="3112"/>
      <c r="O31" s="3112"/>
      <c r="P31" s="3112"/>
      <c r="Q31" s="3112"/>
      <c r="R31" s="3112"/>
      <c r="S31" s="169"/>
    </row>
    <row r="32" spans="1:20" ht="18" customHeight="1">
      <c r="A32" s="3260"/>
      <c r="B32" s="3261"/>
      <c r="C32" s="3262"/>
      <c r="D32" s="3254" t="s">
        <v>1247</v>
      </c>
      <c r="E32" s="3254"/>
      <c r="F32" s="3254"/>
      <c r="G32" s="3254"/>
      <c r="H32" s="3254"/>
      <c r="I32" s="3254"/>
      <c r="J32" s="727">
        <f>IF(J24&gt;ROUND((J29+招待!J24)*E30,2),J22-ROUND((J29+招待!J24)*E30,2),J23)-J31</f>
        <v>0</v>
      </c>
      <c r="K32" s="728"/>
      <c r="L32" s="3112"/>
      <c r="M32" s="3112"/>
      <c r="N32" s="3112"/>
      <c r="O32" s="3112"/>
      <c r="P32" s="3112"/>
      <c r="Q32" s="3112"/>
      <c r="R32" s="3112"/>
      <c r="S32" s="169"/>
    </row>
    <row r="33" spans="1:19" ht="18" customHeight="1">
      <c r="A33" s="3260"/>
      <c r="B33" s="3261"/>
      <c r="C33" s="3262"/>
      <c r="D33" s="3252" t="s">
        <v>1506</v>
      </c>
      <c r="E33" s="3252"/>
      <c r="F33" s="3252"/>
      <c r="G33" s="3252"/>
      <c r="H33" s="3252"/>
      <c r="I33" s="3252"/>
      <c r="J33" s="1136"/>
      <c r="K33" s="388"/>
      <c r="L33" s="3112"/>
      <c r="M33" s="3112"/>
      <c r="N33" s="3112"/>
      <c r="O33" s="3112"/>
      <c r="P33" s="3112"/>
      <c r="Q33" s="3112"/>
      <c r="R33" s="3112"/>
      <c r="S33" s="169"/>
    </row>
    <row r="34" spans="1:19" ht="18" customHeight="1">
      <c r="A34" s="3260"/>
      <c r="B34" s="3261"/>
      <c r="C34" s="3262"/>
      <c r="D34" s="3252" t="s">
        <v>1507</v>
      </c>
      <c r="E34" s="3252"/>
      <c r="F34" s="3252"/>
      <c r="G34" s="3252"/>
      <c r="H34" s="3252"/>
      <c r="I34" s="3252"/>
      <c r="J34" s="727">
        <f>IF(J33&gt;0,IF(J24&lt;ROUND((J29+招待!J24)*E30,2),MIN(J33,ROUND((J29+招待!J24)*E30,2)-J24),0),0)</f>
        <v>0</v>
      </c>
      <c r="K34" s="728"/>
      <c r="L34" s="3112"/>
      <c r="M34" s="3112"/>
      <c r="N34" s="3112"/>
      <c r="O34" s="3112"/>
      <c r="P34" s="3112"/>
      <c r="Q34" s="3112"/>
      <c r="R34" s="3112"/>
      <c r="S34" s="169"/>
    </row>
    <row r="35" spans="1:19" ht="18" customHeight="1">
      <c r="A35" s="3260"/>
      <c r="B35" s="3261"/>
      <c r="C35" s="3262"/>
      <c r="D35" s="3252" t="s">
        <v>1508</v>
      </c>
      <c r="E35" s="3252"/>
      <c r="F35" s="3252"/>
      <c r="G35" s="3252"/>
      <c r="H35" s="3252"/>
      <c r="I35" s="3252"/>
      <c r="J35" s="727">
        <f>J31+J32+J33-J34</f>
        <v>0</v>
      </c>
      <c r="K35" s="728"/>
      <c r="L35" s="3112"/>
      <c r="M35" s="3112"/>
      <c r="N35" s="3112"/>
      <c r="O35" s="3112"/>
      <c r="P35" s="3112"/>
      <c r="Q35" s="3112"/>
      <c r="R35" s="3112"/>
      <c r="S35" s="169"/>
    </row>
    <row r="36" spans="1:19" ht="18" customHeight="1">
      <c r="A36" s="3260"/>
      <c r="B36" s="3261"/>
      <c r="C36" s="3262"/>
      <c r="D36" s="3252" t="s">
        <v>6092</v>
      </c>
      <c r="E36" s="3252"/>
      <c r="F36" s="3252"/>
      <c r="G36" s="3252"/>
      <c r="H36" s="3252"/>
      <c r="I36" s="3252"/>
      <c r="J36" s="1679"/>
      <c r="K36" s="728"/>
      <c r="L36" s="3112"/>
      <c r="M36" s="3112"/>
      <c r="N36" s="3112"/>
      <c r="O36" s="3112"/>
      <c r="P36" s="3112"/>
      <c r="Q36" s="3112"/>
      <c r="R36" s="3112"/>
      <c r="S36" s="169"/>
    </row>
    <row r="37" spans="1:19" ht="18" customHeight="1">
      <c r="A37" s="3263"/>
      <c r="B37" s="3264"/>
      <c r="C37" s="3265"/>
      <c r="D37" s="3266" t="s">
        <v>6093</v>
      </c>
      <c r="E37" s="3267"/>
      <c r="F37" s="3267"/>
      <c r="G37" s="3267"/>
      <c r="H37" s="3267"/>
      <c r="I37" s="3268"/>
      <c r="J37" s="1679"/>
      <c r="K37" s="728"/>
      <c r="L37" s="3112"/>
      <c r="M37" s="3112"/>
      <c r="N37" s="3112"/>
      <c r="O37" s="3112"/>
      <c r="P37" s="3112"/>
      <c r="Q37" s="3112"/>
      <c r="R37" s="3112"/>
      <c r="S37" s="169"/>
    </row>
    <row r="38" spans="1:19" ht="15" customHeight="1">
      <c r="A38" s="3163" t="s">
        <v>1323</v>
      </c>
      <c r="B38" s="3163"/>
      <c r="C38" s="3163"/>
      <c r="D38" s="3164" t="s">
        <v>1509</v>
      </c>
      <c r="E38" s="3164"/>
      <c r="F38" s="3131" t="str">
        <f>IF(OR(J31+J32&gt;0,J34&gt;0),"、E","")</f>
        <v/>
      </c>
      <c r="G38" s="3131"/>
      <c r="H38" s="3131"/>
      <c r="I38" s="3131"/>
      <c r="J38" s="3131"/>
      <c r="K38" s="3131"/>
      <c r="L38" s="3112"/>
      <c r="M38" s="3112"/>
      <c r="N38" s="3112"/>
      <c r="O38" s="3112"/>
      <c r="P38" s="3112"/>
      <c r="Q38" s="3112"/>
      <c r="R38" s="3112"/>
      <c r="S38" s="169"/>
    </row>
    <row r="39" spans="1:19" ht="39.75" customHeight="1">
      <c r="A39" s="3163"/>
      <c r="B39" s="3163"/>
      <c r="C39" s="3163"/>
      <c r="D39" s="3223"/>
      <c r="E39" s="3223"/>
      <c r="F39" s="3223"/>
      <c r="G39" s="3223"/>
      <c r="H39" s="3223"/>
      <c r="I39" s="3223"/>
      <c r="J39" s="3223"/>
      <c r="K39" s="3223"/>
      <c r="L39" s="169"/>
      <c r="M39" s="729"/>
      <c r="N39" s="169"/>
      <c r="O39" s="169"/>
      <c r="P39" s="169"/>
      <c r="Q39" s="730"/>
      <c r="R39" s="729"/>
      <c r="S39" s="169"/>
    </row>
    <row r="40" spans="1:19" ht="18.75" customHeight="1">
      <c r="A40" s="3156" t="s">
        <v>574</v>
      </c>
      <c r="B40" s="3156"/>
      <c r="C40" s="3156"/>
      <c r="D40" s="3243" t="str">
        <f>IF(J31&lt;&gt;0,"实际列支广告费及业务宣传费大于税法允许列支的限额,应予纳税调整增加"&amp;DOLLAR(J31,2)&amp;"元！","不存在广告费及业务宣传费调增事项，认可！")</f>
        <v>不存在广告费及业务宣传费调增事项，认可！</v>
      </c>
      <c r="E40" s="3243"/>
      <c r="F40" s="3243"/>
      <c r="G40" s="3243"/>
      <c r="H40" s="3243"/>
      <c r="I40" s="3243"/>
      <c r="J40" s="3243"/>
      <c r="K40" s="3243"/>
      <c r="L40" s="169"/>
      <c r="M40" s="169"/>
      <c r="N40" s="169"/>
      <c r="O40" s="169"/>
      <c r="P40" s="169"/>
      <c r="Q40" s="169"/>
      <c r="R40" s="169"/>
      <c r="S40" s="169"/>
    </row>
    <row r="41" spans="1:19" ht="18.75" customHeight="1">
      <c r="A41" s="3156"/>
      <c r="B41" s="3156"/>
      <c r="C41" s="3156"/>
      <c r="D41" s="3244" t="str">
        <f>IF(J34&lt;&gt;0,"本年度扣除以前年度结转广告费及业务宣传费"&amp;DOLLAR(J34,2)&amp;"元！","")</f>
        <v/>
      </c>
      <c r="E41" s="3244"/>
      <c r="F41" s="3244"/>
      <c r="G41" s="3244"/>
      <c r="H41" s="3244"/>
      <c r="I41" s="3244"/>
      <c r="J41" s="3244"/>
      <c r="K41" s="3244"/>
      <c r="L41" s="169"/>
      <c r="M41" s="169"/>
      <c r="N41" s="169"/>
      <c r="O41" s="169"/>
      <c r="P41" s="169"/>
      <c r="Q41" s="169"/>
      <c r="R41" s="169"/>
      <c r="S41" s="169"/>
    </row>
    <row r="42" spans="1:19" ht="18.75" customHeight="1">
      <c r="A42" s="3156"/>
      <c r="B42" s="3156"/>
      <c r="C42" s="3156"/>
      <c r="D42" s="3245" t="str">
        <f>IF(J35&lt;&gt;0,"本年度可结转以后年度扣除的广告费及业务宣传费共计"&amp;DOLLAR(J35,2)&amp;"元！","")</f>
        <v/>
      </c>
      <c r="E42" s="3245"/>
      <c r="F42" s="3245"/>
      <c r="G42" s="3245"/>
      <c r="H42" s="3245"/>
      <c r="I42" s="3245"/>
      <c r="J42" s="3245"/>
      <c r="K42" s="3245"/>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E21:F21"/>
    <mergeCell ref="G21:I21"/>
    <mergeCell ref="A21:B21"/>
    <mergeCell ref="G19:I19"/>
    <mergeCell ref="C19:D19"/>
    <mergeCell ref="E19:F19"/>
    <mergeCell ref="A19:B19"/>
    <mergeCell ref="A18:B18"/>
    <mergeCell ref="C18:D18"/>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L8:N8"/>
    <mergeCell ref="A9:B9"/>
    <mergeCell ref="C9:D9"/>
    <mergeCell ref="E9:F9"/>
    <mergeCell ref="G9:I9"/>
    <mergeCell ref="A8:B8"/>
    <mergeCell ref="C8:D8"/>
    <mergeCell ref="E8:F8"/>
    <mergeCell ref="G8:I8"/>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 customHeight="1"/>
  <cols>
    <col min="1" max="1" width="5.5" style="649" customWidth="1"/>
    <col min="2" max="2" width="23.5" style="649" customWidth="1"/>
    <col min="3" max="4" width="12.5" style="649" customWidth="1"/>
    <col min="5" max="5" width="8" style="649" customWidth="1"/>
    <col min="6" max="8" width="12.8984375" style="649" customWidth="1"/>
    <col min="9" max="10" width="12.5" style="649" customWidth="1"/>
    <col min="11" max="11" width="52.5" style="607" customWidth="1"/>
    <col min="12" max="16384" width="9" style="607"/>
  </cols>
  <sheetData>
    <row r="1" spans="1:14" ht="33.75" customHeight="1">
      <c r="A1" s="2729" t="s">
        <v>364</v>
      </c>
      <c r="B1" s="2729"/>
      <c r="C1" s="2729"/>
      <c r="D1" s="2729"/>
      <c r="E1" s="2729"/>
      <c r="F1" s="2729"/>
      <c r="G1" s="2729"/>
      <c r="H1" s="2729"/>
      <c r="I1" s="2729"/>
      <c r="J1" s="2729"/>
      <c r="K1" s="606"/>
      <c r="L1" s="606"/>
      <c r="M1" s="606"/>
      <c r="N1" s="606"/>
    </row>
    <row r="2" spans="1:14" s="649" customFormat="1" ht="17.25" customHeight="1">
      <c r="A2" s="3102" t="str">
        <f>"委托单位："&amp;基本情况!B2</f>
        <v>委托单位：0</v>
      </c>
      <c r="B2" s="3102"/>
      <c r="C2" s="3102"/>
      <c r="D2" s="3102"/>
      <c r="E2" s="3102"/>
      <c r="F2" s="3102"/>
      <c r="G2" s="136"/>
      <c r="H2" s="136" t="s">
        <v>1282</v>
      </c>
      <c r="I2" s="136" t="s">
        <v>1053</v>
      </c>
      <c r="J2" s="485" t="s">
        <v>283</v>
      </c>
      <c r="K2" s="648"/>
      <c r="L2" s="648"/>
      <c r="M2" s="648"/>
      <c r="N2" s="648"/>
    </row>
    <row r="3" spans="1:14" s="649" customFormat="1" ht="17.25" customHeight="1">
      <c r="A3" s="3102"/>
      <c r="B3" s="3102"/>
      <c r="C3" s="3102"/>
      <c r="D3" s="3102"/>
      <c r="E3" s="3102"/>
      <c r="F3" s="3102"/>
      <c r="G3" s="158" t="s">
        <v>450</v>
      </c>
      <c r="H3" s="510">
        <f>基本情况!B12</f>
        <v>0</v>
      </c>
      <c r="I3" s="559" t="str">
        <f>TEXT(基本情况!B21,"yyyy-mm-dd")</f>
        <v>2017-03-16</v>
      </c>
      <c r="J3" s="3103" t="str">
        <f>档案索引!A41</f>
        <v>2A-21</v>
      </c>
      <c r="K3" s="648"/>
      <c r="L3" s="648"/>
      <c r="M3" s="648"/>
      <c r="N3" s="648"/>
    </row>
    <row r="4" spans="1:14" s="649" customFormat="1" ht="17.25" customHeight="1">
      <c r="A4" s="3104" t="str">
        <f>"会计期间:"&amp;基本情况!B7</f>
        <v>会计期间:2016年01月01日至2016年12月31日</v>
      </c>
      <c r="B4" s="3104"/>
      <c r="C4" s="3104"/>
      <c r="D4" s="3104"/>
      <c r="E4" s="3104"/>
      <c r="F4" s="3104"/>
      <c r="G4" s="140" t="s">
        <v>452</v>
      </c>
      <c r="H4" s="513">
        <f>基本情况!B11</f>
        <v>0</v>
      </c>
      <c r="I4" s="513" t="str">
        <f>TEXT(基本情况!B22,"yyyy-mm-dd")</f>
        <v>2017-05-04</v>
      </c>
      <c r="J4" s="3103"/>
      <c r="K4" s="648"/>
      <c r="L4" s="648"/>
      <c r="M4" s="648"/>
      <c r="N4" s="648"/>
    </row>
    <row r="5" spans="1:14" s="649" customFormat="1" ht="7.5" customHeight="1">
      <c r="A5" s="2916"/>
      <c r="B5" s="2916"/>
      <c r="C5" s="2916"/>
      <c r="D5" s="2916"/>
      <c r="E5" s="2916"/>
      <c r="F5" s="2916"/>
      <c r="G5" s="2916"/>
      <c r="H5" s="2916"/>
      <c r="I5" s="2916"/>
      <c r="J5" s="2916"/>
      <c r="K5" s="648"/>
      <c r="L5" s="648"/>
      <c r="M5" s="648"/>
      <c r="N5" s="648"/>
    </row>
    <row r="6" spans="1:14" s="649" customFormat="1" ht="57" customHeight="1">
      <c r="A6" s="597" t="s">
        <v>1510</v>
      </c>
      <c r="B6" s="504" t="s">
        <v>1511</v>
      </c>
      <c r="C6" s="504" t="s">
        <v>1512</v>
      </c>
      <c r="D6" s="504" t="s">
        <v>1513</v>
      </c>
      <c r="E6" s="504" t="s">
        <v>1514</v>
      </c>
      <c r="F6" s="504" t="s">
        <v>1515</v>
      </c>
      <c r="G6" s="504" t="s">
        <v>1516</v>
      </c>
      <c r="H6" s="504" t="s">
        <v>1517</v>
      </c>
      <c r="I6" s="504" t="s">
        <v>1518</v>
      </c>
      <c r="J6" s="505" t="s">
        <v>1519</v>
      </c>
      <c r="K6" s="84" t="s">
        <v>395</v>
      </c>
      <c r="L6" s="648"/>
      <c r="M6" s="648"/>
      <c r="N6" s="648"/>
    </row>
    <row r="7" spans="1:14" s="649" customFormat="1" ht="17.25" customHeight="1">
      <c r="A7" s="732"/>
      <c r="B7" s="733"/>
      <c r="C7" s="1139"/>
      <c r="D7" s="1139"/>
      <c r="E7" s="735"/>
      <c r="F7" s="735"/>
      <c r="G7" s="734"/>
      <c r="H7" s="735"/>
      <c r="I7" s="1139"/>
      <c r="J7" s="736">
        <f>IF(AND(E7="是",F7="是",H7="是"),I7,0)</f>
        <v>0</v>
      </c>
      <c r="K7" s="493" t="s">
        <v>1520</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1521</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1298</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112" t="s">
        <v>492</v>
      </c>
      <c r="L14" s="3112"/>
      <c r="M14" s="3112"/>
      <c r="N14" s="648"/>
    </row>
    <row r="15" spans="1:14" s="649" customFormat="1" ht="20.25" customHeight="1">
      <c r="A15" s="3043" t="s">
        <v>702</v>
      </c>
      <c r="B15" s="3043"/>
      <c r="C15" s="590">
        <f>SUM(C7:C14)</f>
        <v>0</v>
      </c>
      <c r="D15" s="590">
        <f>SUM(D7:D14)</f>
        <v>0</v>
      </c>
      <c r="E15" s="742"/>
      <c r="F15" s="742"/>
      <c r="G15" s="742"/>
      <c r="H15" s="742"/>
      <c r="I15" s="590">
        <f>SUM(I7:I14)</f>
        <v>0</v>
      </c>
      <c r="J15" s="533">
        <f>SUM(J7:J14)</f>
        <v>0</v>
      </c>
      <c r="K15" s="3112"/>
      <c r="L15" s="3112"/>
      <c r="M15" s="3112"/>
      <c r="N15" s="648"/>
    </row>
    <row r="16" spans="1:14" s="649" customFormat="1" ht="20.25" customHeight="1">
      <c r="A16" s="3271" t="s">
        <v>493</v>
      </c>
      <c r="B16" s="3271"/>
      <c r="C16" s="3271"/>
      <c r="D16" s="3206" t="s">
        <v>1292</v>
      </c>
      <c r="E16" s="3206"/>
      <c r="F16" s="136" t="s">
        <v>855</v>
      </c>
      <c r="G16" s="136" t="s">
        <v>854</v>
      </c>
      <c r="H16" s="136" t="s">
        <v>494</v>
      </c>
      <c r="I16" s="136" t="s">
        <v>856</v>
      </c>
      <c r="J16" s="485" t="s">
        <v>702</v>
      </c>
      <c r="K16" s="3112"/>
      <c r="L16" s="3112"/>
      <c r="M16" s="3112"/>
      <c r="N16" s="648"/>
    </row>
    <row r="17" spans="1:14" s="649" customFormat="1" ht="20.25" customHeight="1">
      <c r="A17" s="3271"/>
      <c r="B17" s="3271"/>
      <c r="C17" s="3271"/>
      <c r="D17" s="3269">
        <f>管理费用!H12+管理费用!H16</f>
        <v>0</v>
      </c>
      <c r="E17" s="3269"/>
      <c r="F17" s="701">
        <f>营业费用!H12+营业费用!H16</f>
        <v>0</v>
      </c>
      <c r="G17" s="1113"/>
      <c r="H17" s="701">
        <f>营外收支!E26+营外收支!E27</f>
        <v>0</v>
      </c>
      <c r="I17" s="1140"/>
      <c r="J17" s="702">
        <f>SUM(D17:I17)</f>
        <v>0</v>
      </c>
      <c r="K17" s="3112"/>
      <c r="L17" s="3112"/>
      <c r="M17" s="3112"/>
      <c r="N17" s="648"/>
    </row>
    <row r="18" spans="1:14" s="744" customFormat="1" ht="20.25" customHeight="1">
      <c r="A18" s="3043" t="s">
        <v>641</v>
      </c>
      <c r="B18" s="3043"/>
      <c r="C18" s="3043"/>
      <c r="D18" s="3272" t="str">
        <f>IF(J17&lt;&gt;C15+D15+I15,"原始凭证检查金额与账载数不符，请检查！","原始凭证检查金额与账载数相符！")</f>
        <v>原始凭证检查金额与账载数相符！</v>
      </c>
      <c r="E18" s="3272"/>
      <c r="F18" s="3272"/>
      <c r="G18" s="3272"/>
      <c r="H18" s="3272"/>
      <c r="I18" s="3272"/>
      <c r="J18" s="3272"/>
      <c r="K18" s="3112"/>
      <c r="L18" s="3112"/>
      <c r="M18" s="3112"/>
      <c r="N18" s="743"/>
    </row>
    <row r="19" spans="1:14" s="744" customFormat="1" ht="20.25" customHeight="1">
      <c r="A19" s="3156" t="s">
        <v>495</v>
      </c>
      <c r="B19" s="3156"/>
      <c r="C19" s="3156"/>
      <c r="D19" s="3270">
        <f>'A100000中华人民共和国企业所得税年度纳税申报表（A类）'!D16</f>
        <v>0</v>
      </c>
      <c r="E19" s="3270"/>
      <c r="F19" s="3270"/>
      <c r="G19" s="582" t="s">
        <v>1504</v>
      </c>
      <c r="H19" s="590">
        <f>IF(D19&lt;=0,0,IF(J15-D15&lt;0,0,MIN(J15-D15,ROUND(D19*0.12,2))))</f>
        <v>0</v>
      </c>
      <c r="I19" s="745" t="s">
        <v>496</v>
      </c>
      <c r="J19" s="746">
        <f>MAX(J15-D15-H19,0)</f>
        <v>0</v>
      </c>
      <c r="K19" s="3112"/>
      <c r="L19" s="3112"/>
      <c r="M19" s="3112"/>
      <c r="N19" s="743"/>
    </row>
    <row r="20" spans="1:14" s="744" customFormat="1" ht="15" customHeight="1">
      <c r="A20" s="3046" t="s">
        <v>1323</v>
      </c>
      <c r="B20" s="3046"/>
      <c r="C20" s="3046"/>
      <c r="D20" s="3273" t="s">
        <v>497</v>
      </c>
      <c r="E20" s="3273"/>
      <c r="F20" s="3273"/>
      <c r="G20" s="3275" t="str">
        <f>IF(OR(C15&gt;0,J19&gt;0),"、E","")</f>
        <v/>
      </c>
      <c r="H20" s="3275"/>
      <c r="I20" s="3275"/>
      <c r="J20" s="3275"/>
      <c r="K20" s="3112"/>
      <c r="L20" s="3112"/>
      <c r="M20" s="3112"/>
      <c r="N20" s="743"/>
    </row>
    <row r="21" spans="1:14" s="744" customFormat="1" ht="48" customHeight="1">
      <c r="A21" s="3046"/>
      <c r="B21" s="3046"/>
      <c r="C21" s="3046"/>
      <c r="D21" s="3274"/>
      <c r="E21" s="3274"/>
      <c r="F21" s="3274"/>
      <c r="G21" s="3274"/>
      <c r="H21" s="3274"/>
      <c r="I21" s="3274"/>
      <c r="J21" s="3274"/>
      <c r="K21" s="3112"/>
      <c r="L21" s="3112"/>
      <c r="M21" s="3112"/>
      <c r="N21" s="743"/>
    </row>
    <row r="22" spans="1:14" s="744" customFormat="1" ht="18.75" customHeight="1">
      <c r="A22" s="3178" t="s">
        <v>574</v>
      </c>
      <c r="B22" s="3178"/>
      <c r="C22" s="3178"/>
      <c r="D22" s="3177" t="str">
        <f>IF(C15&lt;&gt;0,"非公益性捐赠、非广告性赞助支出应予纳税调整增加"&amp;DOLLAR(C15,2)&amp;"元！","不存在非公益性捐赠、非广告性赞助支出，认可！")</f>
        <v>不存在非公益性捐赠、非广告性赞助支出，认可！</v>
      </c>
      <c r="E22" s="3177"/>
      <c r="F22" s="3177"/>
      <c r="G22" s="3177"/>
      <c r="H22" s="3177"/>
      <c r="I22" s="3177"/>
      <c r="J22" s="3177"/>
      <c r="K22" s="3112"/>
      <c r="L22" s="3112"/>
      <c r="M22" s="3112"/>
      <c r="N22" s="743"/>
    </row>
    <row r="23" spans="1:14" s="744" customFormat="1" ht="18.75" customHeight="1">
      <c r="A23" s="3178"/>
      <c r="B23" s="3178"/>
      <c r="C23" s="3178"/>
      <c r="D23" s="3157" t="str">
        <f>IF(J19&gt;0,"实际列支公益性捐赠、赞助支出大于税法允许列支的限额,应予纳税调整增加"&amp;DOLLAR(J19,2)&amp;"元！","不存在公益性捐赠、赞助支出调整事项，认可！")</f>
        <v>不存在公益性捐赠、赞助支出调整事项，认可！</v>
      </c>
      <c r="E23" s="3157"/>
      <c r="F23" s="3157"/>
      <c r="G23" s="3157"/>
      <c r="H23" s="3157"/>
      <c r="I23" s="3157"/>
      <c r="J23" s="3157"/>
      <c r="K23" s="3112"/>
      <c r="L23" s="3112"/>
      <c r="M23" s="3112"/>
      <c r="N23" s="743"/>
    </row>
    <row r="24" spans="1:14" s="744" customFormat="1" ht="20.100000000000001" customHeight="1">
      <c r="A24" s="747"/>
      <c r="B24" s="747"/>
      <c r="C24" s="747"/>
      <c r="D24" s="747"/>
      <c r="E24" s="747"/>
      <c r="F24" s="747"/>
      <c r="G24" s="747"/>
      <c r="H24" s="747"/>
      <c r="I24" s="747"/>
      <c r="J24" s="747"/>
      <c r="K24" s="606" t="s">
        <v>498</v>
      </c>
      <c r="L24" s="743"/>
      <c r="M24" s="743"/>
      <c r="N24" s="743"/>
    </row>
    <row r="25" spans="1:14" s="749" customFormat="1" ht="20.100000000000001" customHeight="1">
      <c r="A25" s="750"/>
      <c r="B25" s="750"/>
      <c r="C25" s="750"/>
      <c r="D25" s="750"/>
      <c r="E25" s="750"/>
      <c r="F25" s="750"/>
      <c r="G25" s="750"/>
      <c r="H25" s="750"/>
      <c r="I25" s="750"/>
      <c r="J25" s="750"/>
      <c r="K25" s="3158" t="s">
        <v>499</v>
      </c>
      <c r="L25" s="3158"/>
      <c r="M25" s="3158"/>
      <c r="N25" s="3158"/>
    </row>
    <row r="26" spans="1:14" s="744" customFormat="1" ht="20.100000000000001" customHeight="1">
      <c r="A26" s="750"/>
      <c r="B26" s="750"/>
      <c r="C26" s="750"/>
      <c r="D26" s="750"/>
      <c r="E26" s="750"/>
      <c r="F26" s="750"/>
      <c r="G26" s="750"/>
      <c r="H26" s="750"/>
      <c r="I26" s="750"/>
      <c r="J26" s="750"/>
      <c r="K26" s="3158"/>
      <c r="L26" s="3158"/>
      <c r="M26" s="3158"/>
      <c r="N26" s="3158"/>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 customHeight="1">
      <c r="A78" s="752"/>
      <c r="B78" s="752"/>
      <c r="C78" s="752"/>
      <c r="D78" s="752"/>
      <c r="E78" s="752"/>
      <c r="F78" s="752"/>
      <c r="G78" s="752"/>
      <c r="H78" s="752"/>
      <c r="I78" s="752"/>
      <c r="J78" s="752"/>
    </row>
    <row r="79" spans="1:10" ht="21.9" customHeight="1">
      <c r="A79" s="752"/>
      <c r="B79" s="752"/>
      <c r="C79" s="752"/>
      <c r="D79" s="752"/>
      <c r="E79" s="752"/>
      <c r="F79" s="752"/>
      <c r="G79" s="752"/>
      <c r="H79" s="752"/>
      <c r="I79" s="752"/>
      <c r="J79" s="752"/>
    </row>
    <row r="80" spans="1:10" ht="21.9" customHeight="1">
      <c r="A80" s="752"/>
      <c r="B80" s="752"/>
      <c r="C80" s="752"/>
      <c r="D80" s="752"/>
      <c r="E80" s="752"/>
      <c r="F80" s="752"/>
      <c r="G80" s="752"/>
      <c r="H80" s="752"/>
      <c r="I80" s="752"/>
      <c r="J80" s="752"/>
    </row>
    <row r="81" spans="1:10" ht="21.9" customHeight="1">
      <c r="A81" s="752"/>
      <c r="B81" s="752"/>
      <c r="C81" s="752"/>
      <c r="D81" s="752"/>
      <c r="E81" s="752"/>
      <c r="F81" s="752"/>
      <c r="G81" s="752"/>
      <c r="H81" s="752"/>
      <c r="I81" s="752"/>
      <c r="J81" s="752"/>
    </row>
    <row r="82" spans="1:10" ht="21.9" customHeight="1">
      <c r="A82" s="752"/>
      <c r="B82" s="752"/>
      <c r="C82" s="752"/>
      <c r="D82" s="752"/>
      <c r="E82" s="752"/>
      <c r="F82" s="752"/>
      <c r="G82" s="752"/>
      <c r="H82" s="752"/>
      <c r="I82" s="752"/>
      <c r="J82" s="752"/>
    </row>
    <row r="83" spans="1:10" ht="21.9" customHeight="1">
      <c r="A83" s="752"/>
      <c r="B83" s="752"/>
      <c r="C83" s="752"/>
      <c r="D83" s="752"/>
      <c r="E83" s="752"/>
      <c r="F83" s="752"/>
      <c r="G83" s="752"/>
      <c r="H83" s="752"/>
      <c r="I83" s="752"/>
      <c r="J83" s="752"/>
    </row>
    <row r="84" spans="1:10" ht="21.9" customHeight="1">
      <c r="A84" s="752"/>
      <c r="B84" s="752"/>
      <c r="C84" s="752"/>
      <c r="D84" s="752"/>
      <c r="E84" s="752"/>
      <c r="F84" s="752"/>
      <c r="G84" s="752"/>
      <c r="H84" s="752"/>
      <c r="I84" s="752"/>
      <c r="J84" s="752"/>
    </row>
    <row r="85" spans="1:10" ht="21.9" customHeight="1">
      <c r="A85" s="752"/>
      <c r="B85" s="752"/>
      <c r="C85" s="752"/>
      <c r="D85" s="752"/>
      <c r="E85" s="752"/>
      <c r="F85" s="752"/>
      <c r="G85" s="752"/>
      <c r="H85" s="752"/>
      <c r="I85" s="752"/>
      <c r="J85" s="752"/>
    </row>
    <row r="86" spans="1:10" ht="21.9" customHeight="1">
      <c r="A86" s="752"/>
      <c r="B86" s="752"/>
      <c r="C86" s="752"/>
      <c r="D86" s="752"/>
      <c r="E86" s="752"/>
      <c r="F86" s="752"/>
      <c r="G86" s="752"/>
      <c r="H86" s="752"/>
      <c r="I86" s="752"/>
      <c r="J86" s="752"/>
    </row>
    <row r="87" spans="1:10" ht="21.9" customHeight="1">
      <c r="A87" s="752"/>
      <c r="B87" s="752"/>
      <c r="C87" s="752"/>
      <c r="D87" s="752"/>
      <c r="E87" s="752"/>
      <c r="F87" s="752"/>
      <c r="G87" s="752"/>
      <c r="H87" s="752"/>
      <c r="I87" s="752"/>
      <c r="J87" s="752"/>
    </row>
    <row r="88" spans="1:10" ht="21.9" customHeight="1">
      <c r="A88" s="752"/>
      <c r="B88" s="752"/>
      <c r="C88" s="752"/>
      <c r="D88" s="752"/>
      <c r="E88" s="752"/>
      <c r="F88" s="752"/>
      <c r="G88" s="752"/>
      <c r="H88" s="752"/>
      <c r="I88" s="752"/>
      <c r="J88" s="752"/>
    </row>
    <row r="89" spans="1:10" ht="21.9" customHeight="1">
      <c r="A89" s="752"/>
      <c r="B89" s="752"/>
      <c r="C89" s="752"/>
      <c r="D89" s="752"/>
      <c r="E89" s="752"/>
      <c r="F89" s="752"/>
      <c r="G89" s="752"/>
      <c r="H89" s="752"/>
      <c r="I89" s="752"/>
      <c r="J89" s="752"/>
    </row>
    <row r="90" spans="1:10" ht="21.9" customHeight="1">
      <c r="A90" s="752"/>
      <c r="B90" s="752"/>
      <c r="C90" s="752"/>
      <c r="D90" s="752"/>
      <c r="E90" s="752"/>
      <c r="F90" s="752"/>
      <c r="G90" s="752"/>
      <c r="H90" s="752"/>
      <c r="I90" s="752"/>
      <c r="J90" s="752"/>
    </row>
    <row r="91" spans="1:10" ht="21.9" customHeight="1">
      <c r="A91" s="752"/>
      <c r="B91" s="752"/>
      <c r="C91" s="752"/>
      <c r="D91" s="752"/>
      <c r="E91" s="752"/>
      <c r="F91" s="752"/>
      <c r="G91" s="752"/>
      <c r="H91" s="752"/>
      <c r="I91" s="752"/>
      <c r="J91" s="752"/>
    </row>
    <row r="92" spans="1:10" ht="21.9" customHeight="1">
      <c r="A92" s="752"/>
      <c r="B92" s="752"/>
      <c r="C92" s="752"/>
      <c r="D92" s="752"/>
      <c r="E92" s="752"/>
      <c r="F92" s="752"/>
      <c r="G92" s="752"/>
      <c r="H92" s="752"/>
      <c r="I92" s="752"/>
      <c r="J92" s="752"/>
    </row>
    <row r="93" spans="1:10" ht="21.9" customHeight="1">
      <c r="A93" s="752"/>
      <c r="B93" s="752"/>
      <c r="C93" s="752"/>
      <c r="D93" s="752"/>
      <c r="E93" s="752"/>
      <c r="F93" s="752"/>
      <c r="G93" s="752"/>
      <c r="H93" s="752"/>
      <c r="I93" s="752"/>
      <c r="J93" s="752"/>
    </row>
    <row r="94" spans="1:10" ht="21.9" customHeight="1">
      <c r="A94" s="752"/>
      <c r="B94" s="752"/>
      <c r="C94" s="752"/>
      <c r="D94" s="752"/>
      <c r="E94" s="752"/>
      <c r="F94" s="752"/>
      <c r="G94" s="752"/>
      <c r="H94" s="752"/>
      <c r="I94" s="752"/>
      <c r="J94" s="752"/>
    </row>
    <row r="95" spans="1:10" ht="21.9" customHeight="1">
      <c r="A95" s="752"/>
      <c r="B95" s="752"/>
      <c r="C95" s="752"/>
      <c r="D95" s="752"/>
      <c r="E95" s="752"/>
      <c r="F95" s="752"/>
      <c r="G95" s="752"/>
      <c r="H95" s="752"/>
      <c r="I95" s="752"/>
      <c r="J95" s="752"/>
    </row>
    <row r="96" spans="1:10" ht="21.9" customHeight="1">
      <c r="A96" s="752"/>
      <c r="B96" s="752"/>
      <c r="C96" s="752"/>
      <c r="D96" s="752"/>
      <c r="E96" s="752"/>
      <c r="F96" s="752"/>
      <c r="G96" s="752"/>
      <c r="H96" s="752"/>
      <c r="I96" s="752"/>
      <c r="J96" s="752"/>
    </row>
    <row r="97" spans="1:10" ht="21.9" customHeight="1">
      <c r="A97" s="752"/>
      <c r="B97" s="752"/>
      <c r="C97" s="752"/>
      <c r="D97" s="752"/>
      <c r="E97" s="752"/>
      <c r="F97" s="752"/>
      <c r="G97" s="752"/>
      <c r="H97" s="752"/>
      <c r="I97" s="752"/>
      <c r="J97" s="752"/>
    </row>
    <row r="98" spans="1:10" ht="21.9" customHeight="1">
      <c r="A98" s="752"/>
      <c r="B98" s="752"/>
      <c r="C98" s="752"/>
      <c r="D98" s="752"/>
      <c r="E98" s="752"/>
      <c r="F98" s="752"/>
      <c r="G98" s="752"/>
      <c r="H98" s="752"/>
      <c r="I98" s="752"/>
      <c r="J98" s="752"/>
    </row>
    <row r="99" spans="1:10" ht="21.9" customHeight="1">
      <c r="A99" s="752"/>
      <c r="B99" s="752"/>
      <c r="C99" s="752"/>
      <c r="D99" s="752"/>
      <c r="E99" s="752"/>
      <c r="F99" s="752"/>
      <c r="G99" s="752"/>
      <c r="H99" s="752"/>
      <c r="I99" s="752"/>
      <c r="J99" s="752"/>
    </row>
    <row r="100" spans="1:10" ht="21.9" customHeight="1">
      <c r="A100" s="752"/>
      <c r="B100" s="752"/>
      <c r="C100" s="752"/>
      <c r="D100" s="752"/>
      <c r="E100" s="752"/>
      <c r="F100" s="752"/>
      <c r="G100" s="752"/>
      <c r="H100" s="752"/>
      <c r="I100" s="752"/>
      <c r="J100" s="752"/>
    </row>
    <row r="101" spans="1:10" ht="21.9" customHeight="1">
      <c r="A101" s="752"/>
      <c r="B101" s="752"/>
      <c r="C101" s="752"/>
      <c r="D101" s="752"/>
      <c r="E101" s="752"/>
      <c r="F101" s="752"/>
      <c r="G101" s="752"/>
      <c r="H101" s="752"/>
      <c r="I101" s="752"/>
      <c r="J101" s="752"/>
    </row>
    <row r="102" spans="1:10" ht="21.9" customHeight="1">
      <c r="A102" s="752"/>
      <c r="B102" s="752"/>
      <c r="C102" s="752"/>
      <c r="D102" s="752"/>
      <c r="E102" s="752"/>
      <c r="F102" s="752"/>
      <c r="G102" s="752"/>
      <c r="H102" s="752"/>
      <c r="I102" s="752"/>
      <c r="J102" s="752"/>
    </row>
    <row r="103" spans="1:10" ht="21.9" customHeight="1">
      <c r="A103" s="752"/>
      <c r="B103" s="752"/>
      <c r="C103" s="752"/>
      <c r="D103" s="752"/>
      <c r="E103" s="752"/>
      <c r="F103" s="752"/>
      <c r="G103" s="752"/>
      <c r="H103" s="752"/>
      <c r="I103" s="752"/>
      <c r="J103" s="752"/>
    </row>
    <row r="104" spans="1:10" ht="21.9" customHeight="1">
      <c r="A104" s="752"/>
      <c r="B104" s="752"/>
      <c r="C104" s="752"/>
      <c r="D104" s="752"/>
      <c r="E104" s="752"/>
      <c r="F104" s="752"/>
      <c r="G104" s="752"/>
      <c r="H104" s="752"/>
      <c r="I104" s="752"/>
      <c r="J104" s="752"/>
    </row>
    <row r="105" spans="1:10" ht="21.9" customHeight="1">
      <c r="A105" s="752"/>
      <c r="B105" s="752"/>
      <c r="C105" s="752"/>
      <c r="D105" s="752"/>
      <c r="E105" s="752"/>
      <c r="F105" s="752"/>
      <c r="G105" s="752"/>
      <c r="H105" s="752"/>
      <c r="I105" s="752"/>
      <c r="J105" s="752"/>
    </row>
    <row r="106" spans="1:10" ht="21.9" customHeight="1">
      <c r="A106" s="752"/>
      <c r="B106" s="752"/>
      <c r="C106" s="752"/>
      <c r="D106" s="752"/>
      <c r="E106" s="752"/>
      <c r="F106" s="752"/>
      <c r="G106" s="752"/>
      <c r="H106" s="752"/>
      <c r="I106" s="752"/>
      <c r="J106" s="752"/>
    </row>
    <row r="107" spans="1:10" ht="21.9" customHeight="1">
      <c r="A107" s="752"/>
      <c r="B107" s="752"/>
      <c r="C107" s="752"/>
      <c r="D107" s="752"/>
      <c r="E107" s="752"/>
      <c r="F107" s="752"/>
      <c r="G107" s="752"/>
      <c r="H107" s="752"/>
      <c r="I107" s="752"/>
      <c r="J107" s="752"/>
    </row>
    <row r="108" spans="1:10" ht="21.9" customHeight="1">
      <c r="A108" s="752"/>
      <c r="B108" s="752"/>
      <c r="C108" s="752"/>
      <c r="D108" s="752"/>
      <c r="E108" s="752"/>
      <c r="F108" s="752"/>
      <c r="G108" s="752"/>
      <c r="H108" s="752"/>
      <c r="I108" s="752"/>
      <c r="J108" s="752"/>
    </row>
    <row r="109" spans="1:10" ht="21.9" customHeight="1">
      <c r="A109" s="752"/>
      <c r="B109" s="752"/>
      <c r="C109" s="752"/>
      <c r="D109" s="752"/>
      <c r="E109" s="752"/>
      <c r="F109" s="752"/>
      <c r="G109" s="752"/>
      <c r="H109" s="752"/>
      <c r="I109" s="752"/>
      <c r="J109" s="752"/>
    </row>
    <row r="110" spans="1:10" ht="21.9" customHeight="1">
      <c r="A110" s="752"/>
      <c r="B110" s="752"/>
      <c r="C110" s="752"/>
      <c r="D110" s="752"/>
      <c r="E110" s="752"/>
      <c r="F110" s="752"/>
      <c r="G110" s="752"/>
      <c r="H110" s="752"/>
      <c r="I110" s="752"/>
      <c r="J110" s="752"/>
    </row>
    <row r="111" spans="1:10" ht="21.9" customHeight="1">
      <c r="A111" s="752"/>
      <c r="B111" s="752"/>
      <c r="C111" s="752"/>
      <c r="D111" s="752"/>
      <c r="E111" s="752"/>
      <c r="F111" s="752"/>
      <c r="G111" s="752"/>
      <c r="H111" s="752"/>
      <c r="I111" s="752"/>
      <c r="J111" s="752"/>
    </row>
    <row r="112" spans="1:10" ht="21.9" customHeight="1">
      <c r="A112" s="752"/>
      <c r="B112" s="752"/>
      <c r="C112" s="752"/>
      <c r="D112" s="752"/>
      <c r="E112" s="752"/>
      <c r="F112" s="752"/>
      <c r="G112" s="752"/>
      <c r="H112" s="752"/>
      <c r="I112" s="752"/>
      <c r="J112" s="752"/>
    </row>
    <row r="113" spans="1:10" ht="21.9" customHeight="1">
      <c r="A113" s="752"/>
      <c r="B113" s="752"/>
      <c r="C113" s="752"/>
      <c r="D113" s="752"/>
      <c r="E113" s="752"/>
      <c r="F113" s="752"/>
      <c r="G113" s="752"/>
      <c r="H113" s="752"/>
      <c r="I113" s="752"/>
      <c r="J113" s="752"/>
    </row>
    <row r="114" spans="1:10" ht="21.9" customHeight="1">
      <c r="A114" s="752"/>
      <c r="B114" s="752"/>
      <c r="C114" s="752"/>
      <c r="D114" s="752"/>
      <c r="E114" s="752"/>
      <c r="F114" s="752"/>
      <c r="G114" s="752"/>
      <c r="H114" s="752"/>
      <c r="I114" s="752"/>
      <c r="J114" s="752"/>
    </row>
    <row r="115" spans="1:10" ht="21.9" customHeight="1">
      <c r="A115" s="752"/>
      <c r="B115" s="752"/>
      <c r="C115" s="752"/>
      <c r="D115" s="752"/>
      <c r="E115" s="752"/>
      <c r="F115" s="752"/>
      <c r="G115" s="752"/>
      <c r="H115" s="752"/>
      <c r="I115" s="752"/>
      <c r="J115" s="752"/>
    </row>
    <row r="116" spans="1:10" ht="21.9" customHeight="1">
      <c r="A116" s="752"/>
      <c r="B116" s="752"/>
      <c r="C116" s="752"/>
      <c r="D116" s="752"/>
      <c r="E116" s="752"/>
      <c r="F116" s="752"/>
      <c r="G116" s="752"/>
      <c r="H116" s="752"/>
      <c r="I116" s="752"/>
      <c r="J116" s="752"/>
    </row>
    <row r="117" spans="1:10" ht="21.9" customHeight="1">
      <c r="A117" s="752"/>
      <c r="B117" s="752"/>
      <c r="C117" s="752"/>
      <c r="D117" s="752"/>
      <c r="E117" s="752"/>
      <c r="F117" s="752"/>
      <c r="G117" s="752"/>
      <c r="H117" s="752"/>
      <c r="I117" s="752"/>
      <c r="J117" s="752"/>
    </row>
    <row r="118" spans="1:10" ht="21.9" customHeight="1">
      <c r="A118" s="752"/>
      <c r="B118" s="752"/>
      <c r="C118" s="752"/>
      <c r="D118" s="752"/>
      <c r="E118" s="752"/>
      <c r="F118" s="752"/>
      <c r="G118" s="752"/>
      <c r="H118" s="752"/>
      <c r="I118" s="752"/>
      <c r="J118" s="752"/>
    </row>
    <row r="119" spans="1:10" ht="21.9" customHeight="1">
      <c r="A119" s="752"/>
      <c r="B119" s="752"/>
      <c r="C119" s="752"/>
      <c r="D119" s="752"/>
      <c r="E119" s="752"/>
      <c r="F119" s="752"/>
      <c r="G119" s="752"/>
      <c r="H119" s="752"/>
      <c r="I119" s="752"/>
      <c r="J119" s="752"/>
    </row>
    <row r="120" spans="1:10" ht="21.9" customHeight="1">
      <c r="A120" s="752"/>
      <c r="B120" s="752"/>
      <c r="C120" s="752"/>
      <c r="D120" s="752"/>
      <c r="E120" s="752"/>
      <c r="F120" s="752"/>
      <c r="G120" s="752"/>
      <c r="H120" s="752"/>
      <c r="I120" s="752"/>
      <c r="J120" s="752"/>
    </row>
    <row r="121" spans="1:10" ht="21.9" customHeight="1">
      <c r="A121" s="752"/>
      <c r="B121" s="752"/>
      <c r="C121" s="752"/>
      <c r="D121" s="752"/>
      <c r="E121" s="752"/>
      <c r="F121" s="752"/>
      <c r="G121" s="752"/>
      <c r="H121" s="752"/>
      <c r="I121" s="752"/>
      <c r="J121" s="752"/>
    </row>
    <row r="122" spans="1:10" ht="21.9" customHeight="1">
      <c r="A122" s="752"/>
      <c r="B122" s="752"/>
      <c r="C122" s="752"/>
      <c r="D122" s="752"/>
      <c r="E122" s="752"/>
      <c r="F122" s="752"/>
      <c r="G122" s="752"/>
      <c r="H122" s="752"/>
      <c r="I122" s="752"/>
      <c r="J122" s="752"/>
    </row>
    <row r="123" spans="1:10" ht="21.9" customHeight="1">
      <c r="A123" s="752"/>
      <c r="B123" s="752"/>
      <c r="C123" s="752"/>
      <c r="D123" s="752"/>
      <c r="E123" s="752"/>
      <c r="F123" s="752"/>
      <c r="G123" s="752"/>
      <c r="H123" s="752"/>
      <c r="I123" s="752"/>
      <c r="J123" s="752"/>
    </row>
    <row r="124" spans="1:10" ht="21.9" customHeight="1">
      <c r="A124" s="752"/>
      <c r="B124" s="752"/>
      <c r="C124" s="752"/>
      <c r="D124" s="752"/>
      <c r="E124" s="752"/>
      <c r="F124" s="752"/>
      <c r="G124" s="752"/>
      <c r="H124" s="752"/>
      <c r="I124" s="752"/>
      <c r="J124" s="752"/>
    </row>
    <row r="125" spans="1:10" ht="21.9" customHeight="1">
      <c r="A125" s="752"/>
      <c r="B125" s="752"/>
      <c r="C125" s="752"/>
      <c r="D125" s="752"/>
      <c r="E125" s="752"/>
      <c r="F125" s="752"/>
      <c r="G125" s="752"/>
      <c r="H125" s="752"/>
      <c r="I125" s="752"/>
      <c r="J125" s="752"/>
    </row>
    <row r="126" spans="1:10" ht="21.9" customHeight="1">
      <c r="A126" s="752"/>
      <c r="B126" s="752"/>
      <c r="C126" s="752"/>
      <c r="D126" s="752"/>
      <c r="E126" s="752"/>
      <c r="F126" s="752"/>
      <c r="G126" s="752"/>
      <c r="H126" s="752"/>
      <c r="I126" s="752"/>
      <c r="J126" s="752"/>
    </row>
    <row r="127" spans="1:10" ht="21.9" customHeight="1">
      <c r="A127" s="752"/>
      <c r="B127" s="752"/>
      <c r="C127" s="752"/>
      <c r="D127" s="752"/>
      <c r="E127" s="752"/>
      <c r="F127" s="752"/>
      <c r="G127" s="752"/>
      <c r="H127" s="752"/>
      <c r="I127" s="752"/>
      <c r="J127" s="752"/>
    </row>
    <row r="128" spans="1:10" ht="21.9" customHeight="1">
      <c r="A128" s="752"/>
      <c r="B128" s="752"/>
      <c r="C128" s="752"/>
      <c r="D128" s="752"/>
      <c r="E128" s="752"/>
      <c r="F128" s="752"/>
      <c r="G128" s="752"/>
      <c r="H128" s="752"/>
      <c r="I128" s="752"/>
      <c r="J128" s="752"/>
    </row>
    <row r="129" spans="1:10" ht="21.9" customHeight="1">
      <c r="A129" s="752"/>
      <c r="B129" s="752"/>
      <c r="C129" s="752"/>
      <c r="D129" s="752"/>
      <c r="E129" s="752"/>
      <c r="F129" s="752"/>
      <c r="G129" s="752"/>
      <c r="H129" s="752"/>
      <c r="I129" s="752"/>
      <c r="J129" s="752"/>
    </row>
    <row r="130" spans="1:10" ht="21.9" customHeight="1">
      <c r="A130" s="752"/>
      <c r="B130" s="752"/>
      <c r="C130" s="752"/>
      <c r="D130" s="752"/>
      <c r="E130" s="752"/>
      <c r="F130" s="752"/>
      <c r="G130" s="752"/>
      <c r="H130" s="752"/>
      <c r="I130" s="752"/>
      <c r="J130" s="752"/>
    </row>
    <row r="131" spans="1:10" ht="21.9" customHeight="1">
      <c r="A131" s="752"/>
      <c r="B131" s="752"/>
      <c r="C131" s="752"/>
      <c r="D131" s="752"/>
      <c r="E131" s="752"/>
      <c r="F131" s="752"/>
      <c r="G131" s="752"/>
      <c r="H131" s="752"/>
      <c r="I131" s="752"/>
      <c r="J131" s="752"/>
    </row>
    <row r="132" spans="1:10" ht="21.9" customHeight="1">
      <c r="A132" s="752"/>
      <c r="B132" s="752"/>
      <c r="C132" s="752"/>
      <c r="D132" s="752"/>
      <c r="E132" s="752"/>
      <c r="F132" s="752"/>
      <c r="G132" s="752"/>
      <c r="H132" s="752"/>
      <c r="I132" s="752"/>
      <c r="J132" s="752"/>
    </row>
    <row r="133" spans="1:10" ht="21.9" customHeight="1">
      <c r="A133" s="752"/>
      <c r="B133" s="752"/>
      <c r="C133" s="752"/>
      <c r="D133" s="752"/>
      <c r="E133" s="752"/>
      <c r="F133" s="752"/>
      <c r="G133" s="752"/>
      <c r="H133" s="752"/>
      <c r="I133" s="752"/>
      <c r="J133" s="752"/>
    </row>
    <row r="134" spans="1:10" ht="21.9" customHeight="1">
      <c r="A134" s="752"/>
      <c r="B134" s="752"/>
      <c r="C134" s="752"/>
      <c r="D134" s="752"/>
      <c r="E134" s="752"/>
      <c r="F134" s="752"/>
      <c r="G134" s="752"/>
      <c r="H134" s="752"/>
      <c r="I134" s="752"/>
      <c r="J134" s="752"/>
    </row>
    <row r="135" spans="1:10" ht="21.9" customHeight="1">
      <c r="A135" s="752"/>
      <c r="B135" s="752"/>
      <c r="C135" s="752"/>
      <c r="D135" s="752"/>
      <c r="E135" s="752"/>
      <c r="F135" s="752"/>
      <c r="G135" s="752"/>
      <c r="H135" s="752"/>
      <c r="I135" s="752"/>
      <c r="J135" s="752"/>
    </row>
    <row r="136" spans="1:10" ht="21.9" customHeight="1">
      <c r="A136" s="752"/>
      <c r="B136" s="752"/>
      <c r="C136" s="752"/>
      <c r="D136" s="752"/>
      <c r="E136" s="752"/>
      <c r="F136" s="752"/>
      <c r="G136" s="752"/>
      <c r="H136" s="752"/>
      <c r="I136" s="752"/>
      <c r="J136" s="752"/>
    </row>
    <row r="137" spans="1:10" ht="21.9" customHeight="1">
      <c r="A137" s="752"/>
      <c r="B137" s="752"/>
      <c r="C137" s="752"/>
      <c r="D137" s="752"/>
      <c r="E137" s="752"/>
      <c r="F137" s="752"/>
      <c r="G137" s="752"/>
      <c r="H137" s="752"/>
      <c r="I137" s="752"/>
      <c r="J137" s="752"/>
    </row>
    <row r="138" spans="1:10" ht="21.9" customHeight="1">
      <c r="A138" s="752"/>
      <c r="B138" s="752"/>
      <c r="C138" s="752"/>
      <c r="D138" s="752"/>
      <c r="E138" s="752"/>
      <c r="F138" s="752"/>
      <c r="G138" s="752"/>
      <c r="H138" s="752"/>
      <c r="I138" s="752"/>
      <c r="J138" s="752"/>
    </row>
    <row r="139" spans="1:10" ht="21.9" customHeight="1">
      <c r="A139" s="752"/>
      <c r="B139" s="752"/>
      <c r="C139" s="752"/>
      <c r="D139" s="752"/>
      <c r="E139" s="752"/>
      <c r="F139" s="752"/>
      <c r="G139" s="752"/>
      <c r="H139" s="752"/>
      <c r="I139" s="752"/>
      <c r="J139" s="752"/>
    </row>
    <row r="140" spans="1:10" ht="21.9" customHeight="1">
      <c r="A140" s="752"/>
      <c r="B140" s="752"/>
      <c r="C140" s="752"/>
      <c r="D140" s="752"/>
      <c r="E140" s="752"/>
      <c r="F140" s="752"/>
      <c r="G140" s="752"/>
      <c r="H140" s="752"/>
      <c r="I140" s="752"/>
      <c r="J140" s="752"/>
    </row>
    <row r="141" spans="1:10" ht="21.9" customHeight="1">
      <c r="A141" s="752"/>
      <c r="B141" s="752"/>
      <c r="C141" s="752"/>
      <c r="D141" s="752"/>
      <c r="E141" s="752"/>
      <c r="F141" s="752"/>
      <c r="G141" s="752"/>
      <c r="H141" s="752"/>
      <c r="I141" s="752"/>
      <c r="J141" s="752"/>
    </row>
    <row r="142" spans="1:10" ht="21.9" customHeight="1">
      <c r="A142" s="752"/>
      <c r="B142" s="752"/>
      <c r="C142" s="752"/>
      <c r="D142" s="752"/>
      <c r="E142" s="752"/>
      <c r="F142" s="752"/>
      <c r="G142" s="752"/>
      <c r="H142" s="752"/>
      <c r="I142" s="752"/>
      <c r="J142" s="752"/>
    </row>
    <row r="143" spans="1:10" ht="21.9" customHeight="1">
      <c r="A143" s="752"/>
      <c r="B143" s="752"/>
      <c r="C143" s="752"/>
      <c r="D143" s="752"/>
      <c r="E143" s="752"/>
      <c r="F143" s="752"/>
      <c r="G143" s="752"/>
      <c r="H143" s="752"/>
      <c r="I143" s="752"/>
      <c r="J143" s="752"/>
    </row>
    <row r="144" spans="1:10" ht="21.9" customHeight="1">
      <c r="A144" s="752"/>
      <c r="B144" s="752"/>
      <c r="C144" s="752"/>
      <c r="D144" s="752"/>
      <c r="E144" s="752"/>
      <c r="F144" s="752"/>
      <c r="G144" s="752"/>
      <c r="H144" s="752"/>
      <c r="I144" s="752"/>
      <c r="J144" s="752"/>
    </row>
    <row r="145" spans="1:10" ht="21.9" customHeight="1">
      <c r="A145" s="752"/>
      <c r="B145" s="752"/>
      <c r="C145" s="752"/>
      <c r="D145" s="752"/>
      <c r="E145" s="752"/>
      <c r="F145" s="752"/>
      <c r="G145" s="752"/>
      <c r="H145" s="752"/>
      <c r="I145" s="752"/>
      <c r="J145" s="752"/>
    </row>
    <row r="146" spans="1:10" ht="21.9" customHeight="1">
      <c r="A146" s="752"/>
      <c r="B146" s="752"/>
      <c r="C146" s="752"/>
      <c r="D146" s="752"/>
      <c r="E146" s="752"/>
      <c r="F146" s="752"/>
      <c r="G146" s="752"/>
      <c r="H146" s="752"/>
      <c r="I146" s="752"/>
      <c r="J146" s="752"/>
    </row>
  </sheetData>
  <sheetProtection selectLockedCells="1" selectUnlockedCells="1"/>
  <mergeCells count="22">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 ref="A5:J5"/>
    <mergeCell ref="D17:E17"/>
    <mergeCell ref="A19:C19"/>
    <mergeCell ref="D19:F19"/>
    <mergeCell ref="A1:J1"/>
    <mergeCell ref="A2:F3"/>
    <mergeCell ref="J3:J4"/>
    <mergeCell ref="A4:F4"/>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5.6"/>
  <cols>
    <col min="1" max="1" width="4.59765625" style="168" customWidth="1"/>
    <col min="2" max="2" width="7" style="168" customWidth="1"/>
    <col min="3" max="3" width="23.69921875" style="168" customWidth="1"/>
    <col min="4" max="4" width="18.09765625" style="168" customWidth="1"/>
    <col min="5" max="5" width="10.59765625" style="168" customWidth="1"/>
    <col min="6" max="7" width="6.59765625" style="168" customWidth="1"/>
    <col min="8" max="9" width="10.59765625" style="168" customWidth="1"/>
    <col min="10" max="10" width="12.8984375" style="168" customWidth="1"/>
    <col min="11" max="11" width="5.19921875" style="168" customWidth="1"/>
    <col min="12" max="12" width="5.59765625" style="168" customWidth="1"/>
    <col min="13" max="16384" width="9" style="168"/>
  </cols>
  <sheetData>
    <row r="1" spans="1:20" ht="22.2">
      <c r="A1" s="3277" t="s">
        <v>368</v>
      </c>
      <c r="B1" s="3277"/>
      <c r="C1" s="3277"/>
      <c r="D1" s="3277"/>
      <c r="E1" s="3277"/>
      <c r="F1" s="3277"/>
      <c r="G1" s="3277"/>
      <c r="H1" s="3277"/>
      <c r="I1" s="3277"/>
      <c r="J1" s="3277"/>
      <c r="K1" s="3277"/>
      <c r="L1" s="3277"/>
    </row>
    <row r="2" spans="1:20" ht="7.5" customHeight="1">
      <c r="A2" s="753"/>
      <c r="B2" s="753"/>
      <c r="C2" s="753"/>
      <c r="D2" s="753"/>
      <c r="E2" s="753"/>
      <c r="F2" s="753"/>
      <c r="G2" s="753"/>
      <c r="H2" s="753"/>
      <c r="I2" s="753"/>
      <c r="J2" s="753"/>
      <c r="K2" s="753"/>
      <c r="L2" s="753"/>
    </row>
    <row r="3" spans="1:20" ht="19.5" customHeight="1">
      <c r="A3" s="3278" t="s">
        <v>447</v>
      </c>
      <c r="B3" s="3278"/>
      <c r="C3" s="3279">
        <f>基本情况!B2</f>
        <v>0</v>
      </c>
      <c r="D3" s="3279"/>
      <c r="E3" s="3279"/>
      <c r="F3" s="3279"/>
      <c r="G3" s="755" t="s">
        <v>450</v>
      </c>
      <c r="H3" s="756">
        <f>基本情况!B12</f>
        <v>0</v>
      </c>
      <c r="I3" s="755" t="s">
        <v>449</v>
      </c>
      <c r="J3" s="757" t="str">
        <f>TEXT(基本情况!B21,"yyyy-mm-dd")</f>
        <v>2017-03-16</v>
      </c>
      <c r="K3" s="3280" t="s">
        <v>283</v>
      </c>
      <c r="L3" s="3280"/>
    </row>
    <row r="4" spans="1:20" ht="19.5" customHeight="1">
      <c r="A4" s="3281" t="s">
        <v>451</v>
      </c>
      <c r="B4" s="3281"/>
      <c r="C4" s="3282" t="str">
        <f>基本情况!B7</f>
        <v>2016年01月01日至2016年12月31日</v>
      </c>
      <c r="D4" s="3282"/>
      <c r="E4" s="3282"/>
      <c r="F4" s="3282"/>
      <c r="G4" s="759" t="s">
        <v>452</v>
      </c>
      <c r="H4" s="760">
        <f>基本情况!B11</f>
        <v>0</v>
      </c>
      <c r="I4" s="759" t="s">
        <v>449</v>
      </c>
      <c r="J4" s="760" t="str">
        <f>TEXT(基本情况!B22,"yyyy-mm-dd")</f>
        <v>2017-05-04</v>
      </c>
      <c r="K4" s="3283" t="str">
        <f>档案索引!A42</f>
        <v>2A-22</v>
      </c>
      <c r="L4" s="3283"/>
    </row>
    <row r="5" spans="1:20" ht="7.5" customHeight="1">
      <c r="A5" s="3276"/>
      <c r="B5" s="3276"/>
      <c r="C5" s="3276"/>
      <c r="D5" s="3276"/>
      <c r="E5" s="3276"/>
      <c r="F5" s="3276"/>
      <c r="G5" s="3276"/>
      <c r="H5" s="3276"/>
      <c r="I5" s="3276"/>
      <c r="J5" s="3276"/>
      <c r="K5" s="3276"/>
      <c r="L5" s="3276"/>
    </row>
    <row r="6" spans="1:20" ht="9" customHeight="1">
      <c r="A6" s="3287" t="s">
        <v>453</v>
      </c>
      <c r="B6" s="3288" t="s">
        <v>1510</v>
      </c>
      <c r="C6" s="3286" t="s">
        <v>922</v>
      </c>
      <c r="D6" s="3286" t="s">
        <v>923</v>
      </c>
      <c r="E6" s="3286" t="s">
        <v>924</v>
      </c>
      <c r="F6" s="3286" t="s">
        <v>925</v>
      </c>
      <c r="G6" s="3286" t="s">
        <v>926</v>
      </c>
      <c r="H6" s="3286" t="s">
        <v>927</v>
      </c>
      <c r="I6" s="3286" t="s">
        <v>928</v>
      </c>
      <c r="J6" s="3286" t="s">
        <v>929</v>
      </c>
      <c r="K6" s="3289" t="s">
        <v>455</v>
      </c>
      <c r="L6" s="3289"/>
    </row>
    <row r="7" spans="1:20" ht="20.25" customHeight="1">
      <c r="A7" s="3287"/>
      <c r="B7" s="3288"/>
      <c r="C7" s="3286"/>
      <c r="D7" s="3286"/>
      <c r="E7" s="3286"/>
      <c r="F7" s="3286"/>
      <c r="G7" s="3286"/>
      <c r="H7" s="3286"/>
      <c r="I7" s="3286"/>
      <c r="J7" s="3286"/>
      <c r="K7" s="3289"/>
      <c r="L7" s="3289"/>
      <c r="M7" t="s">
        <v>395</v>
      </c>
    </row>
    <row r="8" spans="1:20" ht="17.25" customHeight="1">
      <c r="A8" s="754">
        <v>1</v>
      </c>
      <c r="B8" s="1236"/>
      <c r="C8" s="1236"/>
      <c r="D8" s="1141"/>
      <c r="E8" s="1237"/>
      <c r="F8" s="1141"/>
      <c r="G8" s="1238"/>
      <c r="H8" s="1145"/>
      <c r="I8" s="1145"/>
      <c r="J8" s="715">
        <f t="shared" ref="J8:J17" si="0">H8-I8</f>
        <v>0</v>
      </c>
      <c r="K8" s="3290"/>
      <c r="L8" s="3290"/>
      <c r="M8" s="3284" t="s">
        <v>930</v>
      </c>
      <c r="N8" s="3284"/>
      <c r="O8" s="3284"/>
    </row>
    <row r="9" spans="1:20" ht="17.25" customHeight="1">
      <c r="A9" s="761">
        <v>2</v>
      </c>
      <c r="B9" s="1239"/>
      <c r="C9" s="1239"/>
      <c r="D9" s="1142"/>
      <c r="E9" s="1240"/>
      <c r="F9" s="1142"/>
      <c r="G9" s="1241"/>
      <c r="H9" s="1146"/>
      <c r="I9" s="1146"/>
      <c r="J9" s="545">
        <f t="shared" si="0"/>
        <v>0</v>
      </c>
      <c r="K9" s="3285"/>
      <c r="L9" s="3285"/>
    </row>
    <row r="10" spans="1:20" ht="17.25" customHeight="1">
      <c r="A10" s="761">
        <v>3</v>
      </c>
      <c r="B10" s="1239"/>
      <c r="C10" s="1239"/>
      <c r="D10" s="1142"/>
      <c r="E10" s="1240"/>
      <c r="F10" s="1142"/>
      <c r="G10" s="1241"/>
      <c r="H10" s="1146"/>
      <c r="I10" s="1146"/>
      <c r="J10" s="545">
        <f t="shared" si="0"/>
        <v>0</v>
      </c>
      <c r="K10" s="3285"/>
      <c r="L10" s="3285"/>
      <c r="M10" s="3284" t="s">
        <v>328</v>
      </c>
      <c r="N10" s="3284"/>
      <c r="O10" s="3284"/>
    </row>
    <row r="11" spans="1:20" ht="17.25" customHeight="1">
      <c r="A11" s="761">
        <v>4</v>
      </c>
      <c r="B11" s="1239"/>
      <c r="C11" s="1239"/>
      <c r="D11" s="1142"/>
      <c r="E11" s="1240"/>
      <c r="F11" s="1142"/>
      <c r="G11" s="1241"/>
      <c r="H11" s="1146"/>
      <c r="I11" s="1146"/>
      <c r="J11" s="545">
        <f t="shared" si="0"/>
        <v>0</v>
      </c>
      <c r="K11" s="3285"/>
      <c r="L11" s="3285"/>
    </row>
    <row r="12" spans="1:20" ht="17.25" customHeight="1">
      <c r="A12" s="761">
        <v>5</v>
      </c>
      <c r="B12" s="1239"/>
      <c r="C12" s="1239"/>
      <c r="D12" s="1142"/>
      <c r="E12" s="1240"/>
      <c r="F12" s="1142"/>
      <c r="G12" s="1241"/>
      <c r="H12" s="1146"/>
      <c r="I12" s="1146"/>
      <c r="J12" s="545">
        <f t="shared" si="0"/>
        <v>0</v>
      </c>
      <c r="K12" s="3285"/>
      <c r="L12" s="3285"/>
      <c r="M12" s="3284" t="s">
        <v>931</v>
      </c>
      <c r="N12" s="3284"/>
      <c r="O12" s="3284"/>
    </row>
    <row r="13" spans="1:20" ht="17.25" customHeight="1">
      <c r="A13" s="761">
        <v>6</v>
      </c>
      <c r="B13" s="1239"/>
      <c r="C13" s="1239"/>
      <c r="D13" s="1142"/>
      <c r="E13" s="1240"/>
      <c r="F13" s="1142"/>
      <c r="G13" s="1241"/>
      <c r="H13" s="1146"/>
      <c r="I13" s="1146"/>
      <c r="J13" s="545">
        <f t="shared" si="0"/>
        <v>0</v>
      </c>
      <c r="K13" s="3285"/>
      <c r="L13" s="3285"/>
      <c r="M13" s="3300" t="s">
        <v>963</v>
      </c>
      <c r="N13" s="3300"/>
      <c r="O13" s="3300"/>
      <c r="P13" s="3300"/>
      <c r="Q13" s="3300"/>
      <c r="R13" s="3300"/>
      <c r="S13" s="3300"/>
      <c r="T13" s="3300"/>
    </row>
    <row r="14" spans="1:20" ht="17.25" customHeight="1">
      <c r="A14" s="761">
        <v>7</v>
      </c>
      <c r="B14" s="1239"/>
      <c r="C14" s="1239"/>
      <c r="D14" s="1142"/>
      <c r="E14" s="1240"/>
      <c r="F14" s="1142"/>
      <c r="G14" s="1241"/>
      <c r="H14" s="1146"/>
      <c r="I14" s="1146"/>
      <c r="J14" s="545">
        <f t="shared" si="0"/>
        <v>0</v>
      </c>
      <c r="K14" s="3285"/>
      <c r="L14" s="3285"/>
      <c r="M14" s="3300"/>
      <c r="N14" s="3300"/>
      <c r="O14" s="3300"/>
      <c r="P14" s="3300"/>
      <c r="Q14" s="3300"/>
      <c r="R14" s="3300"/>
      <c r="S14" s="3300"/>
      <c r="T14" s="3300"/>
    </row>
    <row r="15" spans="1:20" ht="17.25" customHeight="1">
      <c r="A15" s="761">
        <v>8</v>
      </c>
      <c r="B15" s="1239"/>
      <c r="C15" s="1239"/>
      <c r="D15" s="1142"/>
      <c r="E15" s="1240"/>
      <c r="F15" s="1142"/>
      <c r="G15" s="1241"/>
      <c r="H15" s="1146"/>
      <c r="I15" s="1146"/>
      <c r="J15" s="545">
        <f t="shared" si="0"/>
        <v>0</v>
      </c>
      <c r="K15" s="3285"/>
      <c r="L15" s="3285"/>
      <c r="M15" s="3300"/>
      <c r="N15" s="3300"/>
      <c r="O15" s="3300"/>
      <c r="P15" s="3300"/>
      <c r="Q15" s="3300"/>
      <c r="R15" s="3300"/>
      <c r="S15" s="3300"/>
      <c r="T15" s="3300"/>
    </row>
    <row r="16" spans="1:20" ht="17.25" customHeight="1">
      <c r="A16" s="761">
        <v>9</v>
      </c>
      <c r="B16" s="1239"/>
      <c r="C16" s="1239"/>
      <c r="D16" s="1142"/>
      <c r="E16" s="1240"/>
      <c r="F16" s="1142"/>
      <c r="G16" s="1241"/>
      <c r="H16" s="1146"/>
      <c r="I16" s="1146"/>
      <c r="J16" s="545">
        <f t="shared" si="0"/>
        <v>0</v>
      </c>
      <c r="K16" s="3285"/>
      <c r="L16" s="3285"/>
      <c r="M16" s="3300"/>
      <c r="N16" s="3300"/>
      <c r="O16" s="3300"/>
      <c r="P16" s="3300"/>
      <c r="Q16" s="3300"/>
      <c r="R16" s="3300"/>
      <c r="S16" s="3300"/>
      <c r="T16" s="3300"/>
    </row>
    <row r="17" spans="1:20" ht="17.25" customHeight="1">
      <c r="A17" s="758">
        <v>10</v>
      </c>
      <c r="B17" s="1242"/>
      <c r="C17" s="1242"/>
      <c r="D17" s="1143"/>
      <c r="E17" s="1243"/>
      <c r="F17" s="1143"/>
      <c r="G17" s="1244"/>
      <c r="H17" s="1147"/>
      <c r="I17" s="1147"/>
      <c r="J17" s="716">
        <f t="shared" si="0"/>
        <v>0</v>
      </c>
      <c r="K17" s="3307"/>
      <c r="L17" s="3307"/>
      <c r="M17" s="3300"/>
      <c r="N17" s="3300"/>
      <c r="O17" s="3300"/>
      <c r="P17" s="3300"/>
      <c r="Q17" s="3300"/>
      <c r="R17" s="3300"/>
      <c r="S17" s="3300"/>
      <c r="T17" s="3300"/>
    </row>
    <row r="18" spans="1:20" ht="19.5" customHeight="1">
      <c r="A18" s="3293" t="s">
        <v>964</v>
      </c>
      <c r="B18" s="3293"/>
      <c r="C18" s="3293"/>
      <c r="D18" s="1144">
        <f>SUM(D8:D17)</f>
        <v>0</v>
      </c>
      <c r="E18" s="762"/>
      <c r="F18" s="1148"/>
      <c r="G18" s="1149"/>
      <c r="H18" s="1144">
        <f>SUM(H8:H17)</f>
        <v>0</v>
      </c>
      <c r="I18" s="1144">
        <f>SUM(I8:I17)</f>
        <v>0</v>
      </c>
      <c r="J18" s="1144">
        <f>SUM(J8:J17)</f>
        <v>0</v>
      </c>
      <c r="K18" s="3294"/>
      <c r="L18" s="3294"/>
      <c r="M18" s="3300"/>
      <c r="N18" s="3300"/>
      <c r="O18" s="3300"/>
      <c r="P18" s="3300"/>
      <c r="Q18" s="3300"/>
      <c r="R18" s="3300"/>
      <c r="S18" s="3300"/>
      <c r="T18" s="3300"/>
    </row>
    <row r="19" spans="1:20" ht="19.5" customHeight="1">
      <c r="A19" s="3295" t="s">
        <v>965</v>
      </c>
      <c r="B19" s="3295"/>
      <c r="C19" s="3295"/>
      <c r="D19" s="3295"/>
      <c r="E19" s="3295"/>
      <c r="F19" s="3295"/>
      <c r="G19" s="3295"/>
      <c r="H19" s="3295"/>
      <c r="I19" s="3295"/>
      <c r="J19" s="3295"/>
      <c r="K19" s="3296"/>
      <c r="L19" s="3296"/>
      <c r="M19" s="3300"/>
      <c r="N19" s="3300"/>
      <c r="O19" s="3300"/>
      <c r="P19" s="3300"/>
      <c r="Q19" s="3300"/>
      <c r="R19" s="3300"/>
      <c r="S19" s="3300"/>
      <c r="T19" s="3300"/>
    </row>
    <row r="20" spans="1:20" ht="19.5" customHeight="1">
      <c r="A20" s="3297" t="s">
        <v>853</v>
      </c>
      <c r="B20" s="3297"/>
      <c r="C20" s="763" t="s">
        <v>966</v>
      </c>
      <c r="D20" s="3298" t="s">
        <v>854</v>
      </c>
      <c r="E20" s="3298"/>
      <c r="F20" s="3298"/>
      <c r="G20" s="3298" t="s">
        <v>856</v>
      </c>
      <c r="H20" s="3298"/>
      <c r="I20" s="3298"/>
      <c r="J20" s="763" t="s">
        <v>702</v>
      </c>
      <c r="K20" s="3301"/>
      <c r="L20" s="3301"/>
      <c r="M20" s="3300"/>
      <c r="N20" s="3300"/>
      <c r="O20" s="3300"/>
      <c r="P20" s="3300"/>
      <c r="Q20" s="3300"/>
      <c r="R20" s="3300"/>
      <c r="S20" s="3300"/>
      <c r="T20" s="3300"/>
    </row>
    <row r="21" spans="1:20" ht="19.5" customHeight="1">
      <c r="A21" s="3304" t="s">
        <v>557</v>
      </c>
      <c r="B21" s="3304"/>
      <c r="C21" s="1150">
        <f>财务费用!H7</f>
        <v>0</v>
      </c>
      <c r="D21" s="3299"/>
      <c r="E21" s="3299"/>
      <c r="F21" s="3299"/>
      <c r="G21" s="3299"/>
      <c r="H21" s="3299"/>
      <c r="I21" s="3299"/>
      <c r="J21" s="1151">
        <f>SUM(C21:I21)</f>
        <v>0</v>
      </c>
      <c r="K21" s="3309"/>
      <c r="L21" s="3309"/>
      <c r="M21" s="3300"/>
      <c r="N21" s="3300"/>
      <c r="O21" s="3300"/>
      <c r="P21" s="3300"/>
      <c r="Q21" s="3300"/>
      <c r="R21" s="3300"/>
      <c r="S21" s="3300"/>
      <c r="T21" s="3300"/>
    </row>
    <row r="22" spans="1:20" ht="19.5" customHeight="1">
      <c r="A22" s="3293" t="s">
        <v>641</v>
      </c>
      <c r="B22" s="3293"/>
      <c r="C22" s="3293"/>
      <c r="D22" s="3305" t="str">
        <f>IF(H18&lt;&gt;J21,"原始凭证检查金额与账载不符，请检查！","原始凭证检查金额与账载相符！")</f>
        <v>原始凭证检查金额与账载相符！</v>
      </c>
      <c r="E22" s="3305"/>
      <c r="F22" s="3305"/>
      <c r="G22" s="3305"/>
      <c r="H22" s="3305"/>
      <c r="I22" s="3305"/>
      <c r="J22" s="3305"/>
      <c r="K22" s="3306"/>
      <c r="L22" s="3306"/>
      <c r="M22" s="3300"/>
      <c r="N22" s="3300"/>
      <c r="O22" s="3300"/>
      <c r="P22" s="3300"/>
      <c r="Q22" s="3300"/>
      <c r="R22" s="3300"/>
      <c r="S22" s="3300"/>
      <c r="T22" s="3300"/>
    </row>
    <row r="23" spans="1:20" ht="15" customHeight="1">
      <c r="A23" s="3302" t="s">
        <v>1323</v>
      </c>
      <c r="B23" s="3302"/>
      <c r="C23" s="3302"/>
      <c r="D23" s="764" t="s">
        <v>497</v>
      </c>
      <c r="E23" s="3308" t="str">
        <f>IF(J18&gt;0,"、E","")</f>
        <v/>
      </c>
      <c r="F23" s="3308"/>
      <c r="G23" s="3308"/>
      <c r="H23" s="3308"/>
      <c r="I23" s="3308"/>
      <c r="J23" s="3308"/>
      <c r="K23" s="3308"/>
      <c r="L23" s="3308"/>
      <c r="M23" s="3300"/>
      <c r="N23" s="3300"/>
      <c r="O23" s="3300"/>
      <c r="P23" s="3300"/>
      <c r="Q23" s="3300"/>
      <c r="R23" s="3300"/>
      <c r="S23" s="3300"/>
      <c r="T23" s="3300"/>
    </row>
    <row r="24" spans="1:20" ht="31.5" customHeight="1">
      <c r="A24" s="3302"/>
      <c r="B24" s="3302"/>
      <c r="C24" s="3302"/>
      <c r="D24" s="3303"/>
      <c r="E24" s="3303"/>
      <c r="F24" s="3303"/>
      <c r="G24" s="3303"/>
      <c r="H24" s="3303"/>
      <c r="I24" s="3303"/>
      <c r="J24" s="3303"/>
      <c r="K24" s="3303"/>
      <c r="L24" s="3303"/>
      <c r="M24" s="3300" t="s">
        <v>967</v>
      </c>
      <c r="N24" s="3300"/>
      <c r="O24" s="3300"/>
      <c r="P24" s="3300"/>
      <c r="Q24" s="3300"/>
      <c r="R24" s="3300"/>
      <c r="S24" s="3300"/>
      <c r="T24" s="3300"/>
    </row>
    <row r="25" spans="1:20" ht="30.75" customHeight="1">
      <c r="A25" s="3302"/>
      <c r="B25" s="3302"/>
      <c r="C25" s="3302"/>
      <c r="D25" s="3303"/>
      <c r="E25" s="3303"/>
      <c r="F25" s="3303"/>
      <c r="G25" s="3303"/>
      <c r="H25" s="3303"/>
      <c r="I25" s="3303"/>
      <c r="J25" s="3303"/>
      <c r="K25" s="3303"/>
      <c r="L25" s="3303"/>
      <c r="M25" s="3300"/>
      <c r="N25" s="3300"/>
      <c r="O25" s="3300"/>
      <c r="P25" s="3300"/>
      <c r="Q25" s="3300"/>
      <c r="R25" s="3300"/>
      <c r="S25" s="3300"/>
      <c r="T25" s="3300"/>
    </row>
    <row r="26" spans="1:20" ht="8.25" customHeight="1">
      <c r="A26" s="3281" t="s">
        <v>574</v>
      </c>
      <c r="B26" s="3281"/>
      <c r="C26" s="3281"/>
      <c r="D26" s="3291" t="str">
        <f>IF(J18&lt;&gt;0,"实际列支利息支出大于税法允许列支的限额,应予纳税调整增加"&amp;DOLLAR(J18,2)&amp;"元！","不存在利息支出调整事项，认可！")</f>
        <v>不存在利息支出调整事项，认可！</v>
      </c>
      <c r="E26" s="3291"/>
      <c r="F26" s="3291"/>
      <c r="G26" s="3291"/>
      <c r="H26" s="3291"/>
      <c r="I26" s="3291"/>
      <c r="J26" s="3291"/>
      <c r="K26" s="3291"/>
      <c r="L26" s="3291"/>
      <c r="M26" s="3292" t="s">
        <v>968</v>
      </c>
      <c r="N26" s="3292"/>
      <c r="O26" s="3292"/>
      <c r="P26" s="3292"/>
      <c r="Q26" s="3292"/>
      <c r="R26" s="3292"/>
      <c r="S26" s="3292"/>
      <c r="T26" s="3292"/>
    </row>
    <row r="27" spans="1:20" ht="8.25" customHeight="1">
      <c r="A27" s="3281"/>
      <c r="B27" s="3281"/>
      <c r="C27" s="3281"/>
      <c r="D27" s="3291"/>
      <c r="E27" s="3291"/>
      <c r="F27" s="3291"/>
      <c r="G27" s="3291"/>
      <c r="H27" s="3291"/>
      <c r="I27" s="3291"/>
      <c r="J27" s="3291"/>
      <c r="K27" s="3291"/>
      <c r="L27" s="3291"/>
      <c r="M27" s="3292"/>
      <c r="N27" s="3292"/>
      <c r="O27" s="3292"/>
      <c r="P27" s="3292"/>
      <c r="Q27" s="3292"/>
      <c r="R27" s="3292"/>
      <c r="S27" s="3292"/>
      <c r="T27" s="3292"/>
    </row>
    <row r="28" spans="1:20" ht="8.25" customHeight="1">
      <c r="A28" s="3281"/>
      <c r="B28" s="3281"/>
      <c r="C28" s="3281"/>
      <c r="D28" s="3291"/>
      <c r="E28" s="3291"/>
      <c r="F28" s="3291"/>
      <c r="G28" s="3291"/>
      <c r="H28" s="3291"/>
      <c r="I28" s="3291"/>
      <c r="J28" s="3291"/>
      <c r="K28" s="3291"/>
      <c r="L28" s="3291"/>
      <c r="M28" s="3292"/>
      <c r="N28" s="3292"/>
      <c r="O28" s="3292"/>
      <c r="P28" s="3292"/>
      <c r="Q28" s="3292"/>
      <c r="R28" s="3292"/>
      <c r="S28" s="3292"/>
      <c r="T28" s="3292"/>
    </row>
    <row r="29" spans="1:20">
      <c r="A29" s="731"/>
      <c r="B29" s="731"/>
      <c r="C29" s="731"/>
      <c r="D29" s="731"/>
      <c r="E29" s="731"/>
      <c r="F29" s="731"/>
      <c r="G29" s="731"/>
      <c r="H29" s="731"/>
      <c r="I29" s="731"/>
      <c r="J29" s="731"/>
      <c r="K29" s="731"/>
      <c r="L29" s="731"/>
      <c r="M29" s="3292"/>
      <c r="N29" s="3292"/>
      <c r="O29" s="3292"/>
      <c r="P29" s="3292"/>
      <c r="Q29" s="3292"/>
      <c r="R29" s="3292"/>
      <c r="S29" s="3292"/>
      <c r="T29" s="3292"/>
    </row>
    <row r="30" spans="1:20">
      <c r="A30" s="731"/>
      <c r="B30" s="731"/>
      <c r="C30" s="731"/>
      <c r="D30" s="731"/>
      <c r="E30" s="731"/>
      <c r="F30" s="731"/>
      <c r="G30" s="731"/>
      <c r="H30" s="731"/>
      <c r="I30" s="731"/>
      <c r="J30" s="731"/>
      <c r="K30" s="731"/>
      <c r="L30" s="731"/>
      <c r="M30" s="3292"/>
      <c r="N30" s="3292"/>
      <c r="O30" s="3292"/>
      <c r="P30" s="3292"/>
      <c r="Q30" s="3292"/>
      <c r="R30" s="3292"/>
      <c r="S30" s="3292"/>
      <c r="T30" s="3292"/>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22:C22"/>
    <mergeCell ref="D22:J22"/>
    <mergeCell ref="K22:L22"/>
    <mergeCell ref="M12:O12"/>
    <mergeCell ref="K13:L13"/>
    <mergeCell ref="M13:T23"/>
    <mergeCell ref="K14:L14"/>
    <mergeCell ref="K15:L15"/>
    <mergeCell ref="K16:L16"/>
    <mergeCell ref="K17:L17"/>
    <mergeCell ref="E23:L23"/>
    <mergeCell ref="G21:I21"/>
    <mergeCell ref="K21:L2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6:A7"/>
    <mergeCell ref="B6:B7"/>
    <mergeCell ref="C6:C7"/>
    <mergeCell ref="D6:D7"/>
    <mergeCell ref="K12:L12"/>
    <mergeCell ref="K6:L7"/>
    <mergeCell ref="K8:L8"/>
    <mergeCell ref="K10:L10"/>
    <mergeCell ref="K11:L11"/>
    <mergeCell ref="M10:O10"/>
    <mergeCell ref="M8:O8"/>
    <mergeCell ref="K9:L9"/>
    <mergeCell ref="E6:E7"/>
    <mergeCell ref="F6:F7"/>
    <mergeCell ref="I6:I7"/>
    <mergeCell ref="J6:J7"/>
    <mergeCell ref="G6:G7"/>
    <mergeCell ref="H6:H7"/>
    <mergeCell ref="A5:L5"/>
    <mergeCell ref="A1:L1"/>
    <mergeCell ref="A3:B3"/>
    <mergeCell ref="C3:F3"/>
    <mergeCell ref="K3:L3"/>
    <mergeCell ref="A4:B4"/>
    <mergeCell ref="C4:F4"/>
    <mergeCell ref="K4:L4"/>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5.6"/>
  <cols>
    <col min="1" max="1" width="10.59765625" style="168" customWidth="1"/>
    <col min="2" max="2" width="9.59765625" style="168" customWidth="1"/>
    <col min="3" max="3" width="11.3984375" style="168" customWidth="1"/>
    <col min="4" max="6" width="12.59765625" style="168" customWidth="1"/>
    <col min="7" max="8" width="12.19921875" style="168" customWidth="1"/>
    <col min="9" max="10" width="12.59765625" style="168" customWidth="1"/>
    <col min="11" max="16384" width="9" style="168"/>
  </cols>
  <sheetData>
    <row r="1" spans="1:17" ht="22.2">
      <c r="A1" s="2706" t="s">
        <v>372</v>
      </c>
      <c r="B1" s="2706"/>
      <c r="C1" s="2706"/>
      <c r="D1" s="2706"/>
      <c r="E1" s="2706"/>
      <c r="F1" s="2706"/>
      <c r="G1" s="2706"/>
      <c r="H1" s="2706"/>
      <c r="I1" s="2706"/>
      <c r="J1" s="2706"/>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447</v>
      </c>
      <c r="B3" s="2919">
        <f>基本情况!B2</f>
        <v>0</v>
      </c>
      <c r="C3" s="2919"/>
      <c r="D3" s="2919"/>
      <c r="E3" s="369" t="s">
        <v>450</v>
      </c>
      <c r="F3" s="370">
        <f>基本情况!B12</f>
        <v>0</v>
      </c>
      <c r="G3" s="369" t="s">
        <v>449</v>
      </c>
      <c r="H3" s="711" t="str">
        <f>TEXT(基本情况!B21,"yyyy-mm-dd")</f>
        <v>2017-03-16</v>
      </c>
      <c r="I3" s="3044" t="s">
        <v>283</v>
      </c>
      <c r="J3" s="3050" t="str">
        <f>档案索引!A43</f>
        <v>2A-23</v>
      </c>
      <c r="K3" s="171"/>
      <c r="L3" s="171"/>
      <c r="M3" s="171"/>
      <c r="N3" s="171"/>
      <c r="O3" s="171"/>
      <c r="P3" s="171"/>
      <c r="Q3" s="171"/>
    </row>
    <row r="4" spans="1:17" s="172" customFormat="1" ht="24" customHeight="1">
      <c r="A4" s="372" t="s">
        <v>451</v>
      </c>
      <c r="B4" s="2921" t="str">
        <f>基本情况!B7</f>
        <v>2016年01月01日至2016年12月31日</v>
      </c>
      <c r="C4" s="2921"/>
      <c r="D4" s="2921"/>
      <c r="E4" s="373" t="s">
        <v>452</v>
      </c>
      <c r="F4" s="374">
        <f>基本情况!B11</f>
        <v>0</v>
      </c>
      <c r="G4" s="373" t="s">
        <v>449</v>
      </c>
      <c r="H4" s="374" t="str">
        <f>TEXT(基本情况!B22,"yyyy-mm-dd")</f>
        <v>2017-05-04</v>
      </c>
      <c r="I4" s="3044"/>
      <c r="J4" s="3050"/>
      <c r="K4" s="171"/>
      <c r="L4" s="171"/>
      <c r="M4" s="171"/>
      <c r="N4" s="171"/>
      <c r="O4" s="171"/>
      <c r="P4" s="171"/>
      <c r="Q4" s="171"/>
    </row>
    <row r="5" spans="1:17" s="172" customFormat="1" ht="7.5" customHeight="1">
      <c r="A5" s="2916"/>
      <c r="B5" s="2916"/>
      <c r="C5" s="2916"/>
      <c r="D5" s="2916"/>
      <c r="E5" s="2916"/>
      <c r="F5" s="2916"/>
      <c r="G5" s="2916"/>
      <c r="H5" s="2916"/>
      <c r="I5" s="2916"/>
      <c r="J5" s="2916"/>
      <c r="K5" s="171"/>
      <c r="L5" s="171"/>
      <c r="M5" s="171"/>
      <c r="N5" s="171"/>
      <c r="O5" s="171"/>
      <c r="P5" s="171"/>
      <c r="Q5" s="171"/>
    </row>
    <row r="6" spans="1:17" s="172" customFormat="1" ht="19.5" customHeight="1">
      <c r="A6" s="3043" t="s">
        <v>1074</v>
      </c>
      <c r="B6" s="3043"/>
      <c r="C6" s="3043"/>
      <c r="D6" s="3044" t="s">
        <v>702</v>
      </c>
      <c r="E6" s="3079" t="s">
        <v>1250</v>
      </c>
      <c r="F6" s="3079"/>
      <c r="G6" s="3079"/>
      <c r="H6" s="3079"/>
      <c r="I6" s="3079"/>
      <c r="J6" s="3079"/>
      <c r="K6" s="84" t="s">
        <v>395</v>
      </c>
      <c r="L6" s="171"/>
      <c r="M6" s="171"/>
      <c r="N6" s="171"/>
      <c r="O6" s="171"/>
      <c r="P6" s="171"/>
      <c r="Q6" s="171"/>
    </row>
    <row r="7" spans="1:17" s="172" customFormat="1" ht="19.5" customHeight="1">
      <c r="A7" s="3043"/>
      <c r="B7" s="3043"/>
      <c r="C7" s="3043"/>
      <c r="D7" s="3044"/>
      <c r="E7" s="373" t="s">
        <v>969</v>
      </c>
      <c r="F7" s="765"/>
      <c r="G7" s="765"/>
      <c r="H7" s="765"/>
      <c r="I7" s="766"/>
      <c r="J7" s="767"/>
      <c r="K7" s="171"/>
      <c r="L7" s="171"/>
      <c r="M7" s="171"/>
      <c r="N7" s="171"/>
      <c r="O7" s="171"/>
      <c r="P7" s="171"/>
      <c r="Q7" s="171"/>
    </row>
    <row r="8" spans="1:17" s="172" customFormat="1" ht="18" customHeight="1">
      <c r="A8" s="3150" t="s">
        <v>970</v>
      </c>
      <c r="B8" s="2920" t="s">
        <v>971</v>
      </c>
      <c r="C8" s="2920"/>
      <c r="D8" s="715">
        <f>SUM(E8:J8)</f>
        <v>0</v>
      </c>
      <c r="E8" s="1116"/>
      <c r="F8" s="1116"/>
      <c r="G8" s="1116"/>
      <c r="H8" s="1116"/>
      <c r="I8" s="1152"/>
      <c r="J8" s="1153"/>
      <c r="K8" s="3216" t="s">
        <v>972</v>
      </c>
      <c r="L8" s="3216"/>
      <c r="M8" s="3216"/>
      <c r="N8" s="171"/>
      <c r="O8" s="171"/>
      <c r="P8" s="171"/>
      <c r="Q8" s="171"/>
    </row>
    <row r="9" spans="1:17" s="172" customFormat="1" ht="18" customHeight="1">
      <c r="A9" s="3150"/>
      <c r="B9" s="2928" t="s">
        <v>10093</v>
      </c>
      <c r="C9" s="2928"/>
      <c r="D9" s="545">
        <f>SUM(E9:J9)</f>
        <v>0</v>
      </c>
      <c r="E9" s="1117"/>
      <c r="F9" s="1117"/>
      <c r="G9" s="1117"/>
      <c r="H9" s="1117"/>
      <c r="I9" s="1154"/>
      <c r="J9" s="1155"/>
      <c r="K9" s="3216" t="s">
        <v>324</v>
      </c>
      <c r="L9" s="3216"/>
      <c r="M9" s="3216"/>
      <c r="N9" s="171"/>
      <c r="O9" s="171"/>
      <c r="P9" s="171"/>
      <c r="Q9" s="171"/>
    </row>
    <row r="10" spans="1:17" s="172" customFormat="1" ht="18" customHeight="1">
      <c r="A10" s="3150"/>
      <c r="B10" s="2928" t="s">
        <v>973</v>
      </c>
      <c r="C10" s="2928"/>
      <c r="D10" s="768" t="s">
        <v>509</v>
      </c>
      <c r="E10" s="1156"/>
      <c r="F10" s="1156"/>
      <c r="G10" s="1156"/>
      <c r="H10" s="1156"/>
      <c r="I10" s="1157"/>
      <c r="J10" s="1158"/>
      <c r="K10" s="3216" t="s">
        <v>320</v>
      </c>
      <c r="L10" s="3216"/>
      <c r="M10" s="3216"/>
      <c r="N10" s="171"/>
      <c r="O10" s="171"/>
      <c r="P10" s="171"/>
      <c r="Q10" s="171"/>
    </row>
    <row r="11" spans="1:17" s="172" customFormat="1" ht="18" customHeight="1">
      <c r="A11" s="3150"/>
      <c r="B11" s="2928" t="s">
        <v>974</v>
      </c>
      <c r="C11" s="2928"/>
      <c r="D11" s="545">
        <f>SUM(E11:J11)</f>
        <v>0</v>
      </c>
      <c r="E11" s="1117"/>
      <c r="F11" s="1117"/>
      <c r="G11" s="1117"/>
      <c r="H11" s="1117"/>
      <c r="I11" s="1154"/>
      <c r="J11" s="1155"/>
      <c r="K11" s="3112" t="s">
        <v>0</v>
      </c>
      <c r="L11" s="3112"/>
      <c r="M11" s="3112"/>
      <c r="N11" s="3112"/>
      <c r="O11" s="3112"/>
      <c r="P11" s="3112"/>
      <c r="Q11" s="3112"/>
    </row>
    <row r="12" spans="1:17" s="172" customFormat="1" ht="18" customHeight="1">
      <c r="A12" s="3150"/>
      <c r="B12" s="2928" t="s">
        <v>1</v>
      </c>
      <c r="C12" s="2928"/>
      <c r="D12" s="545">
        <f t="shared" ref="D12:D18" si="0">SUM(E12:J12)</f>
        <v>0</v>
      </c>
      <c r="E12" s="1117"/>
      <c r="F12" s="1117"/>
      <c r="G12" s="1117"/>
      <c r="H12" s="1117"/>
      <c r="I12" s="1154"/>
      <c r="J12" s="1155"/>
      <c r="K12" s="3112"/>
      <c r="L12" s="3112"/>
      <c r="M12" s="3112"/>
      <c r="N12" s="3112"/>
      <c r="O12" s="3112"/>
      <c r="P12" s="3112"/>
      <c r="Q12" s="3112"/>
    </row>
    <row r="13" spans="1:17" s="172" customFormat="1" ht="18" customHeight="1">
      <c r="A13" s="3150"/>
      <c r="B13" s="2928" t="s">
        <v>2</v>
      </c>
      <c r="C13" s="2928"/>
      <c r="D13" s="545">
        <f t="shared" si="0"/>
        <v>0</v>
      </c>
      <c r="E13" s="1117"/>
      <c r="F13" s="1117"/>
      <c r="G13" s="1117"/>
      <c r="H13" s="1117"/>
      <c r="I13" s="1154"/>
      <c r="J13" s="1155"/>
      <c r="K13" s="3112"/>
      <c r="L13" s="3112"/>
      <c r="M13" s="3112"/>
      <c r="N13" s="3112"/>
      <c r="O13" s="3112"/>
      <c r="P13" s="3112"/>
      <c r="Q13" s="3112"/>
    </row>
    <row r="14" spans="1:17" s="172" customFormat="1" ht="18" customHeight="1">
      <c r="A14" s="3150"/>
      <c r="B14" s="2928" t="s">
        <v>3</v>
      </c>
      <c r="C14" s="2928"/>
      <c r="D14" s="545">
        <f t="shared" si="0"/>
        <v>0</v>
      </c>
      <c r="E14" s="1117"/>
      <c r="F14" s="1117"/>
      <c r="G14" s="1117"/>
      <c r="H14" s="1117"/>
      <c r="I14" s="1154"/>
      <c r="J14" s="1155"/>
      <c r="K14" s="3112"/>
      <c r="L14" s="3112"/>
      <c r="M14" s="3112"/>
      <c r="N14" s="3112"/>
      <c r="O14" s="3112"/>
      <c r="P14" s="3112"/>
      <c r="Q14" s="3112"/>
    </row>
    <row r="15" spans="1:17" s="172" customFormat="1" ht="18" customHeight="1">
      <c r="A15" s="3150"/>
      <c r="B15" s="2928" t="s">
        <v>853</v>
      </c>
      <c r="C15" s="2928"/>
      <c r="D15" s="768" t="s">
        <v>509</v>
      </c>
      <c r="E15" s="1156"/>
      <c r="F15" s="1156"/>
      <c r="G15" s="1156"/>
      <c r="H15" s="1156"/>
      <c r="I15" s="1157"/>
      <c r="J15" s="1158"/>
      <c r="K15" s="171"/>
      <c r="L15" s="171"/>
      <c r="M15" s="171"/>
      <c r="N15" s="171"/>
      <c r="O15" s="171"/>
      <c r="P15" s="171"/>
      <c r="Q15" s="171"/>
    </row>
    <row r="16" spans="1:17" s="172" customFormat="1" ht="18" customHeight="1">
      <c r="A16" s="3150"/>
      <c r="B16" s="2922" t="s">
        <v>4</v>
      </c>
      <c r="C16" s="2922"/>
      <c r="D16" s="716">
        <f t="shared" si="0"/>
        <v>0</v>
      </c>
      <c r="E16" s="1138"/>
      <c r="F16" s="1138"/>
      <c r="G16" s="1138"/>
      <c r="H16" s="1138"/>
      <c r="I16" s="1159"/>
      <c r="J16" s="1160"/>
      <c r="K16" s="171"/>
      <c r="L16" s="171"/>
      <c r="M16" s="171"/>
      <c r="N16" s="171"/>
      <c r="O16" s="171"/>
      <c r="P16" s="171"/>
      <c r="Q16" s="171"/>
    </row>
    <row r="17" spans="1:17" s="172" customFormat="1" ht="18" customHeight="1">
      <c r="A17" s="3314" t="s">
        <v>5</v>
      </c>
      <c r="B17" s="2920" t="s">
        <v>971</v>
      </c>
      <c r="C17" s="2920"/>
      <c r="D17" s="715">
        <f t="shared" si="0"/>
        <v>0</v>
      </c>
      <c r="E17" s="1116"/>
      <c r="F17" s="1116"/>
      <c r="G17" s="1116"/>
      <c r="H17" s="1116"/>
      <c r="I17" s="1152"/>
      <c r="J17" s="1153"/>
      <c r="K17" s="171"/>
      <c r="L17" s="171"/>
      <c r="M17" s="171"/>
      <c r="N17" s="171"/>
      <c r="O17" s="171"/>
      <c r="P17" s="171"/>
      <c r="Q17" s="171"/>
    </row>
    <row r="18" spans="1:17" s="172" customFormat="1" ht="18" customHeight="1">
      <c r="A18" s="3314"/>
      <c r="B18" s="2922" t="s">
        <v>6</v>
      </c>
      <c r="C18" s="2922"/>
      <c r="D18" s="716">
        <f t="shared" si="0"/>
        <v>0</v>
      </c>
      <c r="E18" s="1138"/>
      <c r="F18" s="1138"/>
      <c r="G18" s="1138"/>
      <c r="H18" s="1138"/>
      <c r="I18" s="1159"/>
      <c r="J18" s="1160"/>
      <c r="K18" s="171"/>
      <c r="L18" s="171"/>
      <c r="M18" s="171"/>
      <c r="N18" s="171"/>
      <c r="O18" s="171"/>
      <c r="P18" s="171"/>
      <c r="Q18" s="171"/>
    </row>
    <row r="19" spans="1:17" s="172" customFormat="1" ht="19.5" customHeight="1">
      <c r="A19" s="3214" t="s">
        <v>7</v>
      </c>
      <c r="B19" s="3214"/>
      <c r="C19" s="3214"/>
      <c r="D19" s="3214"/>
      <c r="E19" s="3214"/>
      <c r="F19" s="3214"/>
      <c r="G19" s="3214"/>
      <c r="H19" s="3214"/>
      <c r="I19" s="3214"/>
      <c r="J19" s="3214"/>
      <c r="K19" s="171"/>
      <c r="L19" s="171"/>
      <c r="M19" s="171"/>
      <c r="N19" s="171"/>
      <c r="O19" s="171"/>
      <c r="P19" s="171"/>
      <c r="Q19" s="171"/>
    </row>
    <row r="20" spans="1:17" s="172" customFormat="1" ht="18" customHeight="1">
      <c r="A20" s="143" t="s">
        <v>853</v>
      </c>
      <c r="B20" s="2928" t="s">
        <v>855</v>
      </c>
      <c r="C20" s="2928"/>
      <c r="D20" s="2928" t="s">
        <v>1292</v>
      </c>
      <c r="E20" s="2928"/>
      <c r="F20" s="2928" t="s">
        <v>854</v>
      </c>
      <c r="G20" s="2928"/>
      <c r="H20" s="158" t="s">
        <v>856</v>
      </c>
      <c r="I20" s="3313" t="s">
        <v>702</v>
      </c>
      <c r="J20" s="3313"/>
      <c r="K20" s="171"/>
      <c r="L20" s="171"/>
      <c r="M20" s="171"/>
      <c r="N20" s="171"/>
      <c r="O20" s="171"/>
      <c r="P20" s="171"/>
      <c r="Q20" s="171"/>
    </row>
    <row r="21" spans="1:17" s="172" customFormat="1" ht="18" customHeight="1">
      <c r="A21" s="695" t="s">
        <v>557</v>
      </c>
      <c r="B21" s="3310">
        <f>营业费用!H21</f>
        <v>0</v>
      </c>
      <c r="C21" s="3310"/>
      <c r="D21" s="3310">
        <f>管理费用!H21</f>
        <v>0</v>
      </c>
      <c r="E21" s="3310"/>
      <c r="F21" s="3311"/>
      <c r="G21" s="3311"/>
      <c r="H21" s="1113"/>
      <c r="I21" s="3312">
        <f>SUM(B21:H21)</f>
        <v>0</v>
      </c>
      <c r="J21" s="3312"/>
      <c r="K21" s="171"/>
      <c r="L21" s="171"/>
      <c r="M21" s="171"/>
      <c r="N21" s="171"/>
      <c r="O21" s="171"/>
      <c r="P21" s="171"/>
      <c r="Q21" s="171"/>
    </row>
    <row r="22" spans="1:17" s="172" customFormat="1" ht="19.5" customHeight="1">
      <c r="A22" s="3043" t="s">
        <v>641</v>
      </c>
      <c r="B22" s="3043"/>
      <c r="C22" s="3043"/>
      <c r="D22" s="3315" t="str">
        <f>IF(I21&lt;&gt;D8+D17,"原始凭证检查金额与账载数不符，请检查！","原始凭证检查金额与账载数相符！")</f>
        <v>原始凭证检查金额与账载数相符！</v>
      </c>
      <c r="E22" s="3315"/>
      <c r="F22" s="3315"/>
      <c r="G22" s="3315"/>
      <c r="H22" s="3315"/>
      <c r="I22" s="3315"/>
      <c r="J22" s="3315"/>
      <c r="K22" s="171"/>
      <c r="L22" s="171"/>
      <c r="M22" s="171"/>
      <c r="N22" s="171"/>
      <c r="O22" s="171"/>
      <c r="P22" s="171"/>
      <c r="Q22" s="171"/>
    </row>
    <row r="23" spans="1:17" s="172" customFormat="1" ht="15" customHeight="1">
      <c r="A23" s="3163" t="s">
        <v>1323</v>
      </c>
      <c r="B23" s="3163"/>
      <c r="C23" s="3163"/>
      <c r="D23" s="3164" t="s">
        <v>8</v>
      </c>
      <c r="E23" s="3164"/>
      <c r="F23" s="3131" t="str">
        <f>IF(OR(D14&lt;&gt;0,D18&lt;&gt;0),"、E","")</f>
        <v/>
      </c>
      <c r="G23" s="3131"/>
      <c r="H23" s="3131"/>
      <c r="I23" s="3131"/>
      <c r="J23" s="3131"/>
      <c r="K23" s="171"/>
      <c r="L23" s="171"/>
      <c r="M23" s="171"/>
      <c r="N23" s="171"/>
      <c r="O23" s="171"/>
      <c r="P23" s="171"/>
      <c r="Q23" s="171"/>
    </row>
    <row r="24" spans="1:17" s="172" customFormat="1" ht="22.5" customHeight="1">
      <c r="A24" s="3163"/>
      <c r="B24" s="3163"/>
      <c r="C24" s="3163"/>
      <c r="D24" s="3316"/>
      <c r="E24" s="3316"/>
      <c r="F24" s="3316"/>
      <c r="G24" s="3316"/>
      <c r="H24" s="3316"/>
      <c r="I24" s="3316"/>
      <c r="J24" s="3316"/>
      <c r="K24" s="171"/>
      <c r="L24" s="171"/>
      <c r="M24" s="171"/>
      <c r="N24" s="171"/>
      <c r="O24" s="171"/>
      <c r="P24" s="171"/>
      <c r="Q24" s="171"/>
    </row>
    <row r="25" spans="1:17" s="172" customFormat="1" ht="25.5" customHeight="1">
      <c r="A25" s="3163"/>
      <c r="B25" s="3163"/>
      <c r="C25" s="3163"/>
      <c r="D25" s="3316"/>
      <c r="E25" s="3316"/>
      <c r="F25" s="3316"/>
      <c r="G25" s="3316"/>
      <c r="H25" s="3316"/>
      <c r="I25" s="3316"/>
      <c r="J25" s="3316"/>
      <c r="K25" s="171"/>
      <c r="L25" s="171"/>
      <c r="M25" s="171"/>
      <c r="N25" s="171"/>
      <c r="O25" s="171"/>
      <c r="P25" s="171"/>
      <c r="Q25" s="171"/>
    </row>
    <row r="26" spans="1:17" s="172" customFormat="1" ht="18.75" customHeight="1">
      <c r="A26" s="2926" t="s">
        <v>574</v>
      </c>
      <c r="B26" s="2926"/>
      <c r="C26" s="2926"/>
      <c r="D26" s="3243" t="str">
        <f>IF(D14&lt;&gt;0,"实际列支经营租赁租金大于税法允许列支的金额,应予纳税调整增加"&amp;DOLLAR(D14,2)&amp;"元！","不存在经营租赁租金调整事项，认可！")</f>
        <v>不存在经营租赁租金调整事项，认可！</v>
      </c>
      <c r="E26" s="3243"/>
      <c r="F26" s="3243"/>
      <c r="G26" s="3243"/>
      <c r="H26" s="3243"/>
      <c r="I26" s="3243"/>
      <c r="J26" s="3243"/>
      <c r="K26" s="171"/>
      <c r="L26" s="171"/>
      <c r="M26" s="171"/>
      <c r="N26" s="171"/>
      <c r="O26" s="171"/>
      <c r="P26" s="171"/>
      <c r="Q26" s="171"/>
    </row>
    <row r="27" spans="1:17" s="172" customFormat="1" ht="12.75" hidden="1" customHeight="1">
      <c r="A27" s="2926"/>
      <c r="B27" s="2926"/>
      <c r="C27" s="2926"/>
      <c r="D27" s="769"/>
      <c r="E27" s="770"/>
      <c r="F27" s="770"/>
      <c r="G27" s="770"/>
      <c r="H27" s="770"/>
      <c r="I27" s="770"/>
      <c r="J27" s="401"/>
      <c r="K27" s="171"/>
      <c r="L27" s="171"/>
      <c r="M27" s="171"/>
      <c r="N27" s="171"/>
      <c r="O27" s="171"/>
      <c r="P27" s="171"/>
      <c r="Q27" s="171"/>
    </row>
    <row r="28" spans="1:17" s="172" customFormat="1" ht="18.75" customHeight="1">
      <c r="A28" s="2926"/>
      <c r="B28" s="2926"/>
      <c r="C28" s="2926"/>
      <c r="D28" s="3245" t="str">
        <f>IF(D18&lt;&gt;0,"实际列支融资租赁租金大于税法允许列支的限额,应予纳税调整增加"&amp;DOLLAR(D18,2)&amp;"元！","不存在融资租赁租金调整事项，认可！")</f>
        <v>不存在融资租赁租金调整事项，认可！</v>
      </c>
      <c r="E28" s="3245"/>
      <c r="F28" s="3245"/>
      <c r="G28" s="3245"/>
      <c r="H28" s="3245"/>
      <c r="I28" s="3245"/>
      <c r="J28" s="3245"/>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K8:M8"/>
    <mergeCell ref="B9:C9"/>
    <mergeCell ref="K9:M9"/>
    <mergeCell ref="K11:Q14"/>
    <mergeCell ref="B12:C12"/>
    <mergeCell ref="B11:C11"/>
    <mergeCell ref="B10:C10"/>
    <mergeCell ref="K10:M10"/>
    <mergeCell ref="B13:C13"/>
    <mergeCell ref="B14:C14"/>
    <mergeCell ref="A6:C7"/>
    <mergeCell ref="D6:D7"/>
    <mergeCell ref="E6:J6"/>
    <mergeCell ref="A5:J5"/>
    <mergeCell ref="A1:J1"/>
    <mergeCell ref="B3:D3"/>
    <mergeCell ref="I3:I4"/>
    <mergeCell ref="J3:J4"/>
    <mergeCell ref="B4:D4"/>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5.6"/>
  <cols>
    <col min="2" max="5" width="20.8984375" customWidth="1"/>
    <col min="6" max="6" width="10.8984375" customWidth="1"/>
    <col min="7" max="7" width="10" customWidth="1"/>
    <col min="8" max="8" width="8.3984375" customWidth="1"/>
    <col min="9" max="135" width="9" style="705"/>
  </cols>
  <sheetData>
    <row r="1" spans="1:9" ht="22.2">
      <c r="A1" s="2729" t="s">
        <v>376</v>
      </c>
      <c r="B1" s="2729"/>
      <c r="C1" s="2729"/>
      <c r="D1" s="2729"/>
      <c r="E1" s="2729"/>
      <c r="F1" s="2729"/>
      <c r="G1" s="2729"/>
      <c r="H1" s="2729"/>
    </row>
    <row r="2" spans="1:9" ht="14.25" customHeight="1">
      <c r="A2" s="3317" t="str">
        <f>"委托单位："&amp;基本情况!B2</f>
        <v>委托单位：0</v>
      </c>
      <c r="B2" s="3317"/>
      <c r="C2" s="3317"/>
      <c r="D2" s="509"/>
      <c r="E2" s="136" t="s">
        <v>1282</v>
      </c>
      <c r="F2" s="2920" t="s">
        <v>1053</v>
      </c>
      <c r="G2" s="2920"/>
      <c r="H2" s="485" t="s">
        <v>283</v>
      </c>
    </row>
    <row r="3" spans="1:9" ht="18" customHeight="1">
      <c r="A3" s="3317"/>
      <c r="B3" s="3317"/>
      <c r="C3" s="3317"/>
      <c r="D3" s="158" t="s">
        <v>450</v>
      </c>
      <c r="E3" s="777">
        <f>基本情况!B12</f>
        <v>0</v>
      </c>
      <c r="F3" s="3318" t="str">
        <f>TEXT(基本情况!B21,"yyyy-mm-dd")</f>
        <v>2017-03-16</v>
      </c>
      <c r="G3" s="3318"/>
      <c r="H3" s="3103" t="str">
        <f>档案索引!A44</f>
        <v>2A-24</v>
      </c>
    </row>
    <row r="4" spans="1:9" ht="24.75" customHeight="1">
      <c r="A4" s="3319" t="str">
        <f>"会计期间："&amp;基本情况!B7</f>
        <v>会计期间：2016年01月01日至2016年12月31日</v>
      </c>
      <c r="B4" s="3319"/>
      <c r="C4" s="3319"/>
      <c r="D4" s="140" t="s">
        <v>452</v>
      </c>
      <c r="E4" s="778">
        <f>基本情况!B11</f>
        <v>0</v>
      </c>
      <c r="F4" s="3052" t="str">
        <f>TEXT(基本情况!B22,"yyyy-mm-dd")</f>
        <v>2017-05-04</v>
      </c>
      <c r="G4" s="3052"/>
      <c r="H4" s="3103"/>
    </row>
    <row r="5" spans="1:9" ht="6.75" customHeight="1">
      <c r="A5" s="2916"/>
      <c r="B5" s="2916"/>
      <c r="C5" s="2916"/>
      <c r="D5" s="2916"/>
      <c r="E5" s="2916"/>
      <c r="F5" s="2916"/>
      <c r="G5" s="2916"/>
      <c r="H5" s="2916"/>
    </row>
    <row r="6" spans="1:9" ht="26.25" customHeight="1">
      <c r="A6" s="532" t="s">
        <v>16</v>
      </c>
      <c r="B6" s="779" t="s">
        <v>17</v>
      </c>
      <c r="C6" s="582" t="s">
        <v>18</v>
      </c>
      <c r="D6" s="1268" t="s">
        <v>222</v>
      </c>
      <c r="E6" s="780" t="s">
        <v>1012</v>
      </c>
      <c r="F6" s="3045" t="s">
        <v>19</v>
      </c>
      <c r="G6" s="3045"/>
      <c r="H6" s="647" t="s">
        <v>20</v>
      </c>
      <c r="I6" s="706" t="s">
        <v>395</v>
      </c>
    </row>
    <row r="7" spans="1:9" ht="22.5" customHeight="1">
      <c r="A7" s="781">
        <f>本年度-10</f>
        <v>2006</v>
      </c>
      <c r="B7" s="1261"/>
      <c r="C7" s="1261"/>
      <c r="D7" s="1261"/>
      <c r="E7" s="1261"/>
      <c r="F7" s="3320">
        <f>C7-D7+E7</f>
        <v>0</v>
      </c>
      <c r="G7" s="3320"/>
      <c r="H7" s="782" t="s">
        <v>1077</v>
      </c>
    </row>
    <row r="8" spans="1:9" ht="22.5" customHeight="1">
      <c r="A8" s="783">
        <f>本年度-9</f>
        <v>2007</v>
      </c>
      <c r="B8" s="1262"/>
      <c r="C8" s="1262"/>
      <c r="D8" s="1262"/>
      <c r="E8" s="1262"/>
      <c r="F8" s="3321">
        <f t="shared" ref="F8:F15" si="0">C8-D8+E8</f>
        <v>0</v>
      </c>
      <c r="G8" s="3321"/>
      <c r="H8" s="784" t="s">
        <v>1077</v>
      </c>
      <c r="I8" s="708" t="s">
        <v>21</v>
      </c>
    </row>
    <row r="9" spans="1:9" ht="22.5" customHeight="1">
      <c r="A9" s="783">
        <f>本年度-8</f>
        <v>2008</v>
      </c>
      <c r="B9" s="1262"/>
      <c r="C9" s="1262"/>
      <c r="D9" s="1262"/>
      <c r="E9" s="1262"/>
      <c r="F9" s="3321">
        <f t="shared" si="0"/>
        <v>0</v>
      </c>
      <c r="G9" s="3321"/>
      <c r="H9" s="784" t="s">
        <v>1077</v>
      </c>
    </row>
    <row r="10" spans="1:9" ht="22.5" customHeight="1">
      <c r="A10" s="783">
        <f>本年度-7</f>
        <v>2009</v>
      </c>
      <c r="B10" s="1262"/>
      <c r="C10" s="1262"/>
      <c r="D10" s="1262"/>
      <c r="E10" s="1262"/>
      <c r="F10" s="3321">
        <f t="shared" si="0"/>
        <v>0</v>
      </c>
      <c r="G10" s="3321"/>
      <c r="H10" s="784" t="s">
        <v>1077</v>
      </c>
      <c r="I10" s="708" t="s">
        <v>22</v>
      </c>
    </row>
    <row r="11" spans="1:9" ht="22.5" customHeight="1">
      <c r="A11" s="783">
        <f>本年度-6</f>
        <v>2010</v>
      </c>
      <c r="B11" s="1262"/>
      <c r="C11" s="1262"/>
      <c r="D11" s="1262"/>
      <c r="E11" s="1262"/>
      <c r="F11" s="3321">
        <f t="shared" si="0"/>
        <v>0</v>
      </c>
      <c r="G11" s="3321"/>
      <c r="H11" s="784" t="s">
        <v>1077</v>
      </c>
    </row>
    <row r="12" spans="1:9" ht="22.5" customHeight="1">
      <c r="A12" s="783">
        <f>本年度-5</f>
        <v>2011</v>
      </c>
      <c r="B12" s="1262"/>
      <c r="C12" s="1262"/>
      <c r="D12" s="1262"/>
      <c r="E12" s="1262"/>
      <c r="F12" s="3321">
        <f t="shared" si="0"/>
        <v>0</v>
      </c>
      <c r="G12" s="3321"/>
      <c r="H12" s="784" t="s">
        <v>1077</v>
      </c>
    </row>
    <row r="13" spans="1:9" ht="22.5" customHeight="1">
      <c r="A13" s="783">
        <f>本年度-4</f>
        <v>2012</v>
      </c>
      <c r="B13" s="1262"/>
      <c r="C13" s="1262"/>
      <c r="D13" s="1262"/>
      <c r="E13" s="1262"/>
      <c r="F13" s="3321">
        <f t="shared" si="0"/>
        <v>0</v>
      </c>
      <c r="G13" s="3321"/>
      <c r="H13" s="784" t="s">
        <v>1077</v>
      </c>
    </row>
    <row r="14" spans="1:9" ht="22.5" customHeight="1">
      <c r="A14" s="783">
        <f>本年度-3</f>
        <v>2013</v>
      </c>
      <c r="B14" s="1262"/>
      <c r="C14" s="1262"/>
      <c r="D14" s="1262"/>
      <c r="E14" s="1262"/>
      <c r="F14" s="3321">
        <f t="shared" si="0"/>
        <v>0</v>
      </c>
      <c r="G14" s="3321"/>
      <c r="H14" s="784" t="s">
        <v>1077</v>
      </c>
    </row>
    <row r="15" spans="1:9" ht="22.5" customHeight="1">
      <c r="A15" s="783">
        <f>本年度-2</f>
        <v>2014</v>
      </c>
      <c r="B15" s="1262"/>
      <c r="C15" s="1262"/>
      <c r="D15" s="1262"/>
      <c r="E15" s="1262"/>
      <c r="F15" s="3321">
        <f t="shared" si="0"/>
        <v>0</v>
      </c>
      <c r="G15" s="3321"/>
      <c r="H15" s="784" t="s">
        <v>1077</v>
      </c>
    </row>
    <row r="16" spans="1:9" ht="22.5" customHeight="1">
      <c r="A16" s="783">
        <f>本年度-1</f>
        <v>2015</v>
      </c>
      <c r="B16" s="1262"/>
      <c r="C16" s="1262"/>
      <c r="D16" s="1262"/>
      <c r="E16" s="1262"/>
      <c r="F16" s="3321">
        <f t="shared" ref="F16:F17" si="1">C16-D16+E16</f>
        <v>0</v>
      </c>
      <c r="G16" s="3321"/>
      <c r="H16" s="784" t="s">
        <v>1077</v>
      </c>
    </row>
    <row r="17" spans="1:8" ht="22.5" customHeight="1">
      <c r="A17" s="2060">
        <f>本年度</f>
        <v>2016</v>
      </c>
      <c r="B17" s="2063">
        <f>利润!C37</f>
        <v>0</v>
      </c>
      <c r="C17" s="2063">
        <f ca="1">'A100000中华人民共和国企业所得税年度纳税申报表（A类）'!D22</f>
        <v>0</v>
      </c>
      <c r="D17" s="1262"/>
      <c r="E17" s="2061"/>
      <c r="F17" s="3321">
        <f t="shared" ca="1" si="1"/>
        <v>0</v>
      </c>
      <c r="G17" s="3321"/>
      <c r="H17" s="2062"/>
    </row>
    <row r="18" spans="1:8" ht="20.25" customHeight="1">
      <c r="A18" s="3322" t="s">
        <v>1323</v>
      </c>
      <c r="B18" s="3164" t="s">
        <v>23</v>
      </c>
      <c r="C18" s="3164"/>
      <c r="D18" s="3164"/>
      <c r="E18" s="3164"/>
      <c r="F18" s="3131"/>
      <c r="G18" s="3131"/>
      <c r="H18" s="3131"/>
    </row>
    <row r="19" spans="1:8" ht="60" customHeight="1">
      <c r="A19" s="3322"/>
      <c r="B19" s="3323"/>
      <c r="C19" s="3323"/>
      <c r="D19" s="3323"/>
      <c r="E19" s="3323"/>
      <c r="F19" s="3323"/>
      <c r="G19" s="3323"/>
      <c r="H19" s="3323"/>
    </row>
    <row r="20" spans="1:8" ht="29.25" customHeight="1">
      <c r="A20" s="528" t="s">
        <v>574</v>
      </c>
      <c r="B20" s="3324" t="s">
        <v>24</v>
      </c>
      <c r="C20" s="3324"/>
      <c r="D20" s="3324"/>
      <c r="E20" s="3324"/>
      <c r="F20" s="3324"/>
      <c r="G20" s="3324"/>
      <c r="H20" s="3324"/>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B20:H20"/>
    <mergeCell ref="F11:G11"/>
    <mergeCell ref="F12:G12"/>
    <mergeCell ref="F13:G13"/>
    <mergeCell ref="F14:G14"/>
    <mergeCell ref="F15:G15"/>
    <mergeCell ref="F16:G16"/>
    <mergeCell ref="F17:G17"/>
    <mergeCell ref="F6:G6"/>
    <mergeCell ref="F7:G7"/>
    <mergeCell ref="F8:G8"/>
    <mergeCell ref="A18:A19"/>
    <mergeCell ref="B18:E18"/>
    <mergeCell ref="F18:H18"/>
    <mergeCell ref="B19:H19"/>
    <mergeCell ref="F9:G9"/>
    <mergeCell ref="F10:G10"/>
    <mergeCell ref="A5:H5"/>
    <mergeCell ref="A1:H1"/>
    <mergeCell ref="A2:C3"/>
    <mergeCell ref="F2:G2"/>
    <mergeCell ref="F3:G3"/>
    <mergeCell ref="H3:H4"/>
    <mergeCell ref="A4:C4"/>
    <mergeCell ref="F4:G4"/>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5.6"/>
  <cols>
    <col min="1" max="1" width="7.59765625" customWidth="1"/>
    <col min="2" max="2" width="27.19921875" customWidth="1"/>
    <col min="3" max="3" width="8.69921875" customWidth="1"/>
    <col min="4" max="6" width="12.5" customWidth="1"/>
    <col min="7" max="7" width="54.59765625" customWidth="1"/>
  </cols>
  <sheetData>
    <row r="1" spans="1:11" ht="32.25" customHeight="1">
      <c r="A1" s="2729" t="s">
        <v>380</v>
      </c>
      <c r="B1" s="2729"/>
      <c r="C1" s="2729"/>
      <c r="D1" s="2729"/>
      <c r="E1" s="2729"/>
      <c r="F1" s="2729"/>
      <c r="G1" s="3173"/>
      <c r="H1" s="84"/>
      <c r="I1" s="84"/>
      <c r="J1" s="84"/>
      <c r="K1" s="84"/>
    </row>
    <row r="2" spans="1:11" ht="20.25" customHeight="1">
      <c r="A2" s="3212" t="str">
        <f>"委托单位："&amp;基本情况!B2</f>
        <v>委托单位：0</v>
      </c>
      <c r="B2" s="3212"/>
      <c r="C2" s="509"/>
      <c r="D2" s="136" t="s">
        <v>1282</v>
      </c>
      <c r="E2" s="136" t="s">
        <v>1053</v>
      </c>
      <c r="F2" s="485" t="s">
        <v>283</v>
      </c>
      <c r="G2" s="3173"/>
      <c r="H2" s="84"/>
      <c r="I2" s="84"/>
      <c r="J2" s="84"/>
      <c r="K2" s="84"/>
    </row>
    <row r="3" spans="1:11" ht="20.25" customHeight="1">
      <c r="A3" s="3212"/>
      <c r="B3" s="3212"/>
      <c r="C3" s="158" t="s">
        <v>450</v>
      </c>
      <c r="D3" s="510">
        <f>基本情况!B12</f>
        <v>0</v>
      </c>
      <c r="E3" s="559" t="str">
        <f>TEXT(基本情况!B21,"yyyy-mm-dd")</f>
        <v>2017-03-16</v>
      </c>
      <c r="F3" s="3103" t="str">
        <f>档案索引!A45</f>
        <v>2A-25</v>
      </c>
      <c r="G3" s="3173"/>
      <c r="H3" s="84"/>
      <c r="I3" s="84"/>
      <c r="J3" s="84"/>
      <c r="K3" s="84"/>
    </row>
    <row r="4" spans="1:11" ht="20.25" customHeight="1">
      <c r="A4" s="3183" t="str">
        <f>"会计期间："&amp;基本情况!B7</f>
        <v>会计期间：2016年01月01日至2016年12月31日</v>
      </c>
      <c r="B4" s="3183"/>
      <c r="C4" s="140" t="s">
        <v>452</v>
      </c>
      <c r="D4" s="513">
        <f>基本情况!B11</f>
        <v>0</v>
      </c>
      <c r="E4" s="513" t="str">
        <f>TEXT(基本情况!B22,"yyyy-mm-dd")</f>
        <v>2017-05-04</v>
      </c>
      <c r="F4" s="3103"/>
      <c r="G4" s="3173"/>
      <c r="H4" s="84"/>
      <c r="I4" s="84"/>
      <c r="J4" s="84"/>
      <c r="K4" s="84"/>
    </row>
    <row r="5" spans="1:11" ht="7.5" customHeight="1">
      <c r="A5" s="2916"/>
      <c r="B5" s="2916"/>
      <c r="C5" s="2916"/>
      <c r="D5" s="2916"/>
      <c r="E5" s="2916"/>
      <c r="F5" s="2916"/>
      <c r="G5" s="543"/>
      <c r="H5" s="84"/>
      <c r="I5" s="84"/>
      <c r="J5" s="84"/>
      <c r="K5" s="84"/>
    </row>
    <row r="6" spans="1:11" ht="27.75" customHeight="1">
      <c r="A6" s="532" t="s">
        <v>25</v>
      </c>
      <c r="B6" s="3044" t="s">
        <v>665</v>
      </c>
      <c r="C6" s="3044"/>
      <c r="D6" s="582" t="s">
        <v>26</v>
      </c>
      <c r="E6" s="582" t="s">
        <v>1300</v>
      </c>
      <c r="F6" s="772" t="s">
        <v>27</v>
      </c>
      <c r="G6" s="84" t="s">
        <v>395</v>
      </c>
      <c r="H6" s="84"/>
      <c r="I6" s="84"/>
      <c r="J6" s="84"/>
      <c r="K6" s="84"/>
    </row>
    <row r="7" spans="1:11" ht="17.25" customHeight="1">
      <c r="A7" s="3043" t="s">
        <v>28</v>
      </c>
      <c r="B7" s="3327" t="s">
        <v>6490</v>
      </c>
      <c r="C7" s="3327"/>
      <c r="D7" s="1162"/>
      <c r="E7" s="1162"/>
      <c r="F7" s="774">
        <f>E7-D7</f>
        <v>0</v>
      </c>
      <c r="G7" s="493" t="s">
        <v>1288</v>
      </c>
      <c r="H7" s="84"/>
      <c r="I7" s="84"/>
      <c r="J7" s="84"/>
      <c r="K7" s="84"/>
    </row>
    <row r="8" spans="1:11" ht="17.25" customHeight="1">
      <c r="A8" s="3043"/>
      <c r="B8" s="3058" t="s">
        <v>6628</v>
      </c>
      <c r="C8" s="3058"/>
      <c r="D8" s="1696"/>
      <c r="E8" s="1696"/>
      <c r="F8" s="1697">
        <f>E8-D8</f>
        <v>0</v>
      </c>
      <c r="G8" s="232" t="s">
        <v>29</v>
      </c>
      <c r="H8" s="84"/>
      <c r="I8" s="84"/>
      <c r="J8" s="84"/>
      <c r="K8" s="84"/>
    </row>
    <row r="9" spans="1:11" ht="17.25" customHeight="1">
      <c r="A9" s="3043"/>
      <c r="B9" s="3058" t="s">
        <v>30</v>
      </c>
      <c r="C9" s="3058"/>
      <c r="D9" s="786" t="s">
        <v>509</v>
      </c>
      <c r="E9" s="1121"/>
      <c r="F9" s="699">
        <f>E9</f>
        <v>0</v>
      </c>
      <c r="G9" s="493" t="s">
        <v>31</v>
      </c>
      <c r="H9" s="84"/>
      <c r="I9" s="84"/>
      <c r="J9" s="84"/>
      <c r="K9" s="84"/>
    </row>
    <row r="10" spans="1:11" ht="17.25" customHeight="1">
      <c r="A10" s="3043"/>
      <c r="B10" s="3058" t="s">
        <v>6489</v>
      </c>
      <c r="C10" s="3058"/>
      <c r="D10" s="1772"/>
      <c r="E10" s="1772"/>
      <c r="F10" s="1697">
        <f>E10-D10</f>
        <v>0</v>
      </c>
      <c r="G10" s="84"/>
      <c r="H10" s="84"/>
      <c r="I10" s="84"/>
      <c r="J10" s="84"/>
      <c r="K10" s="84"/>
    </row>
    <row r="11" spans="1:11" ht="17.25" customHeight="1">
      <c r="A11" s="3043"/>
      <c r="B11" s="3328" t="s">
        <v>6098</v>
      </c>
      <c r="C11" s="3329"/>
      <c r="D11" s="1163"/>
      <c r="E11" s="786" t="s">
        <v>509</v>
      </c>
      <c r="F11" s="699">
        <f>-D11</f>
        <v>0</v>
      </c>
      <c r="G11" s="84"/>
      <c r="H11" s="84"/>
      <c r="I11" s="84"/>
      <c r="J11" s="84"/>
      <c r="K11" s="84"/>
    </row>
    <row r="12" spans="1:11" ht="17.25" customHeight="1">
      <c r="A12" s="3043"/>
      <c r="B12" s="3325" t="s">
        <v>6099</v>
      </c>
      <c r="C12" s="3326"/>
      <c r="D12" s="786" t="s">
        <v>509</v>
      </c>
      <c r="E12" s="1163"/>
      <c r="F12" s="699">
        <f>E12</f>
        <v>0</v>
      </c>
      <c r="G12" s="493" t="s">
        <v>32</v>
      </c>
      <c r="H12" s="84"/>
      <c r="I12" s="84"/>
      <c r="J12" s="84"/>
      <c r="K12" s="84"/>
    </row>
    <row r="13" spans="1:11" ht="17.25" customHeight="1">
      <c r="A13" s="3271" t="s">
        <v>33</v>
      </c>
      <c r="B13" s="3327" t="s">
        <v>34</v>
      </c>
      <c r="C13" s="3327"/>
      <c r="D13" s="1161"/>
      <c r="E13" s="1161"/>
      <c r="F13" s="774">
        <f>D13-E13</f>
        <v>0</v>
      </c>
      <c r="G13" s="84"/>
      <c r="H13" s="84"/>
      <c r="I13" s="84"/>
      <c r="J13" s="84"/>
      <c r="K13" s="84"/>
    </row>
    <row r="14" spans="1:11" ht="17.25" customHeight="1">
      <c r="A14" s="3331"/>
      <c r="B14" s="3058" t="s">
        <v>35</v>
      </c>
      <c r="C14" s="3058"/>
      <c r="D14" s="1120"/>
      <c r="E14" s="1120"/>
      <c r="F14" s="699">
        <f>D14-E14</f>
        <v>0</v>
      </c>
      <c r="G14" s="493" t="s">
        <v>562</v>
      </c>
      <c r="H14" s="84"/>
      <c r="I14" s="84"/>
      <c r="J14" s="84"/>
      <c r="K14" s="84"/>
    </row>
    <row r="15" spans="1:11" ht="17.25" customHeight="1">
      <c r="A15" s="3331"/>
      <c r="B15" s="3058" t="s">
        <v>6490</v>
      </c>
      <c r="C15" s="3058"/>
      <c r="D15" s="1777"/>
      <c r="E15" s="1781"/>
      <c r="F15" s="1697">
        <f>D15-E15</f>
        <v>0</v>
      </c>
      <c r="G15" s="3112" t="s">
        <v>37</v>
      </c>
      <c r="H15" s="3112"/>
      <c r="I15" s="3112"/>
      <c r="J15" s="3112"/>
      <c r="K15" s="3112"/>
    </row>
    <row r="16" spans="1:11" ht="17.25" customHeight="1">
      <c r="A16" s="3331"/>
      <c r="B16" s="3336"/>
      <c r="C16" s="3336"/>
      <c r="D16" s="1140"/>
      <c r="E16" s="1140"/>
      <c r="F16" s="1164"/>
      <c r="G16" s="3112"/>
      <c r="H16" s="3112"/>
      <c r="I16" s="3112"/>
      <c r="J16" s="3112"/>
      <c r="K16" s="3112"/>
    </row>
    <row r="17" spans="1:11" ht="17.25" customHeight="1">
      <c r="A17" s="1785" t="s">
        <v>6496</v>
      </c>
      <c r="B17" s="3332" t="s">
        <v>6490</v>
      </c>
      <c r="C17" s="3333"/>
      <c r="D17" s="2071"/>
      <c r="E17" s="2071"/>
      <c r="F17" s="1786"/>
      <c r="G17" s="3112"/>
      <c r="H17" s="3112"/>
      <c r="I17" s="3112"/>
      <c r="J17" s="3112"/>
      <c r="K17" s="3112"/>
    </row>
    <row r="18" spans="1:11" ht="17.25" customHeight="1">
      <c r="A18" s="1787" t="s">
        <v>6497</v>
      </c>
      <c r="B18" s="3334"/>
      <c r="C18" s="3335"/>
      <c r="D18" s="2071"/>
      <c r="E18" s="2071"/>
      <c r="F18" s="1786"/>
      <c r="G18" s="3112"/>
      <c r="H18" s="3112"/>
      <c r="I18" s="3112"/>
      <c r="J18" s="3112"/>
      <c r="K18" s="3112"/>
    </row>
    <row r="19" spans="1:11" ht="17.25" customHeight="1">
      <c r="A19" s="1783" t="s">
        <v>6498</v>
      </c>
      <c r="B19" s="3330"/>
      <c r="C19" s="3330"/>
      <c r="D19" s="2071"/>
      <c r="E19" s="2071"/>
      <c r="F19" s="1784"/>
      <c r="G19" s="3112"/>
      <c r="H19" s="3112"/>
      <c r="I19" s="3112"/>
      <c r="J19" s="3112"/>
      <c r="K19" s="3112"/>
    </row>
    <row r="20" spans="1:11" ht="17.25" customHeight="1">
      <c r="A20" s="3043" t="s">
        <v>38</v>
      </c>
      <c r="B20" s="3327" t="s">
        <v>6491</v>
      </c>
      <c r="C20" s="3327"/>
      <c r="D20" s="1775">
        <f>A104000期间费用明细表!C11+A104000期间费用明细表!E11</f>
        <v>0</v>
      </c>
      <c r="E20" s="1776"/>
      <c r="F20" s="774">
        <f>D20-E20</f>
        <v>0</v>
      </c>
      <c r="G20" s="232" t="s">
        <v>39</v>
      </c>
      <c r="H20" s="787"/>
      <c r="I20" s="84"/>
      <c r="J20" s="84"/>
      <c r="K20" s="84"/>
    </row>
    <row r="21" spans="1:11" ht="17.25" customHeight="1">
      <c r="A21" s="3043"/>
      <c r="B21" s="3337" t="s">
        <v>6492</v>
      </c>
      <c r="C21" s="3337"/>
      <c r="D21" s="1777"/>
      <c r="E21" s="786" t="s">
        <v>509</v>
      </c>
      <c r="F21" s="699">
        <f t="shared" ref="F21:F34" si="0">D21</f>
        <v>0</v>
      </c>
      <c r="G21" s="787"/>
      <c r="H21" s="787"/>
      <c r="I21" s="84"/>
      <c r="J21" s="84"/>
      <c r="K21" s="84"/>
    </row>
    <row r="22" spans="1:11" ht="17.25" customHeight="1">
      <c r="A22" s="3043"/>
      <c r="B22" s="3338" t="str">
        <f>凭证检查!S14</f>
        <v>未取得合法有效票据的支出</v>
      </c>
      <c r="C22" s="3338"/>
      <c r="D22" s="518">
        <f>SUMIF(凭证检查!M6:M205,凭证检查!R14,凭证检查!G6:G205)</f>
        <v>0</v>
      </c>
      <c r="E22" s="786" t="s">
        <v>509</v>
      </c>
      <c r="F22" s="699">
        <f t="shared" si="0"/>
        <v>0</v>
      </c>
      <c r="G22" s="232" t="s">
        <v>40</v>
      </c>
      <c r="H22" s="787"/>
      <c r="I22" s="84"/>
      <c r="J22" s="84"/>
      <c r="K22" s="84"/>
    </row>
    <row r="23" spans="1:11" ht="17.25" customHeight="1">
      <c r="A23" s="3043"/>
      <c r="B23" s="3338" t="str">
        <f>凭证检查!S17</f>
        <v>非本公司费用</v>
      </c>
      <c r="C23" s="3338"/>
      <c r="D23" s="518">
        <f>SUMIF(凭证检查!M6:M205,凭证检查!R17,凭证检查!G6:G205)</f>
        <v>0</v>
      </c>
      <c r="E23" s="788" t="s">
        <v>509</v>
      </c>
      <c r="F23" s="699">
        <f t="shared" si="0"/>
        <v>0</v>
      </c>
      <c r="G23" s="787"/>
      <c r="H23" s="787"/>
      <c r="I23" s="84"/>
      <c r="J23" s="84"/>
      <c r="K23" s="84"/>
    </row>
    <row r="24" spans="1:11" ht="17.25" customHeight="1">
      <c r="A24" s="3043"/>
      <c r="B24" s="3058" t="s">
        <v>566</v>
      </c>
      <c r="C24" s="3058"/>
      <c r="D24" s="518">
        <f>SUMIF(凭证检查!M6:M205,凭证检查!R16,凭证检查!G6:G205)</f>
        <v>0</v>
      </c>
      <c r="E24" s="786" t="s">
        <v>509</v>
      </c>
      <c r="F24" s="699">
        <f t="shared" si="0"/>
        <v>0</v>
      </c>
      <c r="G24" s="789" t="s">
        <v>41</v>
      </c>
      <c r="H24" s="787"/>
      <c r="I24" s="84"/>
      <c r="J24" s="84"/>
      <c r="K24" s="84"/>
    </row>
    <row r="25" spans="1:11" ht="17.25" customHeight="1">
      <c r="A25" s="3043"/>
      <c r="B25" s="3339" t="str">
        <f>IF(凭证检查!S25="","商业人身保险",凭证检查!S25)</f>
        <v>跨期费用</v>
      </c>
      <c r="C25" s="3339"/>
      <c r="D25" s="1120">
        <f>SUMIF(凭证检查!M6:M205,凭证检查!R25,凭证检查!G6:G205)</f>
        <v>0</v>
      </c>
      <c r="E25" s="786" t="s">
        <v>509</v>
      </c>
      <c r="F25" s="699">
        <f t="shared" si="0"/>
        <v>0</v>
      </c>
      <c r="G25" s="787"/>
      <c r="H25" s="787"/>
      <c r="I25" s="84"/>
      <c r="J25" s="84"/>
      <c r="K25" s="84"/>
    </row>
    <row r="26" spans="1:11" ht="17.25" customHeight="1">
      <c r="A26" s="3043"/>
      <c r="B26" s="3338" t="str">
        <f>凭证检查!S22</f>
        <v>大额购物未附清单</v>
      </c>
      <c r="C26" s="3338"/>
      <c r="D26" s="518">
        <f>SUMIF(凭证检查!M6:M205,凭证检查!R22,凭证检查!G6:G205)</f>
        <v>0</v>
      </c>
      <c r="E26" s="786" t="s">
        <v>509</v>
      </c>
      <c r="F26" s="699">
        <f t="shared" si="0"/>
        <v>0</v>
      </c>
      <c r="G26" s="787"/>
      <c r="H26" s="787"/>
      <c r="I26" s="84"/>
      <c r="J26" s="84"/>
      <c r="K26" s="84"/>
    </row>
    <row r="27" spans="1:11" ht="17.25" customHeight="1">
      <c r="A27" s="3043"/>
      <c r="B27" s="3339" t="s">
        <v>42</v>
      </c>
      <c r="C27" s="3339"/>
      <c r="D27" s="786" t="s">
        <v>509</v>
      </c>
      <c r="E27" s="1110"/>
      <c r="F27" s="791">
        <f>-E27</f>
        <v>0</v>
      </c>
      <c r="G27" s="789"/>
      <c r="H27" s="787"/>
      <c r="I27" s="84"/>
      <c r="J27" s="84"/>
      <c r="K27" s="84"/>
    </row>
    <row r="28" spans="1:11" ht="17.25" customHeight="1">
      <c r="A28" s="3043"/>
      <c r="B28" s="3339" t="str">
        <f>IF(凭证检查!S26="","按权责发生制原则应在以后年度确认的支出",凭证检查!S26)</f>
        <v>按权责发生制原则应在以后年度确认的支出</v>
      </c>
      <c r="C28" s="3339"/>
      <c r="D28" s="1120">
        <f>SUMIF(凭证检查!M6:M205,凭证检查!R26,凭证检查!G6:G205)</f>
        <v>0</v>
      </c>
      <c r="E28" s="786" t="s">
        <v>509</v>
      </c>
      <c r="F28" s="699">
        <f t="shared" si="0"/>
        <v>0</v>
      </c>
      <c r="G28" s="787"/>
      <c r="H28" s="787"/>
      <c r="I28" s="84"/>
      <c r="J28" s="84"/>
      <c r="K28" s="84"/>
    </row>
    <row r="29" spans="1:11" ht="17.25" customHeight="1">
      <c r="A29" s="3043"/>
      <c r="B29" s="3058" t="s">
        <v>571</v>
      </c>
      <c r="C29" s="3058"/>
      <c r="D29" s="518">
        <f>SUMIF(凭证检查!M6:M205,凭证检查!R21,凭证检查!G6:G205)</f>
        <v>0</v>
      </c>
      <c r="E29" s="786" t="s">
        <v>509</v>
      </c>
      <c r="F29" s="699">
        <f t="shared" si="0"/>
        <v>0</v>
      </c>
      <c r="G29" s="789" t="s">
        <v>41</v>
      </c>
      <c r="H29" s="787"/>
      <c r="I29" s="84"/>
      <c r="J29" s="84"/>
      <c r="K29" s="84"/>
    </row>
    <row r="30" spans="1:11" ht="17.25" customHeight="1">
      <c r="A30" s="3043"/>
      <c r="B30" s="3058" t="s">
        <v>6495</v>
      </c>
      <c r="C30" s="3058"/>
      <c r="D30" s="1780">
        <f>SUMIF(凭证检查!M6:M205,凭证检查!R23,凭证检查!G6:G205)</f>
        <v>0</v>
      </c>
      <c r="E30" s="786" t="s">
        <v>509</v>
      </c>
      <c r="F30" s="699">
        <f t="shared" si="0"/>
        <v>0</v>
      </c>
      <c r="G30" s="789" t="s">
        <v>41</v>
      </c>
      <c r="H30" s="787"/>
      <c r="I30" s="84"/>
      <c r="J30" s="84"/>
      <c r="K30" s="84"/>
    </row>
    <row r="31" spans="1:11" ht="17.25" customHeight="1">
      <c r="A31" s="3043"/>
      <c r="B31" s="3340" t="s">
        <v>6603</v>
      </c>
      <c r="C31" s="3340"/>
      <c r="D31" s="2056">
        <f>SUMIF(凭证检查!M6:M205,凭证检查!R18,凭证检查!G6:G205)</f>
        <v>0</v>
      </c>
      <c r="E31" s="1782">
        <f>IF((D31+招待!E15)*0.6&lt;=招待!J21,ROUND(D31*0.6,2),D31-(D31+招待!E15-招待!J21-招待!J23))</f>
        <v>0</v>
      </c>
      <c r="F31" s="1697">
        <f>D31-E31</f>
        <v>0</v>
      </c>
      <c r="G31" s="787"/>
      <c r="H31" s="84"/>
      <c r="I31" s="84"/>
      <c r="J31" s="84"/>
      <c r="K31" s="84"/>
    </row>
    <row r="32" spans="1:11" ht="17.25" customHeight="1">
      <c r="A32" s="3043"/>
      <c r="B32" s="3058" t="str">
        <f>IF(凭证检查!S27="","灾害事故损失获得赔偿部分",凭证检查!S27)</f>
        <v>灾害事故损失获得赔偿部分</v>
      </c>
      <c r="C32" s="3058"/>
      <c r="D32" s="1120">
        <f>SUMIF(凭证检查!M6:M205,凭证检查!R27,凭证检查!G6:G205)</f>
        <v>0</v>
      </c>
      <c r="E32" s="786" t="s">
        <v>509</v>
      </c>
      <c r="F32" s="699">
        <f t="shared" si="0"/>
        <v>0</v>
      </c>
      <c r="G32" s="2057" t="s">
        <v>6604</v>
      </c>
      <c r="H32" s="84"/>
      <c r="I32" s="84"/>
      <c r="J32" s="84"/>
      <c r="K32" s="84"/>
    </row>
    <row r="33" spans="1:11" ht="17.25" customHeight="1">
      <c r="A33" s="3043"/>
      <c r="B33" s="3341" t="s">
        <v>43</v>
      </c>
      <c r="C33" s="3341"/>
      <c r="D33" s="786" t="s">
        <v>509</v>
      </c>
      <c r="E33" s="516">
        <f>-(广宣!J32+招待!J25)</f>
        <v>0</v>
      </c>
      <c r="F33" s="791">
        <f>-E33</f>
        <v>0</v>
      </c>
      <c r="G33" s="787" t="s">
        <v>44</v>
      </c>
      <c r="H33" s="84"/>
      <c r="I33" s="84"/>
      <c r="J33" s="84"/>
      <c r="K33" s="84"/>
    </row>
    <row r="34" spans="1:11" ht="17.25" customHeight="1">
      <c r="A34" s="3043"/>
      <c r="B34" s="3058" t="str">
        <f>IF(凭证检查!S28="","为其他企业贷款担保的支出项目",凭证检查!S28)</f>
        <v>为其他企业贷款担保的支出项目</v>
      </c>
      <c r="C34" s="3058"/>
      <c r="D34" s="1120">
        <f>SUMIF(凭证检查!M6:M205,凭证检查!R28,凭证检查!G6:G205)</f>
        <v>0</v>
      </c>
      <c r="E34" s="786" t="s">
        <v>509</v>
      </c>
      <c r="F34" s="699">
        <f t="shared" si="0"/>
        <v>0</v>
      </c>
      <c r="G34" s="787" t="s">
        <v>45</v>
      </c>
      <c r="H34" s="84"/>
      <c r="I34" s="84"/>
      <c r="J34" s="84"/>
      <c r="K34" s="84"/>
    </row>
    <row r="35" spans="1:11" ht="17.25" customHeight="1">
      <c r="A35" s="3043"/>
      <c r="B35" s="3058" t="s">
        <v>46</v>
      </c>
      <c r="C35" s="3058"/>
      <c r="D35" s="1110"/>
      <c r="E35" s="525">
        <f>D35+D35</f>
        <v>0</v>
      </c>
      <c r="F35" s="791">
        <f>-D35</f>
        <v>0</v>
      </c>
      <c r="G35" s="232" t="s">
        <v>559</v>
      </c>
      <c r="H35" s="84"/>
      <c r="I35" s="84"/>
      <c r="J35" s="84"/>
      <c r="K35" s="84"/>
    </row>
    <row r="36" spans="1:11" ht="17.25" customHeight="1">
      <c r="A36" s="3043"/>
      <c r="B36" s="3341" t="s">
        <v>47</v>
      </c>
      <c r="C36" s="3341"/>
      <c r="D36" s="786" t="s">
        <v>509</v>
      </c>
      <c r="E36" s="1120"/>
      <c r="F36" s="791">
        <f>-E36</f>
        <v>0</v>
      </c>
      <c r="G36" s="84"/>
      <c r="H36" s="84"/>
      <c r="I36" s="84"/>
      <c r="J36" s="84"/>
      <c r="K36" s="84"/>
    </row>
    <row r="37" spans="1:11" ht="17.25" customHeight="1">
      <c r="A37" s="3043"/>
      <c r="B37" s="3342" t="str">
        <f>凭证检查!S20</f>
        <v>不属于应付福利费开支范围的支出</v>
      </c>
      <c r="C37" s="3342"/>
      <c r="D37" s="701">
        <f>SUMIF(凭证检查!M6:M205,凭证检查!R20,凭证检查!G6:G205)</f>
        <v>0</v>
      </c>
      <c r="E37" s="786" t="s">
        <v>509</v>
      </c>
      <c r="F37" s="699">
        <f>D37</f>
        <v>0</v>
      </c>
      <c r="G37" s="792">
        <f>COUNTIF(F7:F41,"&lt;&gt;""")-COUNTBLANK(F7:F41)</f>
        <v>31</v>
      </c>
      <c r="H37" s="84"/>
      <c r="I37" s="84"/>
      <c r="J37" s="84"/>
      <c r="K37" s="84"/>
    </row>
    <row r="38" spans="1:11" ht="17.25" customHeight="1">
      <c r="A38" s="3043"/>
      <c r="B38" s="3343" t="str">
        <f>凭证检查!S19</f>
        <v>产权不属于公司的汽车费用</v>
      </c>
      <c r="C38" s="3343"/>
      <c r="D38" s="701">
        <f>SUMIF(凭证检查!M6:M205,凭证检查!R19,凭证检查!G6:G205)</f>
        <v>0</v>
      </c>
      <c r="E38" s="786" t="s">
        <v>509</v>
      </c>
      <c r="F38" s="699">
        <f>D38</f>
        <v>0</v>
      </c>
      <c r="G38" s="1235" t="s">
        <v>328</v>
      </c>
      <c r="H38" s="84"/>
      <c r="I38" s="84"/>
      <c r="J38" s="84"/>
      <c r="K38" s="84"/>
    </row>
    <row r="39" spans="1:11" ht="17.25" customHeight="1">
      <c r="A39" s="3043"/>
      <c r="B39" s="3058" t="s">
        <v>6106</v>
      </c>
      <c r="C39" s="3058"/>
      <c r="D39" s="1698"/>
      <c r="E39" s="1699"/>
      <c r="F39" s="702">
        <f>D39-E39</f>
        <v>0</v>
      </c>
      <c r="G39" s="1676"/>
      <c r="H39" s="84"/>
      <c r="I39" s="84"/>
      <c r="J39" s="84"/>
      <c r="K39" s="84"/>
    </row>
    <row r="40" spans="1:11" ht="17.25" customHeight="1">
      <c r="A40" s="3043"/>
      <c r="B40" s="3345" t="s">
        <v>6107</v>
      </c>
      <c r="C40" s="3346"/>
      <c r="D40" s="1773">
        <f>SUMIF(凭证检查!M6:M205,凭证检查!R15,凭证检查!G6:G205)</f>
        <v>0</v>
      </c>
      <c r="E40" s="1699"/>
      <c r="F40" s="699">
        <f>D40-E40</f>
        <v>0</v>
      </c>
      <c r="G40" s="1676"/>
      <c r="H40" s="84"/>
      <c r="I40" s="84"/>
      <c r="J40" s="84"/>
      <c r="K40" s="84"/>
    </row>
    <row r="41" spans="1:11" ht="17.25" customHeight="1">
      <c r="A41" s="3043"/>
      <c r="B41" s="3344"/>
      <c r="C41" s="3344"/>
      <c r="D41" s="2229"/>
      <c r="E41" s="2228"/>
      <c r="F41" s="1774">
        <f>D41-E41</f>
        <v>0</v>
      </c>
      <c r="G41" s="793" t="s">
        <v>48</v>
      </c>
      <c r="H41" s="84"/>
      <c r="I41" s="84"/>
      <c r="J41" s="84"/>
      <c r="K41" s="84"/>
    </row>
    <row r="42" spans="1:11" ht="21.75" customHeight="1">
      <c r="A42" s="794"/>
      <c r="B42" s="2916" t="s">
        <v>702</v>
      </c>
      <c r="C42" s="2916"/>
      <c r="D42" s="795">
        <f>SUM(D20:D41)</f>
        <v>0</v>
      </c>
      <c r="E42" s="795">
        <f>SUM(E20:E41)</f>
        <v>0</v>
      </c>
      <c r="F42" s="795">
        <f>SUM(F20:F41)</f>
        <v>0</v>
      </c>
      <c r="G42" s="84"/>
      <c r="H42" s="84"/>
      <c r="I42" s="84"/>
      <c r="J42" s="84"/>
      <c r="K42" s="84"/>
    </row>
    <row r="43" spans="1:11" ht="15" customHeight="1">
      <c r="A43" s="3322" t="s">
        <v>1323</v>
      </c>
      <c r="B43" s="3164" t="s">
        <v>49</v>
      </c>
      <c r="C43" s="3164"/>
      <c r="D43" s="3131" t="str">
        <f>IF(COUNTIF(F7:F41,"&lt;&gt;0")&gt;COUNTBLANK(F7:F41),"、E","")</f>
        <v/>
      </c>
      <c r="E43" s="3131"/>
      <c r="F43" s="3131"/>
      <c r="G43" s="84"/>
      <c r="H43" s="84"/>
      <c r="I43" s="84"/>
      <c r="J43" s="84"/>
      <c r="K43" s="84"/>
    </row>
    <row r="44" spans="1:11" ht="42.75" customHeight="1">
      <c r="A44" s="3322"/>
      <c r="B44" s="3323"/>
      <c r="C44" s="3323"/>
      <c r="D44" s="3323"/>
      <c r="E44" s="3323"/>
      <c r="F44" s="3323"/>
      <c r="G44" s="84"/>
      <c r="H44" s="84"/>
      <c r="I44" s="84"/>
      <c r="J44" s="84"/>
      <c r="K44" s="84"/>
    </row>
    <row r="45" spans="1:11" ht="21.75" customHeight="1">
      <c r="A45" s="528" t="s">
        <v>574</v>
      </c>
      <c r="B45" s="3157" t="str">
        <f>IF(COUNTIF(F7:F41,"&lt;&gt;0")&gt;COUNTBLANK(F7:F41),"调整后认可！","不存在调整事项,认可！")</f>
        <v>不存在调整事项,认可！</v>
      </c>
      <c r="C45" s="3157"/>
      <c r="D45" s="3157"/>
      <c r="E45" s="3157"/>
      <c r="F45" s="3157"/>
      <c r="G45" s="84"/>
      <c r="H45" s="84"/>
      <c r="I45" s="84"/>
      <c r="J45" s="84"/>
      <c r="K45" s="84"/>
    </row>
  </sheetData>
  <sheetProtection selectLockedCells="1" selectUnlockedCells="1"/>
  <mergeCells count="52">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13:C13"/>
    <mergeCell ref="B14:C14"/>
    <mergeCell ref="B15:C15"/>
    <mergeCell ref="B19:C19"/>
    <mergeCell ref="A13:A16"/>
    <mergeCell ref="B17:C17"/>
    <mergeCell ref="B18:C18"/>
    <mergeCell ref="B10:C10"/>
    <mergeCell ref="B12:C12"/>
    <mergeCell ref="G1:G4"/>
    <mergeCell ref="A2:B3"/>
    <mergeCell ref="F3:F4"/>
    <mergeCell ref="A4:B4"/>
    <mergeCell ref="A5:F5"/>
    <mergeCell ref="B6:C6"/>
    <mergeCell ref="A7:A12"/>
    <mergeCell ref="A1:F1"/>
    <mergeCell ref="B7:C7"/>
    <mergeCell ref="B8:C8"/>
    <mergeCell ref="B9:C9"/>
    <mergeCell ref="B11:C11"/>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5.6"/>
  <cols>
    <col min="1" max="1" width="10.8984375" customWidth="1"/>
    <col min="2" max="2" width="19" customWidth="1"/>
    <col min="3" max="3" width="10.5" customWidth="1"/>
    <col min="4" max="4" width="6.69921875" customWidth="1"/>
    <col min="5" max="5" width="10.5" customWidth="1"/>
    <col min="6" max="6" width="6" customWidth="1"/>
    <col min="7" max="7" width="12.09765625" customWidth="1"/>
    <col min="8" max="8" width="9.19921875" customWidth="1"/>
    <col min="9" max="9" width="6.69921875" customWidth="1"/>
    <col min="10" max="11" width="10.5" customWidth="1"/>
  </cols>
  <sheetData>
    <row r="1" spans="1:135" ht="22.2">
      <c r="A1" s="3347" t="s">
        <v>1425</v>
      </c>
      <c r="B1" s="3347"/>
      <c r="C1" s="3347"/>
      <c r="D1" s="3347"/>
      <c r="E1" s="3347"/>
      <c r="F1" s="3347"/>
      <c r="G1" s="3347"/>
      <c r="H1" s="3347"/>
      <c r="I1" s="3347"/>
      <c r="J1" s="3347"/>
      <c r="K1" s="3347"/>
      <c r="L1" s="3347"/>
    </row>
    <row r="2" spans="1:135">
      <c r="A2" s="1292" t="s">
        <v>1434</v>
      </c>
      <c r="B2" s="3356">
        <f>基本情况!B2</f>
        <v>0</v>
      </c>
      <c r="C2" s="3356"/>
      <c r="D2" s="1294" t="s">
        <v>1448</v>
      </c>
      <c r="E2" s="1293">
        <f>基本情况!B12</f>
        <v>0</v>
      </c>
      <c r="F2" s="1294" t="s">
        <v>1450</v>
      </c>
      <c r="G2" s="1295" t="str">
        <f>基本情况!B21</f>
        <v>2017年3月16日</v>
      </c>
      <c r="H2" s="1284" t="s">
        <v>1435</v>
      </c>
      <c r="I2" s="3348" t="str">
        <f>基本情况!B48</f>
        <v>0</v>
      </c>
      <c r="J2" s="3349"/>
      <c r="K2" s="3349"/>
      <c r="L2" s="3350"/>
    </row>
    <row r="3" spans="1:135">
      <c r="A3" s="1296" t="s">
        <v>1436</v>
      </c>
      <c r="B3" s="3357" t="str">
        <f>IF(OR(基本情况!B6&lt;&gt;"12月31日",基本情况!F5&lt;&gt;"01",基本情况!G5&lt;&gt;"01"),基本情况!B7,基本情况!B4&amp;"年度")</f>
        <v>2016年度</v>
      </c>
      <c r="C3" s="3357"/>
      <c r="D3" s="1297" t="s">
        <v>1449</v>
      </c>
      <c r="E3" s="1289">
        <f>基本情况!B11</f>
        <v>0</v>
      </c>
      <c r="F3" s="1297" t="s">
        <v>1450</v>
      </c>
      <c r="G3" s="1298" t="str">
        <f>基本情况!B22</f>
        <v>2017年5月4日</v>
      </c>
      <c r="H3" s="1299"/>
      <c r="I3" s="1299"/>
      <c r="J3" s="1290" t="s">
        <v>1447</v>
      </c>
      <c r="K3" s="3351" t="str">
        <f>档案索引!A33</f>
        <v>2A-13</v>
      </c>
      <c r="L3" s="3352"/>
    </row>
    <row r="4" spans="1:135" ht="6.75" customHeight="1">
      <c r="A4" s="3353"/>
      <c r="B4" s="3354"/>
      <c r="C4" s="3354"/>
      <c r="D4" s="3354"/>
      <c r="E4" s="3354"/>
      <c r="F4" s="3354"/>
      <c r="G4" s="3354"/>
      <c r="H4" s="3354"/>
      <c r="I4" s="3354"/>
      <c r="J4" s="3354"/>
      <c r="K4" s="3354"/>
      <c r="L4" s="3355"/>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58" t="s">
        <v>1426</v>
      </c>
      <c r="B5" s="3358"/>
      <c r="C5" s="3359" t="s">
        <v>1427</v>
      </c>
      <c r="D5" s="3359"/>
      <c r="E5" s="3359"/>
      <c r="F5" s="3359" t="s">
        <v>1428</v>
      </c>
      <c r="G5" s="3359"/>
      <c r="H5" s="3359"/>
      <c r="I5" s="3359" t="s">
        <v>1306</v>
      </c>
      <c r="J5" s="3359"/>
      <c r="K5" s="3359"/>
      <c r="L5" s="1301" t="s">
        <v>1452</v>
      </c>
      <c r="M5" s="706" t="s">
        <v>395</v>
      </c>
    </row>
    <row r="6" spans="1:135" ht="39.75" customHeight="1">
      <c r="A6" s="3374" t="s">
        <v>1285</v>
      </c>
      <c r="B6" s="3375"/>
      <c r="C6" s="3368">
        <f>工资福利!F19</f>
        <v>0</v>
      </c>
      <c r="D6" s="3360"/>
      <c r="E6" s="3360"/>
      <c r="F6" s="3360">
        <f>工资福利!F21</f>
        <v>0</v>
      </c>
      <c r="G6" s="3360"/>
      <c r="H6" s="3360"/>
      <c r="I6" s="3361">
        <f>工资福利!F23</f>
        <v>0</v>
      </c>
      <c r="J6" s="3361"/>
      <c r="K6" s="3361"/>
      <c r="L6" s="2134"/>
    </row>
    <row r="7" spans="1:135" ht="39.75" customHeight="1">
      <c r="A7" s="3362" t="s">
        <v>1429</v>
      </c>
      <c r="B7" s="3363"/>
      <c r="C7" s="3369"/>
      <c r="D7" s="3370"/>
      <c r="E7" s="3370"/>
      <c r="F7" s="3370"/>
      <c r="G7" s="3370"/>
      <c r="H7" s="3370"/>
      <c r="I7" s="3378"/>
      <c r="J7" s="3378"/>
      <c r="K7" s="3378"/>
      <c r="L7" s="2135"/>
    </row>
    <row r="8" spans="1:135" ht="39.75" customHeight="1">
      <c r="A8" s="3362" t="s">
        <v>1437</v>
      </c>
      <c r="B8" s="3363"/>
      <c r="C8" s="3371">
        <f>A105060广告费和业务宣传费跨年度纳税调整明细表!C10</f>
        <v>0</v>
      </c>
      <c r="D8" s="3372"/>
      <c r="E8" s="3372"/>
      <c r="F8" s="3372">
        <f>A105060广告费和业务宣传费跨年度纳税调整明细表!C12</f>
        <v>0</v>
      </c>
      <c r="G8" s="3372"/>
      <c r="H8" s="3372"/>
      <c r="I8" s="3379">
        <f>A105060广告费和业务宣传费跨年度纳税调整明细表!C16</f>
        <v>0</v>
      </c>
      <c r="J8" s="3379"/>
      <c r="K8" s="3379"/>
      <c r="L8" s="2135"/>
    </row>
    <row r="9" spans="1:135" ht="39.75" customHeight="1">
      <c r="A9" s="3364"/>
      <c r="B9" s="3365"/>
      <c r="C9" s="3376"/>
      <c r="D9" s="3377"/>
      <c r="E9" s="3377"/>
      <c r="F9" s="3377"/>
      <c r="G9" s="3377"/>
      <c r="H9" s="3377"/>
      <c r="I9" s="3380"/>
      <c r="J9" s="3380"/>
      <c r="K9" s="3380"/>
      <c r="L9" s="2137"/>
    </row>
    <row r="10" spans="1:135" ht="39.75" customHeight="1">
      <c r="A10" s="3366" t="s">
        <v>1451</v>
      </c>
      <c r="B10" s="3367"/>
      <c r="C10" s="3373">
        <f>SUM(C6:C9)</f>
        <v>0</v>
      </c>
      <c r="D10" s="3373"/>
      <c r="E10" s="3373"/>
      <c r="F10" s="3373">
        <f>SUM(F6:F9)</f>
        <v>0</v>
      </c>
      <c r="G10" s="3373"/>
      <c r="H10" s="3373"/>
      <c r="I10" s="3373">
        <f>SUM(I6:I9)</f>
        <v>0</v>
      </c>
      <c r="J10" s="3373"/>
      <c r="K10" s="3373"/>
      <c r="L10" s="1300"/>
    </row>
    <row r="11" spans="1:135">
      <c r="A11" s="1277"/>
    </row>
  </sheetData>
  <mergeCells count="30">
    <mergeCell ref="F7:H7"/>
    <mergeCell ref="I7:K7"/>
    <mergeCell ref="F10:H10"/>
    <mergeCell ref="I10:K10"/>
    <mergeCell ref="F8:H8"/>
    <mergeCell ref="I8:K8"/>
    <mergeCell ref="F9:H9"/>
    <mergeCell ref="I9:K9"/>
    <mergeCell ref="A8:B8"/>
    <mergeCell ref="A9:B9"/>
    <mergeCell ref="A10:B10"/>
    <mergeCell ref="C6:E6"/>
    <mergeCell ref="C7:E7"/>
    <mergeCell ref="C8:E8"/>
    <mergeCell ref="C10:E10"/>
    <mergeCell ref="A6:B6"/>
    <mergeCell ref="A7:B7"/>
    <mergeCell ref="C9:E9"/>
    <mergeCell ref="A5:B5"/>
    <mergeCell ref="C5:E5"/>
    <mergeCell ref="F5:H5"/>
    <mergeCell ref="I5:K5"/>
    <mergeCell ref="F6:H6"/>
    <mergeCell ref="I6:K6"/>
    <mergeCell ref="A1:L1"/>
    <mergeCell ref="I2:L2"/>
    <mergeCell ref="K3:L3"/>
    <mergeCell ref="A4:L4"/>
    <mergeCell ref="B2:C2"/>
    <mergeCell ref="B3:C3"/>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5.6"/>
  <cols>
    <col min="1" max="1" width="10.69921875" customWidth="1"/>
    <col min="2" max="2" width="19.19921875" customWidth="1"/>
    <col min="4" max="4" width="13.8984375" customWidth="1"/>
    <col min="6" max="6" width="15" customWidth="1"/>
  </cols>
  <sheetData>
    <row r="1" spans="1:135" ht="22.2">
      <c r="A1" s="3347" t="s">
        <v>1430</v>
      </c>
      <c r="B1" s="3347"/>
      <c r="C1" s="3347"/>
      <c r="D1" s="3347"/>
      <c r="E1" s="3347"/>
      <c r="F1" s="3347"/>
      <c r="G1" s="3347"/>
    </row>
    <row r="2" spans="1:135" ht="22.2">
      <c r="A2" s="2091"/>
      <c r="B2" s="2092"/>
      <c r="C2" s="2093"/>
      <c r="D2" s="2094"/>
      <c r="E2" s="1284" t="s">
        <v>1447</v>
      </c>
      <c r="F2" s="3383" t="str">
        <f>档案索引!A34</f>
        <v>2A-14</v>
      </c>
      <c r="G2" s="3384"/>
    </row>
    <row r="3" spans="1:135" ht="24">
      <c r="A3" s="1285" t="s">
        <v>1434</v>
      </c>
      <c r="B3" s="3388">
        <f>基本情况!B2</f>
        <v>0</v>
      </c>
      <c r="C3" s="3388"/>
      <c r="D3" s="1286" t="s">
        <v>1448</v>
      </c>
      <c r="E3" s="1287">
        <f>基本情况!B12</f>
        <v>0</v>
      </c>
      <c r="F3" s="3385" t="str">
        <f>基本情况!B21</f>
        <v>2017年3月16日</v>
      </c>
      <c r="G3" s="3386"/>
      <c r="H3" s="1327"/>
    </row>
    <row r="4" spans="1:135">
      <c r="A4" s="1288" t="s">
        <v>1435</v>
      </c>
      <c r="B4" s="3389" t="str">
        <f>基本情况!B48</f>
        <v>0</v>
      </c>
      <c r="C4" s="3357"/>
      <c r="D4" s="1290" t="s">
        <v>1449</v>
      </c>
      <c r="E4" s="1291">
        <f>基本情况!B11</f>
        <v>0</v>
      </c>
      <c r="F4" s="3351" t="str">
        <f>基本情况!B22</f>
        <v>2017年5月4日</v>
      </c>
      <c r="G4" s="3387"/>
      <c r="H4" s="973"/>
    </row>
    <row r="5" spans="1:135" ht="6.75" customHeight="1">
      <c r="A5" s="3353"/>
      <c r="B5" s="3354"/>
      <c r="C5" s="3354"/>
      <c r="D5" s="3354"/>
      <c r="E5" s="3354"/>
      <c r="F5" s="3354"/>
      <c r="G5" s="3355"/>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 customHeight="1">
      <c r="A6" s="3359" t="s">
        <v>665</v>
      </c>
      <c r="B6" s="3359"/>
      <c r="C6" s="3359" t="s">
        <v>1431</v>
      </c>
      <c r="D6" s="3359" t="s">
        <v>1432</v>
      </c>
      <c r="E6" s="3359" t="s">
        <v>1433</v>
      </c>
      <c r="F6" s="3359"/>
      <c r="G6" s="3381" t="s">
        <v>1452</v>
      </c>
      <c r="H6" s="973"/>
    </row>
    <row r="7" spans="1:135" ht="23.4" customHeight="1">
      <c r="A7" s="3359"/>
      <c r="B7" s="3359"/>
      <c r="C7" s="3359"/>
      <c r="D7" s="3359"/>
      <c r="E7" s="1276" t="s">
        <v>16</v>
      </c>
      <c r="F7" s="1276" t="s">
        <v>557</v>
      </c>
      <c r="G7" s="3382"/>
      <c r="H7" s="706" t="s">
        <v>395</v>
      </c>
    </row>
    <row r="8" spans="1:135" ht="31.5" customHeight="1">
      <c r="A8" s="3394" t="s">
        <v>1439</v>
      </c>
      <c r="B8" s="3395"/>
      <c r="C8" s="2138"/>
      <c r="D8" s="2139"/>
      <c r="E8" s="2140"/>
      <c r="F8" s="2139"/>
      <c r="G8" s="2134"/>
    </row>
    <row r="9" spans="1:135" ht="31.5" customHeight="1">
      <c r="A9" s="3396" t="s">
        <v>1440</v>
      </c>
      <c r="B9" s="3397"/>
      <c r="C9" s="2141"/>
      <c r="D9" s="2142"/>
      <c r="E9" s="2143"/>
      <c r="F9" s="2142"/>
      <c r="G9" s="2135"/>
    </row>
    <row r="10" spans="1:135" ht="31.5" customHeight="1">
      <c r="A10" s="3396" t="s">
        <v>1441</v>
      </c>
      <c r="B10" s="3397"/>
      <c r="C10" s="2141"/>
      <c r="D10" s="2142"/>
      <c r="E10" s="2143"/>
      <c r="F10" s="2142"/>
      <c r="G10" s="2135"/>
    </row>
    <row r="11" spans="1:135" ht="31.5" customHeight="1">
      <c r="A11" s="3396" t="s">
        <v>1442</v>
      </c>
      <c r="B11" s="3397"/>
      <c r="C11" s="2141"/>
      <c r="D11" s="2142"/>
      <c r="E11" s="2143"/>
      <c r="F11" s="2142"/>
      <c r="G11" s="2135"/>
    </row>
    <row r="12" spans="1:135" ht="31.5" customHeight="1">
      <c r="A12" s="3392"/>
      <c r="B12" s="3393"/>
      <c r="C12" s="2144"/>
      <c r="D12" s="2145"/>
      <c r="E12" s="2146"/>
      <c r="F12" s="2145"/>
      <c r="G12" s="2135"/>
    </row>
    <row r="13" spans="1:135" ht="31.5" customHeight="1">
      <c r="A13" s="3392"/>
      <c r="B13" s="3393"/>
      <c r="C13" s="2141"/>
      <c r="D13" s="2142"/>
      <c r="E13" s="2143"/>
      <c r="F13" s="2142"/>
      <c r="G13" s="2135"/>
    </row>
    <row r="14" spans="1:135" ht="31.5" customHeight="1">
      <c r="A14" s="3392"/>
      <c r="B14" s="3393"/>
      <c r="C14" s="2141"/>
      <c r="D14" s="2142"/>
      <c r="E14" s="2143"/>
      <c r="F14" s="2142"/>
      <c r="G14" s="2135"/>
    </row>
    <row r="15" spans="1:135" ht="31.5" customHeight="1">
      <c r="A15" s="3392"/>
      <c r="B15" s="3393"/>
      <c r="C15" s="2144"/>
      <c r="D15" s="2145"/>
      <c r="E15" s="2146"/>
      <c r="F15" s="2145"/>
      <c r="G15" s="2135"/>
    </row>
    <row r="16" spans="1:135" ht="31.5" customHeight="1">
      <c r="A16" s="3390"/>
      <c r="B16" s="3391"/>
      <c r="C16" s="2147"/>
      <c r="D16" s="2148"/>
      <c r="E16" s="2149"/>
      <c r="F16" s="2148"/>
      <c r="G16" s="2136"/>
    </row>
    <row r="17" spans="1:7" ht="31.5" customHeight="1">
      <c r="A17" s="3359" t="s">
        <v>1438</v>
      </c>
      <c r="B17" s="3359"/>
      <c r="C17" s="1278"/>
      <c r="D17" s="1279">
        <f>SUM(D8:D16)</f>
        <v>0</v>
      </c>
      <c r="E17" s="1278"/>
      <c r="F17" s="1279">
        <f>SUM(F8:F16)</f>
        <v>0</v>
      </c>
      <c r="G17" s="1300"/>
    </row>
    <row r="18" spans="1:7">
      <c r="A18" s="2177"/>
      <c r="B18" s="2177"/>
      <c r="C18" s="2178"/>
      <c r="D18" s="2178"/>
      <c r="E18" s="2178"/>
      <c r="F18" s="2178"/>
      <c r="G18" s="2178"/>
    </row>
    <row r="19" spans="1:7">
      <c r="A19" s="1280"/>
      <c r="B19" s="1280"/>
    </row>
  </sheetData>
  <mergeCells count="22">
    <mergeCell ref="A16:B16"/>
    <mergeCell ref="C6:C7"/>
    <mergeCell ref="D6:D7"/>
    <mergeCell ref="A17:B17"/>
    <mergeCell ref="A13:B13"/>
    <mergeCell ref="A14:B14"/>
    <mergeCell ref="A15:B15"/>
    <mergeCell ref="A8:B8"/>
    <mergeCell ref="A9:B9"/>
    <mergeCell ref="A10:B10"/>
    <mergeCell ref="A11:B11"/>
    <mergeCell ref="A12:B12"/>
    <mergeCell ref="A5:G5"/>
    <mergeCell ref="G6:G7"/>
    <mergeCell ref="E6:F6"/>
    <mergeCell ref="A1:G1"/>
    <mergeCell ref="F2:G2"/>
    <mergeCell ref="F3:G3"/>
    <mergeCell ref="F4:G4"/>
    <mergeCell ref="B3:C3"/>
    <mergeCell ref="B4:C4"/>
    <mergeCell ref="A6:B7"/>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5.6"/>
  <cols>
    <col min="1" max="1" width="9.19921875" style="1555" customWidth="1"/>
    <col min="2" max="2" width="38" style="1651" customWidth="1"/>
    <col min="3" max="4" width="12.3984375" style="1555" customWidth="1"/>
    <col min="5" max="5" width="12.3984375" style="1651" customWidth="1"/>
    <col min="6" max="256" width="9" style="1651"/>
    <col min="257" max="257" width="5.19921875" style="1651" customWidth="1"/>
    <col min="258" max="258" width="54.19921875" style="1651" customWidth="1"/>
    <col min="259" max="260" width="10.5" style="1651" customWidth="1"/>
    <col min="261" max="261" width="26.8984375" style="1651" customWidth="1"/>
    <col min="262" max="512" width="9" style="1651"/>
    <col min="513" max="513" width="5.19921875" style="1651" customWidth="1"/>
    <col min="514" max="514" width="54.19921875" style="1651" customWidth="1"/>
    <col min="515" max="516" width="10.5" style="1651" customWidth="1"/>
    <col min="517" max="517" width="26.8984375" style="1651" customWidth="1"/>
    <col min="518" max="768" width="9" style="1651"/>
    <col min="769" max="769" width="5.19921875" style="1651" customWidth="1"/>
    <col min="770" max="770" width="54.19921875" style="1651" customWidth="1"/>
    <col min="771" max="772" width="10.5" style="1651" customWidth="1"/>
    <col min="773" max="773" width="26.8984375" style="1651" customWidth="1"/>
    <col min="774" max="1024" width="9" style="1651"/>
    <col min="1025" max="1025" width="5.19921875" style="1651" customWidth="1"/>
    <col min="1026" max="1026" width="54.19921875" style="1651" customWidth="1"/>
    <col min="1027" max="1028" width="10.5" style="1651" customWidth="1"/>
    <col min="1029" max="1029" width="26.8984375" style="1651" customWidth="1"/>
    <col min="1030" max="1280" width="9" style="1651"/>
    <col min="1281" max="1281" width="5.19921875" style="1651" customWidth="1"/>
    <col min="1282" max="1282" width="54.19921875" style="1651" customWidth="1"/>
    <col min="1283" max="1284" width="10.5" style="1651" customWidth="1"/>
    <col min="1285" max="1285" width="26.8984375" style="1651" customWidth="1"/>
    <col min="1286" max="1536" width="9" style="1651"/>
    <col min="1537" max="1537" width="5.19921875" style="1651" customWidth="1"/>
    <col min="1538" max="1538" width="54.19921875" style="1651" customWidth="1"/>
    <col min="1539" max="1540" width="10.5" style="1651" customWidth="1"/>
    <col min="1541" max="1541" width="26.8984375" style="1651" customWidth="1"/>
    <col min="1542" max="1792" width="9" style="1651"/>
    <col min="1793" max="1793" width="5.19921875" style="1651" customWidth="1"/>
    <col min="1794" max="1794" width="54.19921875" style="1651" customWidth="1"/>
    <col min="1795" max="1796" width="10.5" style="1651" customWidth="1"/>
    <col min="1797" max="1797" width="26.8984375" style="1651" customWidth="1"/>
    <col min="1798" max="2048" width="9" style="1651"/>
    <col min="2049" max="2049" width="5.19921875" style="1651" customWidth="1"/>
    <col min="2050" max="2050" width="54.19921875" style="1651" customWidth="1"/>
    <col min="2051" max="2052" width="10.5" style="1651" customWidth="1"/>
    <col min="2053" max="2053" width="26.8984375" style="1651" customWidth="1"/>
    <col min="2054" max="2304" width="9" style="1651"/>
    <col min="2305" max="2305" width="5.19921875" style="1651" customWidth="1"/>
    <col min="2306" max="2306" width="54.19921875" style="1651" customWidth="1"/>
    <col min="2307" max="2308" width="10.5" style="1651" customWidth="1"/>
    <col min="2309" max="2309" width="26.8984375" style="1651" customWidth="1"/>
    <col min="2310" max="2560" width="9" style="1651"/>
    <col min="2561" max="2561" width="5.19921875" style="1651" customWidth="1"/>
    <col min="2562" max="2562" width="54.19921875" style="1651" customWidth="1"/>
    <col min="2563" max="2564" width="10.5" style="1651" customWidth="1"/>
    <col min="2565" max="2565" width="26.8984375" style="1651" customWidth="1"/>
    <col min="2566" max="2816" width="9" style="1651"/>
    <col min="2817" max="2817" width="5.19921875" style="1651" customWidth="1"/>
    <col min="2818" max="2818" width="54.19921875" style="1651" customWidth="1"/>
    <col min="2819" max="2820" width="10.5" style="1651" customWidth="1"/>
    <col min="2821" max="2821" width="26.8984375" style="1651" customWidth="1"/>
    <col min="2822" max="3072" width="9" style="1651"/>
    <col min="3073" max="3073" width="5.19921875" style="1651" customWidth="1"/>
    <col min="3074" max="3074" width="54.19921875" style="1651" customWidth="1"/>
    <col min="3075" max="3076" width="10.5" style="1651" customWidth="1"/>
    <col min="3077" max="3077" width="26.8984375" style="1651" customWidth="1"/>
    <col min="3078" max="3328" width="9" style="1651"/>
    <col min="3329" max="3329" width="5.19921875" style="1651" customWidth="1"/>
    <col min="3330" max="3330" width="54.19921875" style="1651" customWidth="1"/>
    <col min="3331" max="3332" width="10.5" style="1651" customWidth="1"/>
    <col min="3333" max="3333" width="26.8984375" style="1651" customWidth="1"/>
    <col min="3334" max="3584" width="9" style="1651"/>
    <col min="3585" max="3585" width="5.19921875" style="1651" customWidth="1"/>
    <col min="3586" max="3586" width="54.19921875" style="1651" customWidth="1"/>
    <col min="3587" max="3588" width="10.5" style="1651" customWidth="1"/>
    <col min="3589" max="3589" width="26.8984375" style="1651" customWidth="1"/>
    <col min="3590" max="3840" width="9" style="1651"/>
    <col min="3841" max="3841" width="5.19921875" style="1651" customWidth="1"/>
    <col min="3842" max="3842" width="54.19921875" style="1651" customWidth="1"/>
    <col min="3843" max="3844" width="10.5" style="1651" customWidth="1"/>
    <col min="3845" max="3845" width="26.8984375" style="1651" customWidth="1"/>
    <col min="3846" max="4096" width="9" style="1651"/>
    <col min="4097" max="4097" width="5.19921875" style="1651" customWidth="1"/>
    <col min="4098" max="4098" width="54.19921875" style="1651" customWidth="1"/>
    <col min="4099" max="4100" width="10.5" style="1651" customWidth="1"/>
    <col min="4101" max="4101" width="26.8984375" style="1651" customWidth="1"/>
    <col min="4102" max="4352" width="9" style="1651"/>
    <col min="4353" max="4353" width="5.19921875" style="1651" customWidth="1"/>
    <col min="4354" max="4354" width="54.19921875" style="1651" customWidth="1"/>
    <col min="4355" max="4356" width="10.5" style="1651" customWidth="1"/>
    <col min="4357" max="4357" width="26.8984375" style="1651" customWidth="1"/>
    <col min="4358" max="4608" width="9" style="1651"/>
    <col min="4609" max="4609" width="5.19921875" style="1651" customWidth="1"/>
    <col min="4610" max="4610" width="54.19921875" style="1651" customWidth="1"/>
    <col min="4611" max="4612" width="10.5" style="1651" customWidth="1"/>
    <col min="4613" max="4613" width="26.8984375" style="1651" customWidth="1"/>
    <col min="4614" max="4864" width="9" style="1651"/>
    <col min="4865" max="4865" width="5.19921875" style="1651" customWidth="1"/>
    <col min="4866" max="4866" width="54.19921875" style="1651" customWidth="1"/>
    <col min="4867" max="4868" width="10.5" style="1651" customWidth="1"/>
    <col min="4869" max="4869" width="26.8984375" style="1651" customWidth="1"/>
    <col min="4870" max="5120" width="9" style="1651"/>
    <col min="5121" max="5121" width="5.19921875" style="1651" customWidth="1"/>
    <col min="5122" max="5122" width="54.19921875" style="1651" customWidth="1"/>
    <col min="5123" max="5124" width="10.5" style="1651" customWidth="1"/>
    <col min="5125" max="5125" width="26.8984375" style="1651" customWidth="1"/>
    <col min="5126" max="5376" width="9" style="1651"/>
    <col min="5377" max="5377" width="5.19921875" style="1651" customWidth="1"/>
    <col min="5378" max="5378" width="54.19921875" style="1651" customWidth="1"/>
    <col min="5379" max="5380" width="10.5" style="1651" customWidth="1"/>
    <col min="5381" max="5381" width="26.8984375" style="1651" customWidth="1"/>
    <col min="5382" max="5632" width="9" style="1651"/>
    <col min="5633" max="5633" width="5.19921875" style="1651" customWidth="1"/>
    <col min="5634" max="5634" width="54.19921875" style="1651" customWidth="1"/>
    <col min="5635" max="5636" width="10.5" style="1651" customWidth="1"/>
    <col min="5637" max="5637" width="26.8984375" style="1651" customWidth="1"/>
    <col min="5638" max="5888" width="9" style="1651"/>
    <col min="5889" max="5889" width="5.19921875" style="1651" customWidth="1"/>
    <col min="5890" max="5890" width="54.19921875" style="1651" customWidth="1"/>
    <col min="5891" max="5892" width="10.5" style="1651" customWidth="1"/>
    <col min="5893" max="5893" width="26.8984375" style="1651" customWidth="1"/>
    <col min="5894" max="6144" width="9" style="1651"/>
    <col min="6145" max="6145" width="5.19921875" style="1651" customWidth="1"/>
    <col min="6146" max="6146" width="54.19921875" style="1651" customWidth="1"/>
    <col min="6147" max="6148" width="10.5" style="1651" customWidth="1"/>
    <col min="6149" max="6149" width="26.8984375" style="1651" customWidth="1"/>
    <col min="6150" max="6400" width="9" style="1651"/>
    <col min="6401" max="6401" width="5.19921875" style="1651" customWidth="1"/>
    <col min="6402" max="6402" width="54.19921875" style="1651" customWidth="1"/>
    <col min="6403" max="6404" width="10.5" style="1651" customWidth="1"/>
    <col min="6405" max="6405" width="26.8984375" style="1651" customWidth="1"/>
    <col min="6406" max="6656" width="9" style="1651"/>
    <col min="6657" max="6657" width="5.19921875" style="1651" customWidth="1"/>
    <col min="6658" max="6658" width="54.19921875" style="1651" customWidth="1"/>
    <col min="6659" max="6660" width="10.5" style="1651" customWidth="1"/>
    <col min="6661" max="6661" width="26.8984375" style="1651" customWidth="1"/>
    <col min="6662" max="6912" width="9" style="1651"/>
    <col min="6913" max="6913" width="5.19921875" style="1651" customWidth="1"/>
    <col min="6914" max="6914" width="54.19921875" style="1651" customWidth="1"/>
    <col min="6915" max="6916" width="10.5" style="1651" customWidth="1"/>
    <col min="6917" max="6917" width="26.8984375" style="1651" customWidth="1"/>
    <col min="6918" max="7168" width="9" style="1651"/>
    <col min="7169" max="7169" width="5.19921875" style="1651" customWidth="1"/>
    <col min="7170" max="7170" width="54.19921875" style="1651" customWidth="1"/>
    <col min="7171" max="7172" width="10.5" style="1651" customWidth="1"/>
    <col min="7173" max="7173" width="26.8984375" style="1651" customWidth="1"/>
    <col min="7174" max="7424" width="9" style="1651"/>
    <col min="7425" max="7425" width="5.19921875" style="1651" customWidth="1"/>
    <col min="7426" max="7426" width="54.19921875" style="1651" customWidth="1"/>
    <col min="7427" max="7428" width="10.5" style="1651" customWidth="1"/>
    <col min="7429" max="7429" width="26.8984375" style="1651" customWidth="1"/>
    <col min="7430" max="7680" width="9" style="1651"/>
    <col min="7681" max="7681" width="5.19921875" style="1651" customWidth="1"/>
    <col min="7682" max="7682" width="54.19921875" style="1651" customWidth="1"/>
    <col min="7683" max="7684" width="10.5" style="1651" customWidth="1"/>
    <col min="7685" max="7685" width="26.8984375" style="1651" customWidth="1"/>
    <col min="7686" max="7936" width="9" style="1651"/>
    <col min="7937" max="7937" width="5.19921875" style="1651" customWidth="1"/>
    <col min="7938" max="7938" width="54.19921875" style="1651" customWidth="1"/>
    <col min="7939" max="7940" width="10.5" style="1651" customWidth="1"/>
    <col min="7941" max="7941" width="26.8984375" style="1651" customWidth="1"/>
    <col min="7942" max="8192" width="9" style="1651"/>
    <col min="8193" max="8193" width="5.19921875" style="1651" customWidth="1"/>
    <col min="8194" max="8194" width="54.19921875" style="1651" customWidth="1"/>
    <col min="8195" max="8196" width="10.5" style="1651" customWidth="1"/>
    <col min="8197" max="8197" width="26.8984375" style="1651" customWidth="1"/>
    <col min="8198" max="8448" width="9" style="1651"/>
    <col min="8449" max="8449" width="5.19921875" style="1651" customWidth="1"/>
    <col min="8450" max="8450" width="54.19921875" style="1651" customWidth="1"/>
    <col min="8451" max="8452" width="10.5" style="1651" customWidth="1"/>
    <col min="8453" max="8453" width="26.8984375" style="1651" customWidth="1"/>
    <col min="8454" max="8704" width="9" style="1651"/>
    <col min="8705" max="8705" width="5.19921875" style="1651" customWidth="1"/>
    <col min="8706" max="8706" width="54.19921875" style="1651" customWidth="1"/>
    <col min="8707" max="8708" width="10.5" style="1651" customWidth="1"/>
    <col min="8709" max="8709" width="26.8984375" style="1651" customWidth="1"/>
    <col min="8710" max="8960" width="9" style="1651"/>
    <col min="8961" max="8961" width="5.19921875" style="1651" customWidth="1"/>
    <col min="8962" max="8962" width="54.19921875" style="1651" customWidth="1"/>
    <col min="8963" max="8964" width="10.5" style="1651" customWidth="1"/>
    <col min="8965" max="8965" width="26.8984375" style="1651" customWidth="1"/>
    <col min="8966" max="9216" width="9" style="1651"/>
    <col min="9217" max="9217" width="5.19921875" style="1651" customWidth="1"/>
    <col min="9218" max="9218" width="54.19921875" style="1651" customWidth="1"/>
    <col min="9219" max="9220" width="10.5" style="1651" customWidth="1"/>
    <col min="9221" max="9221" width="26.8984375" style="1651" customWidth="1"/>
    <col min="9222" max="9472" width="9" style="1651"/>
    <col min="9473" max="9473" width="5.19921875" style="1651" customWidth="1"/>
    <col min="9474" max="9474" width="54.19921875" style="1651" customWidth="1"/>
    <col min="9475" max="9476" width="10.5" style="1651" customWidth="1"/>
    <col min="9477" max="9477" width="26.8984375" style="1651" customWidth="1"/>
    <col min="9478" max="9728" width="9" style="1651"/>
    <col min="9729" max="9729" width="5.19921875" style="1651" customWidth="1"/>
    <col min="9730" max="9730" width="54.19921875" style="1651" customWidth="1"/>
    <col min="9731" max="9732" width="10.5" style="1651" customWidth="1"/>
    <col min="9733" max="9733" width="26.8984375" style="1651" customWidth="1"/>
    <col min="9734" max="9984" width="9" style="1651"/>
    <col min="9985" max="9985" width="5.19921875" style="1651" customWidth="1"/>
    <col min="9986" max="9986" width="54.19921875" style="1651" customWidth="1"/>
    <col min="9987" max="9988" width="10.5" style="1651" customWidth="1"/>
    <col min="9989" max="9989" width="26.8984375" style="1651" customWidth="1"/>
    <col min="9990" max="10240" width="9" style="1651"/>
    <col min="10241" max="10241" width="5.19921875" style="1651" customWidth="1"/>
    <col min="10242" max="10242" width="54.19921875" style="1651" customWidth="1"/>
    <col min="10243" max="10244" width="10.5" style="1651" customWidth="1"/>
    <col min="10245" max="10245" width="26.8984375" style="1651" customWidth="1"/>
    <col min="10246" max="10496" width="9" style="1651"/>
    <col min="10497" max="10497" width="5.19921875" style="1651" customWidth="1"/>
    <col min="10498" max="10498" width="54.19921875" style="1651" customWidth="1"/>
    <col min="10499" max="10500" width="10.5" style="1651" customWidth="1"/>
    <col min="10501" max="10501" width="26.8984375" style="1651" customWidth="1"/>
    <col min="10502" max="10752" width="9" style="1651"/>
    <col min="10753" max="10753" width="5.19921875" style="1651" customWidth="1"/>
    <col min="10754" max="10754" width="54.19921875" style="1651" customWidth="1"/>
    <col min="10755" max="10756" width="10.5" style="1651" customWidth="1"/>
    <col min="10757" max="10757" width="26.8984375" style="1651" customWidth="1"/>
    <col min="10758" max="11008" width="9" style="1651"/>
    <col min="11009" max="11009" width="5.19921875" style="1651" customWidth="1"/>
    <col min="11010" max="11010" width="54.19921875" style="1651" customWidth="1"/>
    <col min="11011" max="11012" width="10.5" style="1651" customWidth="1"/>
    <col min="11013" max="11013" width="26.8984375" style="1651" customWidth="1"/>
    <col min="11014" max="11264" width="9" style="1651"/>
    <col min="11265" max="11265" width="5.19921875" style="1651" customWidth="1"/>
    <col min="11266" max="11266" width="54.19921875" style="1651" customWidth="1"/>
    <col min="11267" max="11268" width="10.5" style="1651" customWidth="1"/>
    <col min="11269" max="11269" width="26.8984375" style="1651" customWidth="1"/>
    <col min="11270" max="11520" width="9" style="1651"/>
    <col min="11521" max="11521" width="5.19921875" style="1651" customWidth="1"/>
    <col min="11522" max="11522" width="54.19921875" style="1651" customWidth="1"/>
    <col min="11523" max="11524" width="10.5" style="1651" customWidth="1"/>
    <col min="11525" max="11525" width="26.8984375" style="1651" customWidth="1"/>
    <col min="11526" max="11776" width="9" style="1651"/>
    <col min="11777" max="11777" width="5.19921875" style="1651" customWidth="1"/>
    <col min="11778" max="11778" width="54.19921875" style="1651" customWidth="1"/>
    <col min="11779" max="11780" width="10.5" style="1651" customWidth="1"/>
    <col min="11781" max="11781" width="26.8984375" style="1651" customWidth="1"/>
    <col min="11782" max="12032" width="9" style="1651"/>
    <col min="12033" max="12033" width="5.19921875" style="1651" customWidth="1"/>
    <col min="12034" max="12034" width="54.19921875" style="1651" customWidth="1"/>
    <col min="12035" max="12036" width="10.5" style="1651" customWidth="1"/>
    <col min="12037" max="12037" width="26.8984375" style="1651" customWidth="1"/>
    <col min="12038" max="12288" width="9" style="1651"/>
    <col min="12289" max="12289" width="5.19921875" style="1651" customWidth="1"/>
    <col min="12290" max="12290" width="54.19921875" style="1651" customWidth="1"/>
    <col min="12291" max="12292" width="10.5" style="1651" customWidth="1"/>
    <col min="12293" max="12293" width="26.8984375" style="1651" customWidth="1"/>
    <col min="12294" max="12544" width="9" style="1651"/>
    <col min="12545" max="12545" width="5.19921875" style="1651" customWidth="1"/>
    <col min="12546" max="12546" width="54.19921875" style="1651" customWidth="1"/>
    <col min="12547" max="12548" width="10.5" style="1651" customWidth="1"/>
    <col min="12549" max="12549" width="26.8984375" style="1651" customWidth="1"/>
    <col min="12550" max="12800" width="9" style="1651"/>
    <col min="12801" max="12801" width="5.19921875" style="1651" customWidth="1"/>
    <col min="12802" max="12802" width="54.19921875" style="1651" customWidth="1"/>
    <col min="12803" max="12804" width="10.5" style="1651" customWidth="1"/>
    <col min="12805" max="12805" width="26.8984375" style="1651" customWidth="1"/>
    <col min="12806" max="13056" width="9" style="1651"/>
    <col min="13057" max="13057" width="5.19921875" style="1651" customWidth="1"/>
    <col min="13058" max="13058" width="54.19921875" style="1651" customWidth="1"/>
    <col min="13059" max="13060" width="10.5" style="1651" customWidth="1"/>
    <col min="13061" max="13061" width="26.8984375" style="1651" customWidth="1"/>
    <col min="13062" max="13312" width="9" style="1651"/>
    <col min="13313" max="13313" width="5.19921875" style="1651" customWidth="1"/>
    <col min="13314" max="13314" width="54.19921875" style="1651" customWidth="1"/>
    <col min="13315" max="13316" width="10.5" style="1651" customWidth="1"/>
    <col min="13317" max="13317" width="26.8984375" style="1651" customWidth="1"/>
    <col min="13318" max="13568" width="9" style="1651"/>
    <col min="13569" max="13569" width="5.19921875" style="1651" customWidth="1"/>
    <col min="13570" max="13570" width="54.19921875" style="1651" customWidth="1"/>
    <col min="13571" max="13572" width="10.5" style="1651" customWidth="1"/>
    <col min="13573" max="13573" width="26.8984375" style="1651" customWidth="1"/>
    <col min="13574" max="13824" width="9" style="1651"/>
    <col min="13825" max="13825" width="5.19921875" style="1651" customWidth="1"/>
    <col min="13826" max="13826" width="54.19921875" style="1651" customWidth="1"/>
    <col min="13827" max="13828" width="10.5" style="1651" customWidth="1"/>
    <col min="13829" max="13829" width="26.8984375" style="1651" customWidth="1"/>
    <col min="13830" max="14080" width="9" style="1651"/>
    <col min="14081" max="14081" width="5.19921875" style="1651" customWidth="1"/>
    <col min="14082" max="14082" width="54.19921875" style="1651" customWidth="1"/>
    <col min="14083" max="14084" width="10.5" style="1651" customWidth="1"/>
    <col min="14085" max="14085" width="26.8984375" style="1651" customWidth="1"/>
    <col min="14086" max="14336" width="9" style="1651"/>
    <col min="14337" max="14337" width="5.19921875" style="1651" customWidth="1"/>
    <col min="14338" max="14338" width="54.19921875" style="1651" customWidth="1"/>
    <col min="14339" max="14340" width="10.5" style="1651" customWidth="1"/>
    <col min="14341" max="14341" width="26.8984375" style="1651" customWidth="1"/>
    <col min="14342" max="14592" width="9" style="1651"/>
    <col min="14593" max="14593" width="5.19921875" style="1651" customWidth="1"/>
    <col min="14594" max="14594" width="54.19921875" style="1651" customWidth="1"/>
    <col min="14595" max="14596" width="10.5" style="1651" customWidth="1"/>
    <col min="14597" max="14597" width="26.8984375" style="1651" customWidth="1"/>
    <col min="14598" max="14848" width="9" style="1651"/>
    <col min="14849" max="14849" width="5.19921875" style="1651" customWidth="1"/>
    <col min="14850" max="14850" width="54.19921875" style="1651" customWidth="1"/>
    <col min="14851" max="14852" width="10.5" style="1651" customWidth="1"/>
    <col min="14853" max="14853" width="26.8984375" style="1651" customWidth="1"/>
    <col min="14854" max="15104" width="9" style="1651"/>
    <col min="15105" max="15105" width="5.19921875" style="1651" customWidth="1"/>
    <col min="15106" max="15106" width="54.19921875" style="1651" customWidth="1"/>
    <col min="15107" max="15108" width="10.5" style="1651" customWidth="1"/>
    <col min="15109" max="15109" width="26.8984375" style="1651" customWidth="1"/>
    <col min="15110" max="15360" width="9" style="1651"/>
    <col min="15361" max="15361" width="5.19921875" style="1651" customWidth="1"/>
    <col min="15362" max="15362" width="54.19921875" style="1651" customWidth="1"/>
    <col min="15363" max="15364" width="10.5" style="1651" customWidth="1"/>
    <col min="15365" max="15365" width="26.8984375" style="1651" customWidth="1"/>
    <col min="15366" max="15616" width="9" style="1651"/>
    <col min="15617" max="15617" width="5.19921875" style="1651" customWidth="1"/>
    <col min="15618" max="15618" width="54.19921875" style="1651" customWidth="1"/>
    <col min="15619" max="15620" width="10.5" style="1651" customWidth="1"/>
    <col min="15621" max="15621" width="26.8984375" style="1651" customWidth="1"/>
    <col min="15622" max="15872" width="9" style="1651"/>
    <col min="15873" max="15873" width="5.19921875" style="1651" customWidth="1"/>
    <col min="15874" max="15874" width="54.19921875" style="1651" customWidth="1"/>
    <col min="15875" max="15876" width="10.5" style="1651" customWidth="1"/>
    <col min="15877" max="15877" width="26.8984375" style="1651" customWidth="1"/>
    <col min="15878" max="16128" width="9" style="1651"/>
    <col min="16129" max="16129" width="5.19921875" style="1651" customWidth="1"/>
    <col min="16130" max="16130" width="54.19921875" style="1651" customWidth="1"/>
    <col min="16131" max="16132" width="10.5" style="1651" customWidth="1"/>
    <col min="16133" max="16133" width="26.8984375" style="1651" customWidth="1"/>
    <col min="16134" max="16384" width="9" style="1651"/>
  </cols>
  <sheetData>
    <row r="1" spans="1:135" ht="20.100000000000001" customHeight="1">
      <c r="A1" s="3398" t="s">
        <v>6692</v>
      </c>
      <c r="B1" s="3398"/>
      <c r="C1" s="3398"/>
      <c r="D1" s="3398"/>
      <c r="E1" s="2154" t="str">
        <f>"索引号："&amp;档案索引!A35</f>
        <v>索引号：2A-15</v>
      </c>
    </row>
    <row r="2" spans="1:135" s="2067" customFormat="1" ht="7.5" customHeight="1">
      <c r="A2" s="2064"/>
      <c r="B2" s="2064"/>
      <c r="C2" s="2064"/>
      <c r="D2" s="2064"/>
      <c r="E2" s="2070"/>
    </row>
    <row r="3" spans="1:135" s="2067" customFormat="1" ht="20.100000000000001" customHeight="1">
      <c r="A3" s="2150" t="s">
        <v>6693</v>
      </c>
      <c r="B3" s="2155">
        <f>基本情况!B2</f>
        <v>0</v>
      </c>
      <c r="C3" s="2151" t="s">
        <v>6695</v>
      </c>
      <c r="D3" s="2157">
        <f>基本情况!B12</f>
        <v>0</v>
      </c>
      <c r="E3" s="2158" t="str">
        <f>TEXT(基本情况!B21,"yyyy-mm-dd")</f>
        <v>2017-03-16</v>
      </c>
    </row>
    <row r="4" spans="1:135" s="2067" customFormat="1" ht="20.100000000000001" customHeight="1">
      <c r="A4" s="2152" t="s">
        <v>6694</v>
      </c>
      <c r="B4" s="2156" t="str">
        <f>基本情况!B7</f>
        <v>2016年01月01日至2016年12月31日</v>
      </c>
      <c r="C4" s="2153" t="s">
        <v>6696</v>
      </c>
      <c r="D4" s="2159">
        <f>基本情况!B11</f>
        <v>0</v>
      </c>
      <c r="E4" s="2160" t="str">
        <f>TEXT(基本情况!B22,"yyyy-mm-dd")</f>
        <v>2017-05-04</v>
      </c>
    </row>
    <row r="5" spans="1:135" customFormat="1" ht="6.75" customHeight="1">
      <c r="A5" s="3353"/>
      <c r="B5" s="3354"/>
      <c r="C5" s="3354"/>
      <c r="D5" s="3354"/>
      <c r="E5" s="3355"/>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399" t="s">
        <v>1853</v>
      </c>
      <c r="B6" s="3399" t="s">
        <v>5079</v>
      </c>
      <c r="C6" s="1808" t="s">
        <v>1851</v>
      </c>
      <c r="D6" s="1808" t="s">
        <v>5150</v>
      </c>
      <c r="E6" s="3399" t="s">
        <v>6697</v>
      </c>
    </row>
    <row r="7" spans="1:135" s="1552" customFormat="1" ht="14.25" customHeight="1">
      <c r="A7" s="3399"/>
      <c r="B7" s="3399"/>
      <c r="C7" s="1808">
        <v>1</v>
      </c>
      <c r="D7" s="1808">
        <v>2</v>
      </c>
      <c r="E7" s="3399"/>
    </row>
    <row r="8" spans="1:135" s="1552" customFormat="1" ht="14.25" customHeight="1">
      <c r="A8" s="1808">
        <v>1</v>
      </c>
      <c r="B8" s="1809" t="s">
        <v>5152</v>
      </c>
      <c r="C8" s="2075">
        <f>SUM(C9:C17)</f>
        <v>0</v>
      </c>
      <c r="D8" s="2075">
        <f>SUM(D9:D17)</f>
        <v>0</v>
      </c>
      <c r="E8" s="1809" t="s">
        <v>5153</v>
      </c>
    </row>
    <row r="9" spans="1:135" s="1552" customFormat="1" ht="14.25" customHeight="1">
      <c r="A9" s="1808">
        <v>2</v>
      </c>
      <c r="B9" s="1809" t="s">
        <v>5154</v>
      </c>
      <c r="C9" s="2076"/>
      <c r="D9" s="2075">
        <f>C9</f>
        <v>0</v>
      </c>
      <c r="E9" s="1809" t="s">
        <v>5155</v>
      </c>
    </row>
    <row r="10" spans="1:135" s="1552" customFormat="1" ht="14.25" customHeight="1">
      <c r="A10" s="1808">
        <v>3</v>
      </c>
      <c r="B10" s="1809" t="s">
        <v>5156</v>
      </c>
      <c r="C10" s="2076"/>
      <c r="D10" s="2075">
        <f t="shared" ref="D10:D17" si="0">C10</f>
        <v>0</v>
      </c>
      <c r="E10" s="1809"/>
    </row>
    <row r="11" spans="1:135" s="1552" customFormat="1" ht="14.25" customHeight="1">
      <c r="A11" s="1808">
        <v>4</v>
      </c>
      <c r="B11" s="1809" t="s">
        <v>5157</v>
      </c>
      <c r="C11" s="2076"/>
      <c r="D11" s="2075">
        <f t="shared" si="0"/>
        <v>0</v>
      </c>
      <c r="E11" s="1809"/>
    </row>
    <row r="12" spans="1:135" s="1552" customFormat="1" ht="14.25" customHeight="1">
      <c r="A12" s="1808">
        <v>5</v>
      </c>
      <c r="B12" s="1809" t="s">
        <v>5158</v>
      </c>
      <c r="C12" s="2076"/>
      <c r="D12" s="2075">
        <f t="shared" si="0"/>
        <v>0</v>
      </c>
      <c r="E12" s="1809"/>
    </row>
    <row r="13" spans="1:135" s="1552" customFormat="1" ht="14.25" customHeight="1">
      <c r="A13" s="1808">
        <v>6</v>
      </c>
      <c r="B13" s="1809" t="s">
        <v>5159</v>
      </c>
      <c r="C13" s="2076"/>
      <c r="D13" s="2075">
        <f t="shared" si="0"/>
        <v>0</v>
      </c>
      <c r="E13" s="1809"/>
    </row>
    <row r="14" spans="1:135" s="1552" customFormat="1" ht="14.25" customHeight="1">
      <c r="A14" s="1808">
        <v>7</v>
      </c>
      <c r="B14" s="1809" t="s">
        <v>5160</v>
      </c>
      <c r="C14" s="2076"/>
      <c r="D14" s="2075">
        <f t="shared" si="0"/>
        <v>0</v>
      </c>
      <c r="E14" s="1809"/>
    </row>
    <row r="15" spans="1:135" s="1552" customFormat="1" ht="14.25" customHeight="1">
      <c r="A15" s="1808">
        <v>8</v>
      </c>
      <c r="B15" s="1809" t="s">
        <v>5161</v>
      </c>
      <c r="C15" s="2076"/>
      <c r="D15" s="2075">
        <f t="shared" si="0"/>
        <v>0</v>
      </c>
      <c r="E15" s="1809"/>
    </row>
    <row r="16" spans="1:135" s="1552" customFormat="1" ht="14.25" customHeight="1">
      <c r="A16" s="1808">
        <v>9</v>
      </c>
      <c r="B16" s="1809" t="s">
        <v>5162</v>
      </c>
      <c r="C16" s="2076"/>
      <c r="D16" s="2075">
        <f t="shared" si="0"/>
        <v>0</v>
      </c>
      <c r="E16" s="1809"/>
      <c r="F16" s="1675" t="s">
        <v>6433</v>
      </c>
    </row>
    <row r="17" spans="1:5" s="1552" customFormat="1" ht="14.25" customHeight="1">
      <c r="A17" s="1808">
        <v>10</v>
      </c>
      <c r="B17" s="1809" t="s">
        <v>5163</v>
      </c>
      <c r="C17" s="2076"/>
      <c r="D17" s="2075">
        <f t="shared" si="0"/>
        <v>0</v>
      </c>
      <c r="E17" s="1809"/>
    </row>
    <row r="18" spans="1:5" s="1552" customFormat="1" ht="46.5" customHeight="1">
      <c r="A18" s="1808">
        <v>11</v>
      </c>
      <c r="B18" s="1810" t="s">
        <v>5164</v>
      </c>
      <c r="C18" s="2075">
        <f>SUM(C19:C27)</f>
        <v>0</v>
      </c>
      <c r="D18" s="2075">
        <f>SUM(D19:D27)</f>
        <v>0</v>
      </c>
      <c r="E18" s="1810" t="s">
        <v>5165</v>
      </c>
    </row>
    <row r="19" spans="1:5" s="1552" customFormat="1" ht="14.25" customHeight="1">
      <c r="A19" s="1808">
        <v>12</v>
      </c>
      <c r="B19" s="1809" t="s">
        <v>5166</v>
      </c>
      <c r="C19" s="2076"/>
      <c r="D19" s="2075">
        <f>-C19</f>
        <v>0</v>
      </c>
      <c r="E19" s="1809"/>
    </row>
    <row r="20" spans="1:5" s="1552" customFormat="1" ht="14.25" customHeight="1">
      <c r="A20" s="1808">
        <v>13</v>
      </c>
      <c r="B20" s="1809" t="s">
        <v>5167</v>
      </c>
      <c r="C20" s="2076"/>
      <c r="D20" s="2075">
        <f t="shared" ref="D20:D27" si="1">-C20</f>
        <v>0</v>
      </c>
      <c r="E20" s="1809"/>
    </row>
    <row r="21" spans="1:5" s="1552" customFormat="1" ht="14.25" customHeight="1">
      <c r="A21" s="1808">
        <v>14</v>
      </c>
      <c r="B21" s="1809" t="s">
        <v>5168</v>
      </c>
      <c r="C21" s="2076"/>
      <c r="D21" s="2075">
        <f t="shared" si="1"/>
        <v>0</v>
      </c>
      <c r="E21" s="1809"/>
    </row>
    <row r="22" spans="1:5" s="1552" customFormat="1" ht="14.25" customHeight="1">
      <c r="A22" s="1808">
        <v>15</v>
      </c>
      <c r="B22" s="1809" t="s">
        <v>5169</v>
      </c>
      <c r="C22" s="2076"/>
      <c r="D22" s="2075">
        <f t="shared" si="1"/>
        <v>0</v>
      </c>
      <c r="E22" s="1809"/>
    </row>
    <row r="23" spans="1:5" s="1552" customFormat="1" ht="14.25" customHeight="1">
      <c r="A23" s="1808">
        <v>16</v>
      </c>
      <c r="B23" s="1809" t="s">
        <v>5170</v>
      </c>
      <c r="C23" s="2076"/>
      <c r="D23" s="2075">
        <f t="shared" si="1"/>
        <v>0</v>
      </c>
      <c r="E23" s="1809"/>
    </row>
    <row r="24" spans="1:5" s="1552" customFormat="1" ht="14.25" customHeight="1">
      <c r="A24" s="1808">
        <v>17</v>
      </c>
      <c r="B24" s="1811" t="s">
        <v>5171</v>
      </c>
      <c r="C24" s="2082"/>
      <c r="D24" s="2075">
        <f t="shared" si="1"/>
        <v>0</v>
      </c>
      <c r="E24" s="1809"/>
    </row>
    <row r="25" spans="1:5" s="1552" customFormat="1" ht="14.25" customHeight="1">
      <c r="A25" s="1808">
        <v>18</v>
      </c>
      <c r="B25" s="1809" t="s">
        <v>5172</v>
      </c>
      <c r="C25" s="2076"/>
      <c r="D25" s="2075">
        <f t="shared" si="1"/>
        <v>0</v>
      </c>
      <c r="E25" s="1809"/>
    </row>
    <row r="26" spans="1:5" s="1552" customFormat="1" ht="14.25" customHeight="1">
      <c r="A26" s="1808">
        <v>19</v>
      </c>
      <c r="B26" s="1809" t="s">
        <v>5173</v>
      </c>
      <c r="C26" s="2076"/>
      <c r="D26" s="2075">
        <f t="shared" si="1"/>
        <v>0</v>
      </c>
      <c r="E26" s="1809"/>
    </row>
    <row r="27" spans="1:5" s="1552" customFormat="1" ht="14.25" customHeight="1">
      <c r="A27" s="1808">
        <v>20</v>
      </c>
      <c r="B27" s="1809" t="s">
        <v>5163</v>
      </c>
      <c r="C27" s="2076"/>
      <c r="D27" s="2075">
        <f t="shared" si="1"/>
        <v>0</v>
      </c>
      <c r="E27" s="1809"/>
    </row>
    <row r="28" spans="1:5" s="1552" customFormat="1" ht="48.75" customHeight="1">
      <c r="A28" s="1808">
        <v>21</v>
      </c>
      <c r="B28" s="1810" t="s">
        <v>5174</v>
      </c>
      <c r="C28" s="2075">
        <f>C29-C33</f>
        <v>0</v>
      </c>
      <c r="D28" s="2075">
        <f>D29-D33</f>
        <v>0</v>
      </c>
      <c r="E28" s="1810" t="s">
        <v>5175</v>
      </c>
    </row>
    <row r="29" spans="1:5" s="1552" customFormat="1" ht="26.25" customHeight="1">
      <c r="A29" s="1812">
        <v>22</v>
      </c>
      <c r="B29" s="1813" t="s">
        <v>5176</v>
      </c>
      <c r="C29" s="2078">
        <f>C31-C32</f>
        <v>0</v>
      </c>
      <c r="D29" s="2078">
        <f>D31-D32</f>
        <v>0</v>
      </c>
      <c r="E29" s="1811"/>
    </row>
    <row r="30" spans="1:5" s="1552" customFormat="1" ht="14.25" customHeight="1">
      <c r="A30" s="1808">
        <v>23</v>
      </c>
      <c r="B30" s="1810" t="s">
        <v>5177</v>
      </c>
      <c r="C30" s="2076"/>
      <c r="D30" s="2051" t="s">
        <v>509</v>
      </c>
      <c r="E30" s="1809"/>
    </row>
    <row r="31" spans="1:5" s="1554" customFormat="1" ht="14.25" customHeight="1">
      <c r="A31" s="1808">
        <v>24</v>
      </c>
      <c r="B31" s="1809" t="s">
        <v>5178</v>
      </c>
      <c r="C31" s="2076"/>
      <c r="D31" s="2075">
        <f>C31</f>
        <v>0</v>
      </c>
      <c r="E31" s="1809"/>
    </row>
    <row r="32" spans="1:5" s="1554" customFormat="1" ht="14.25" customHeight="1">
      <c r="A32" s="1808">
        <v>25</v>
      </c>
      <c r="B32" s="1809" t="s">
        <v>5179</v>
      </c>
      <c r="C32" s="2076"/>
      <c r="D32" s="2075">
        <f>C32</f>
        <v>0</v>
      </c>
      <c r="E32" s="1809"/>
    </row>
    <row r="33" spans="1:5" s="1554" customFormat="1" ht="26.25" customHeight="1">
      <c r="A33" s="1812">
        <v>26</v>
      </c>
      <c r="B33" s="1813" t="s">
        <v>5180</v>
      </c>
      <c r="C33" s="2078">
        <f>C35-C36</f>
        <v>0</v>
      </c>
      <c r="D33" s="2078">
        <f>D35-D36</f>
        <v>0</v>
      </c>
      <c r="E33" s="1811"/>
    </row>
    <row r="34" spans="1:5" s="1554" customFormat="1" ht="26.25" customHeight="1">
      <c r="A34" s="1808">
        <v>27</v>
      </c>
      <c r="B34" s="1810" t="s">
        <v>5181</v>
      </c>
      <c r="C34" s="2076"/>
      <c r="D34" s="2051" t="s">
        <v>509</v>
      </c>
      <c r="E34" s="1809"/>
    </row>
    <row r="35" spans="1:5" s="1554" customFormat="1" ht="14.25" customHeight="1">
      <c r="A35" s="1808">
        <v>28</v>
      </c>
      <c r="B35" s="1809" t="s">
        <v>5182</v>
      </c>
      <c r="C35" s="2076"/>
      <c r="D35" s="2075">
        <f>C35</f>
        <v>0</v>
      </c>
      <c r="E35" s="1809"/>
    </row>
    <row r="36" spans="1:5" s="1552" customFormat="1" ht="26.25" customHeight="1">
      <c r="A36" s="1808">
        <v>29</v>
      </c>
      <c r="B36" s="1810" t="s">
        <v>5183</v>
      </c>
      <c r="C36" s="2076"/>
      <c r="D36" s="2075">
        <f>C36</f>
        <v>0</v>
      </c>
      <c r="E36" s="1809"/>
    </row>
    <row r="37" spans="1:5">
      <c r="A37" s="2011"/>
      <c r="B37" s="2070"/>
      <c r="C37" s="2011"/>
      <c r="D37" s="2011"/>
      <c r="E37" s="2070"/>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19921875" style="1557" customWidth="1"/>
    <col min="2" max="2" width="42.59765625" style="1552" customWidth="1"/>
    <col min="3" max="8" width="12" style="1552" customWidth="1"/>
    <col min="9" max="9" width="19.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651" customFormat="1" ht="20.100000000000001" customHeight="1">
      <c r="A1" s="3400"/>
      <c r="B1" s="3400"/>
      <c r="C1" s="3400"/>
      <c r="D1" s="3400"/>
      <c r="E1" s="3400"/>
      <c r="F1" s="3400"/>
      <c r="G1" s="3400"/>
      <c r="H1" s="3400"/>
      <c r="I1" s="2070" t="str">
        <f>"索引号："&amp;档案索引!A36</f>
        <v>索引号：2A-16</v>
      </c>
    </row>
    <row r="2" spans="1:10" ht="25.5" customHeight="1">
      <c r="A2" s="3401" t="s">
        <v>5924</v>
      </c>
      <c r="B2" s="3401"/>
      <c r="C2" s="3401"/>
      <c r="D2" s="3401"/>
      <c r="E2" s="3401"/>
      <c r="F2" s="3401"/>
      <c r="G2" s="3401"/>
      <c r="H2" s="3401"/>
      <c r="I2" s="1816"/>
    </row>
    <row r="3" spans="1:10" s="1556" customFormat="1" ht="29.25" customHeight="1">
      <c r="A3" s="3402" t="s">
        <v>1853</v>
      </c>
      <c r="B3" s="3402" t="s">
        <v>5079</v>
      </c>
      <c r="C3" s="3405" t="s">
        <v>5186</v>
      </c>
      <c r="D3" s="3399" t="s">
        <v>1850</v>
      </c>
      <c r="E3" s="3399"/>
      <c r="F3" s="3399" t="s">
        <v>1851</v>
      </c>
      <c r="G3" s="3399"/>
      <c r="H3" s="3405" t="s">
        <v>5187</v>
      </c>
      <c r="I3" s="1814" t="s">
        <v>1857</v>
      </c>
    </row>
    <row r="4" spans="1:10" s="1556" customFormat="1" ht="18" customHeight="1">
      <c r="A4" s="3403"/>
      <c r="B4" s="3403"/>
      <c r="C4" s="3406"/>
      <c r="D4" s="1808" t="s">
        <v>5188</v>
      </c>
      <c r="E4" s="1808" t="s">
        <v>5189</v>
      </c>
      <c r="F4" s="1808" t="s">
        <v>5188</v>
      </c>
      <c r="G4" s="1808" t="s">
        <v>5189</v>
      </c>
      <c r="H4" s="3406"/>
      <c r="I4" s="1851"/>
    </row>
    <row r="5" spans="1:10" ht="14.25" customHeight="1">
      <c r="A5" s="3404"/>
      <c r="B5" s="3404"/>
      <c r="C5" s="1815">
        <v>1</v>
      </c>
      <c r="D5" s="1815">
        <v>2</v>
      </c>
      <c r="E5" s="1815">
        <v>3</v>
      </c>
      <c r="F5" s="1815">
        <v>4</v>
      </c>
      <c r="G5" s="1815">
        <v>5</v>
      </c>
      <c r="H5" s="1815" t="s">
        <v>5190</v>
      </c>
      <c r="I5" s="1809"/>
    </row>
    <row r="6" spans="1:10" ht="14.25" customHeight="1">
      <c r="A6" s="1808">
        <v>1</v>
      </c>
      <c r="B6" s="1809" t="s">
        <v>5191</v>
      </c>
      <c r="C6" s="2075">
        <f>SUM(C7:C9)</f>
        <v>0</v>
      </c>
      <c r="D6" s="2075">
        <f>SUM(D7:D9)</f>
        <v>0</v>
      </c>
      <c r="E6" s="2075">
        <f>SUM(E7:E9)</f>
        <v>0</v>
      </c>
      <c r="F6" s="2075">
        <f>SUM(F7:F9)</f>
        <v>0</v>
      </c>
      <c r="G6" s="2075">
        <f>SUM(G7:G9)</f>
        <v>0</v>
      </c>
      <c r="H6" s="2075">
        <f>F6-D6</f>
        <v>0</v>
      </c>
      <c r="I6" s="1809"/>
    </row>
    <row r="7" spans="1:10" ht="14.25" customHeight="1">
      <c r="A7" s="1808">
        <v>2</v>
      </c>
      <c r="B7" s="1809" t="s">
        <v>5192</v>
      </c>
      <c r="C7" s="2076"/>
      <c r="D7" s="2076"/>
      <c r="E7" s="2076"/>
      <c r="F7" s="2076"/>
      <c r="G7" s="2076"/>
      <c r="H7" s="2075">
        <f t="shared" ref="H7:H18" si="0">F7-D7</f>
        <v>0</v>
      </c>
      <c r="I7" s="1809"/>
    </row>
    <row r="8" spans="1:10" ht="14.25" customHeight="1">
      <c r="A8" s="1808">
        <v>3</v>
      </c>
      <c r="B8" s="1809" t="s">
        <v>5193</v>
      </c>
      <c r="C8" s="2076"/>
      <c r="D8" s="2076"/>
      <c r="E8" s="2076"/>
      <c r="F8" s="2076"/>
      <c r="G8" s="2076"/>
      <c r="H8" s="2075">
        <f t="shared" si="0"/>
        <v>0</v>
      </c>
      <c r="I8" s="1809"/>
    </row>
    <row r="9" spans="1:10" ht="14.25" customHeight="1">
      <c r="A9" s="1808">
        <v>4</v>
      </c>
      <c r="B9" s="1809" t="s">
        <v>5194</v>
      </c>
      <c r="C9" s="2076"/>
      <c r="D9" s="2076"/>
      <c r="E9" s="2076"/>
      <c r="F9" s="2076"/>
      <c r="G9" s="2076"/>
      <c r="H9" s="2075">
        <f t="shared" si="0"/>
        <v>0</v>
      </c>
      <c r="I9" s="1809"/>
    </row>
    <row r="10" spans="1:10" ht="14.25" customHeight="1">
      <c r="A10" s="1808">
        <v>5</v>
      </c>
      <c r="B10" s="1809" t="s">
        <v>5195</v>
      </c>
      <c r="C10" s="2075">
        <f>SUM(C11:C13)</f>
        <v>0</v>
      </c>
      <c r="D10" s="2075">
        <f>SUM(D11:D13)</f>
        <v>0</v>
      </c>
      <c r="E10" s="2075">
        <f>SUM(E11:E13)</f>
        <v>0</v>
      </c>
      <c r="F10" s="2075">
        <f>SUM(F11:F13)</f>
        <v>0</v>
      </c>
      <c r="G10" s="2075">
        <f>SUM(G11:G13)</f>
        <v>0</v>
      </c>
      <c r="H10" s="2075">
        <f t="shared" si="0"/>
        <v>0</v>
      </c>
      <c r="I10" s="1809"/>
    </row>
    <row r="11" spans="1:10" ht="14.25" customHeight="1">
      <c r="A11" s="1808">
        <v>6</v>
      </c>
      <c r="B11" s="1809" t="s">
        <v>5196</v>
      </c>
      <c r="C11" s="2076"/>
      <c r="D11" s="2076"/>
      <c r="E11" s="2076"/>
      <c r="F11" s="2076"/>
      <c r="G11" s="2076"/>
      <c r="H11" s="2075">
        <f t="shared" si="0"/>
        <v>0</v>
      </c>
      <c r="I11" s="1809"/>
      <c r="J11" s="1675" t="s">
        <v>6435</v>
      </c>
    </row>
    <row r="12" spans="1:10" ht="14.25" customHeight="1">
      <c r="A12" s="1808">
        <v>7</v>
      </c>
      <c r="B12" s="1809" t="s">
        <v>5197</v>
      </c>
      <c r="C12" s="2076"/>
      <c r="D12" s="2076"/>
      <c r="E12" s="2076"/>
      <c r="F12" s="2076"/>
      <c r="G12" s="2076"/>
      <c r="H12" s="2075">
        <f t="shared" si="0"/>
        <v>0</v>
      </c>
      <c r="I12" s="1809"/>
    </row>
    <row r="13" spans="1:10" ht="14.25" customHeight="1">
      <c r="A13" s="1808">
        <v>8</v>
      </c>
      <c r="B13" s="1809" t="s">
        <v>5198</v>
      </c>
      <c r="C13" s="2076"/>
      <c r="D13" s="2076"/>
      <c r="E13" s="2076"/>
      <c r="F13" s="2076"/>
      <c r="G13" s="2076"/>
      <c r="H13" s="2075">
        <f t="shared" si="0"/>
        <v>0</v>
      </c>
      <c r="I13" s="1809"/>
    </row>
    <row r="14" spans="1:10" ht="14.25" customHeight="1">
      <c r="A14" s="1808">
        <v>9</v>
      </c>
      <c r="B14" s="1809" t="s">
        <v>5199</v>
      </c>
      <c r="C14" s="2075">
        <f>SUM(C15:C17)</f>
        <v>0</v>
      </c>
      <c r="D14" s="2075">
        <f>SUM(D15:D17)</f>
        <v>0</v>
      </c>
      <c r="E14" s="2075">
        <f>SUM(E15:E17)</f>
        <v>0</v>
      </c>
      <c r="F14" s="2075">
        <f>SUM(F15:F17)</f>
        <v>0</v>
      </c>
      <c r="G14" s="2075">
        <f>SUM(G15:G17)</f>
        <v>0</v>
      </c>
      <c r="H14" s="2075">
        <f t="shared" si="0"/>
        <v>0</v>
      </c>
      <c r="I14" s="1809"/>
    </row>
    <row r="15" spans="1:10" ht="14.25" customHeight="1">
      <c r="A15" s="1808">
        <v>10</v>
      </c>
      <c r="B15" s="1809" t="s">
        <v>5200</v>
      </c>
      <c r="C15" s="2076"/>
      <c r="D15" s="2076"/>
      <c r="E15" s="2076"/>
      <c r="F15" s="2076"/>
      <c r="G15" s="2076"/>
      <c r="H15" s="2075">
        <f t="shared" si="0"/>
        <v>0</v>
      </c>
      <c r="I15" s="1809"/>
    </row>
    <row r="16" spans="1:10" ht="14.25" customHeight="1">
      <c r="A16" s="1808">
        <v>11</v>
      </c>
      <c r="B16" s="1809" t="s">
        <v>5201</v>
      </c>
      <c r="C16" s="2076"/>
      <c r="D16" s="2076"/>
      <c r="E16" s="2076"/>
      <c r="F16" s="2076"/>
      <c r="G16" s="2076"/>
      <c r="H16" s="2075">
        <f t="shared" si="0"/>
        <v>0</v>
      </c>
      <c r="I16" s="1809"/>
    </row>
    <row r="17" spans="1:9" ht="14.25" customHeight="1">
      <c r="A17" s="1808">
        <v>12</v>
      </c>
      <c r="B17" s="1809" t="s">
        <v>5202</v>
      </c>
      <c r="C17" s="2076"/>
      <c r="D17" s="2076"/>
      <c r="E17" s="2076"/>
      <c r="F17" s="2076"/>
      <c r="G17" s="2076"/>
      <c r="H17" s="2075">
        <f t="shared" si="0"/>
        <v>0</v>
      </c>
      <c r="I17" s="1809"/>
    </row>
    <row r="18" spans="1:9" ht="14.25" customHeight="1">
      <c r="A18" s="1808">
        <v>13</v>
      </c>
      <c r="B18" s="1809" t="s">
        <v>5203</v>
      </c>
      <c r="C18" s="2076"/>
      <c r="D18" s="2076"/>
      <c r="E18" s="2076"/>
      <c r="F18" s="2076"/>
      <c r="G18" s="2076"/>
      <c r="H18" s="2075">
        <f t="shared" si="0"/>
        <v>0</v>
      </c>
      <c r="I18" s="1809"/>
    </row>
    <row r="19" spans="1:9" ht="114" customHeight="1">
      <c r="A19" s="1808">
        <v>14</v>
      </c>
      <c r="B19" s="1809" t="s">
        <v>5204</v>
      </c>
      <c r="C19" s="2075">
        <f t="shared" ref="C19:H19" si="1">C6+C10+C14+C18</f>
        <v>0</v>
      </c>
      <c r="D19" s="2075">
        <f t="shared" si="1"/>
        <v>0</v>
      </c>
      <c r="E19" s="2075">
        <f t="shared" si="1"/>
        <v>0</v>
      </c>
      <c r="F19" s="2075">
        <f t="shared" si="1"/>
        <v>0</v>
      </c>
      <c r="G19" s="2075">
        <f t="shared" si="1"/>
        <v>0</v>
      </c>
      <c r="H19" s="2075">
        <f t="shared" si="1"/>
        <v>0</v>
      </c>
      <c r="I19" s="1810" t="s">
        <v>5205</v>
      </c>
    </row>
    <row r="20" spans="1:9">
      <c r="A20" s="2025"/>
      <c r="B20" s="1803"/>
      <c r="C20" s="1803"/>
      <c r="D20" s="1803"/>
      <c r="E20" s="1803"/>
      <c r="F20" s="1803"/>
      <c r="G20" s="1803"/>
      <c r="H20" s="1803"/>
      <c r="I20" s="1803"/>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5.6"/>
  <cols>
    <col min="1" max="1" width="4.3984375" style="1651" customWidth="1"/>
    <col min="2" max="2" width="20.59765625" style="1651" customWidth="1"/>
    <col min="3" max="13" width="11.09765625" style="1651" customWidth="1"/>
    <col min="14" max="14" width="15.09765625" style="1651" customWidth="1"/>
    <col min="15" max="256" width="9" style="1651"/>
    <col min="257" max="257" width="4.3984375" style="1651" customWidth="1"/>
    <col min="258" max="258" width="20.59765625" style="1651" customWidth="1"/>
    <col min="259" max="259" width="4.5" style="1651" customWidth="1"/>
    <col min="260" max="260" width="4.8984375" style="1651" customWidth="1"/>
    <col min="261" max="268" width="7.8984375" style="1651" customWidth="1"/>
    <col min="269" max="269" width="8.59765625" style="1651" customWidth="1"/>
    <col min="270" max="270" width="15.09765625" style="1651" customWidth="1"/>
    <col min="271" max="512" width="9" style="1651"/>
    <col min="513" max="513" width="4.3984375" style="1651" customWidth="1"/>
    <col min="514" max="514" width="20.59765625" style="1651" customWidth="1"/>
    <col min="515" max="515" width="4.5" style="1651" customWidth="1"/>
    <col min="516" max="516" width="4.8984375" style="1651" customWidth="1"/>
    <col min="517" max="524" width="7.8984375" style="1651" customWidth="1"/>
    <col min="525" max="525" width="8.59765625" style="1651" customWidth="1"/>
    <col min="526" max="526" width="15.09765625" style="1651" customWidth="1"/>
    <col min="527" max="768" width="9" style="1651"/>
    <col min="769" max="769" width="4.3984375" style="1651" customWidth="1"/>
    <col min="770" max="770" width="20.59765625" style="1651" customWidth="1"/>
    <col min="771" max="771" width="4.5" style="1651" customWidth="1"/>
    <col min="772" max="772" width="4.8984375" style="1651" customWidth="1"/>
    <col min="773" max="780" width="7.8984375" style="1651" customWidth="1"/>
    <col min="781" max="781" width="8.59765625" style="1651" customWidth="1"/>
    <col min="782" max="782" width="15.09765625" style="1651" customWidth="1"/>
    <col min="783" max="1024" width="9" style="1651"/>
    <col min="1025" max="1025" width="4.3984375" style="1651" customWidth="1"/>
    <col min="1026" max="1026" width="20.59765625" style="1651" customWidth="1"/>
    <col min="1027" max="1027" width="4.5" style="1651" customWidth="1"/>
    <col min="1028" max="1028" width="4.8984375" style="1651" customWidth="1"/>
    <col min="1029" max="1036" width="7.8984375" style="1651" customWidth="1"/>
    <col min="1037" max="1037" width="8.59765625" style="1651" customWidth="1"/>
    <col min="1038" max="1038" width="15.09765625" style="1651" customWidth="1"/>
    <col min="1039" max="1280" width="9" style="1651"/>
    <col min="1281" max="1281" width="4.3984375" style="1651" customWidth="1"/>
    <col min="1282" max="1282" width="20.59765625" style="1651" customWidth="1"/>
    <col min="1283" max="1283" width="4.5" style="1651" customWidth="1"/>
    <col min="1284" max="1284" width="4.8984375" style="1651" customWidth="1"/>
    <col min="1285" max="1292" width="7.8984375" style="1651" customWidth="1"/>
    <col min="1293" max="1293" width="8.59765625" style="1651" customWidth="1"/>
    <col min="1294" max="1294" width="15.09765625" style="1651" customWidth="1"/>
    <col min="1295" max="1536" width="9" style="1651"/>
    <col min="1537" max="1537" width="4.3984375" style="1651" customWidth="1"/>
    <col min="1538" max="1538" width="20.59765625" style="1651" customWidth="1"/>
    <col min="1539" max="1539" width="4.5" style="1651" customWidth="1"/>
    <col min="1540" max="1540" width="4.8984375" style="1651" customWidth="1"/>
    <col min="1541" max="1548" width="7.8984375" style="1651" customWidth="1"/>
    <col min="1549" max="1549" width="8.59765625" style="1651" customWidth="1"/>
    <col min="1550" max="1550" width="15.09765625" style="1651" customWidth="1"/>
    <col min="1551" max="1792" width="9" style="1651"/>
    <col min="1793" max="1793" width="4.3984375" style="1651" customWidth="1"/>
    <col min="1794" max="1794" width="20.59765625" style="1651" customWidth="1"/>
    <col min="1795" max="1795" width="4.5" style="1651" customWidth="1"/>
    <col min="1796" max="1796" width="4.8984375" style="1651" customWidth="1"/>
    <col min="1797" max="1804" width="7.8984375" style="1651" customWidth="1"/>
    <col min="1805" max="1805" width="8.59765625" style="1651" customWidth="1"/>
    <col min="1806" max="1806" width="15.09765625" style="1651" customWidth="1"/>
    <col min="1807" max="2048" width="9" style="1651"/>
    <col min="2049" max="2049" width="4.3984375" style="1651" customWidth="1"/>
    <col min="2050" max="2050" width="20.59765625" style="1651" customWidth="1"/>
    <col min="2051" max="2051" width="4.5" style="1651" customWidth="1"/>
    <col min="2052" max="2052" width="4.8984375" style="1651" customWidth="1"/>
    <col min="2053" max="2060" width="7.8984375" style="1651" customWidth="1"/>
    <col min="2061" max="2061" width="8.59765625" style="1651" customWidth="1"/>
    <col min="2062" max="2062" width="15.09765625" style="1651" customWidth="1"/>
    <col min="2063" max="2304" width="9" style="1651"/>
    <col min="2305" max="2305" width="4.3984375" style="1651" customWidth="1"/>
    <col min="2306" max="2306" width="20.59765625" style="1651" customWidth="1"/>
    <col min="2307" max="2307" width="4.5" style="1651" customWidth="1"/>
    <col min="2308" max="2308" width="4.8984375" style="1651" customWidth="1"/>
    <col min="2309" max="2316" width="7.8984375" style="1651" customWidth="1"/>
    <col min="2317" max="2317" width="8.59765625" style="1651" customWidth="1"/>
    <col min="2318" max="2318" width="15.09765625" style="1651" customWidth="1"/>
    <col min="2319" max="2560" width="9" style="1651"/>
    <col min="2561" max="2561" width="4.3984375" style="1651" customWidth="1"/>
    <col min="2562" max="2562" width="20.59765625" style="1651" customWidth="1"/>
    <col min="2563" max="2563" width="4.5" style="1651" customWidth="1"/>
    <col min="2564" max="2564" width="4.8984375" style="1651" customWidth="1"/>
    <col min="2565" max="2572" width="7.8984375" style="1651" customWidth="1"/>
    <col min="2573" max="2573" width="8.59765625" style="1651" customWidth="1"/>
    <col min="2574" max="2574" width="15.09765625" style="1651" customWidth="1"/>
    <col min="2575" max="2816" width="9" style="1651"/>
    <col min="2817" max="2817" width="4.3984375" style="1651" customWidth="1"/>
    <col min="2818" max="2818" width="20.59765625" style="1651" customWidth="1"/>
    <col min="2819" max="2819" width="4.5" style="1651" customWidth="1"/>
    <col min="2820" max="2820" width="4.8984375" style="1651" customWidth="1"/>
    <col min="2821" max="2828" width="7.8984375" style="1651" customWidth="1"/>
    <col min="2829" max="2829" width="8.59765625" style="1651" customWidth="1"/>
    <col min="2830" max="2830" width="15.09765625" style="1651" customWidth="1"/>
    <col min="2831" max="3072" width="9" style="1651"/>
    <col min="3073" max="3073" width="4.3984375" style="1651" customWidth="1"/>
    <col min="3074" max="3074" width="20.59765625" style="1651" customWidth="1"/>
    <col min="3075" max="3075" width="4.5" style="1651" customWidth="1"/>
    <col min="3076" max="3076" width="4.8984375" style="1651" customWidth="1"/>
    <col min="3077" max="3084" width="7.8984375" style="1651" customWidth="1"/>
    <col min="3085" max="3085" width="8.59765625" style="1651" customWidth="1"/>
    <col min="3086" max="3086" width="15.09765625" style="1651" customWidth="1"/>
    <col min="3087" max="3328" width="9" style="1651"/>
    <col min="3329" max="3329" width="4.3984375" style="1651" customWidth="1"/>
    <col min="3330" max="3330" width="20.59765625" style="1651" customWidth="1"/>
    <col min="3331" max="3331" width="4.5" style="1651" customWidth="1"/>
    <col min="3332" max="3332" width="4.8984375" style="1651" customWidth="1"/>
    <col min="3333" max="3340" width="7.8984375" style="1651" customWidth="1"/>
    <col min="3341" max="3341" width="8.59765625" style="1651" customWidth="1"/>
    <col min="3342" max="3342" width="15.09765625" style="1651" customWidth="1"/>
    <col min="3343" max="3584" width="9" style="1651"/>
    <col min="3585" max="3585" width="4.3984375" style="1651" customWidth="1"/>
    <col min="3586" max="3586" width="20.59765625" style="1651" customWidth="1"/>
    <col min="3587" max="3587" width="4.5" style="1651" customWidth="1"/>
    <col min="3588" max="3588" width="4.8984375" style="1651" customWidth="1"/>
    <col min="3589" max="3596" width="7.8984375" style="1651" customWidth="1"/>
    <col min="3597" max="3597" width="8.59765625" style="1651" customWidth="1"/>
    <col min="3598" max="3598" width="15.09765625" style="1651" customWidth="1"/>
    <col min="3599" max="3840" width="9" style="1651"/>
    <col min="3841" max="3841" width="4.3984375" style="1651" customWidth="1"/>
    <col min="3842" max="3842" width="20.59765625" style="1651" customWidth="1"/>
    <col min="3843" max="3843" width="4.5" style="1651" customWidth="1"/>
    <col min="3844" max="3844" width="4.8984375" style="1651" customWidth="1"/>
    <col min="3845" max="3852" width="7.8984375" style="1651" customWidth="1"/>
    <col min="3853" max="3853" width="8.59765625" style="1651" customWidth="1"/>
    <col min="3854" max="3854" width="15.09765625" style="1651" customWidth="1"/>
    <col min="3855" max="4096" width="9" style="1651"/>
    <col min="4097" max="4097" width="4.3984375" style="1651" customWidth="1"/>
    <col min="4098" max="4098" width="20.59765625" style="1651" customWidth="1"/>
    <col min="4099" max="4099" width="4.5" style="1651" customWidth="1"/>
    <col min="4100" max="4100" width="4.8984375" style="1651" customWidth="1"/>
    <col min="4101" max="4108" width="7.8984375" style="1651" customWidth="1"/>
    <col min="4109" max="4109" width="8.59765625" style="1651" customWidth="1"/>
    <col min="4110" max="4110" width="15.09765625" style="1651" customWidth="1"/>
    <col min="4111" max="4352" width="9" style="1651"/>
    <col min="4353" max="4353" width="4.3984375" style="1651" customWidth="1"/>
    <col min="4354" max="4354" width="20.59765625" style="1651" customWidth="1"/>
    <col min="4355" max="4355" width="4.5" style="1651" customWidth="1"/>
    <col min="4356" max="4356" width="4.8984375" style="1651" customWidth="1"/>
    <col min="4357" max="4364" width="7.8984375" style="1651" customWidth="1"/>
    <col min="4365" max="4365" width="8.59765625" style="1651" customWidth="1"/>
    <col min="4366" max="4366" width="15.09765625" style="1651" customWidth="1"/>
    <col min="4367" max="4608" width="9" style="1651"/>
    <col min="4609" max="4609" width="4.3984375" style="1651" customWidth="1"/>
    <col min="4610" max="4610" width="20.59765625" style="1651" customWidth="1"/>
    <col min="4611" max="4611" width="4.5" style="1651" customWidth="1"/>
    <col min="4612" max="4612" width="4.8984375" style="1651" customWidth="1"/>
    <col min="4613" max="4620" width="7.8984375" style="1651" customWidth="1"/>
    <col min="4621" max="4621" width="8.59765625" style="1651" customWidth="1"/>
    <col min="4622" max="4622" width="15.09765625" style="1651" customWidth="1"/>
    <col min="4623" max="4864" width="9" style="1651"/>
    <col min="4865" max="4865" width="4.3984375" style="1651" customWidth="1"/>
    <col min="4866" max="4866" width="20.59765625" style="1651" customWidth="1"/>
    <col min="4867" max="4867" width="4.5" style="1651" customWidth="1"/>
    <col min="4868" max="4868" width="4.8984375" style="1651" customWidth="1"/>
    <col min="4869" max="4876" width="7.8984375" style="1651" customWidth="1"/>
    <col min="4877" max="4877" width="8.59765625" style="1651" customWidth="1"/>
    <col min="4878" max="4878" width="15.09765625" style="1651" customWidth="1"/>
    <col min="4879" max="5120" width="9" style="1651"/>
    <col min="5121" max="5121" width="4.3984375" style="1651" customWidth="1"/>
    <col min="5122" max="5122" width="20.59765625" style="1651" customWidth="1"/>
    <col min="5123" max="5123" width="4.5" style="1651" customWidth="1"/>
    <col min="5124" max="5124" width="4.8984375" style="1651" customWidth="1"/>
    <col min="5125" max="5132" width="7.8984375" style="1651" customWidth="1"/>
    <col min="5133" max="5133" width="8.59765625" style="1651" customWidth="1"/>
    <col min="5134" max="5134" width="15.09765625" style="1651" customWidth="1"/>
    <col min="5135" max="5376" width="9" style="1651"/>
    <col min="5377" max="5377" width="4.3984375" style="1651" customWidth="1"/>
    <col min="5378" max="5378" width="20.59765625" style="1651" customWidth="1"/>
    <col min="5379" max="5379" width="4.5" style="1651" customWidth="1"/>
    <col min="5380" max="5380" width="4.8984375" style="1651" customWidth="1"/>
    <col min="5381" max="5388" width="7.8984375" style="1651" customWidth="1"/>
    <col min="5389" max="5389" width="8.59765625" style="1651" customWidth="1"/>
    <col min="5390" max="5390" width="15.09765625" style="1651" customWidth="1"/>
    <col min="5391" max="5632" width="9" style="1651"/>
    <col min="5633" max="5633" width="4.3984375" style="1651" customWidth="1"/>
    <col min="5634" max="5634" width="20.59765625" style="1651" customWidth="1"/>
    <col min="5635" max="5635" width="4.5" style="1651" customWidth="1"/>
    <col min="5636" max="5636" width="4.8984375" style="1651" customWidth="1"/>
    <col min="5637" max="5644" width="7.8984375" style="1651" customWidth="1"/>
    <col min="5645" max="5645" width="8.59765625" style="1651" customWidth="1"/>
    <col min="5646" max="5646" width="15.09765625" style="1651" customWidth="1"/>
    <col min="5647" max="5888" width="9" style="1651"/>
    <col min="5889" max="5889" width="4.3984375" style="1651" customWidth="1"/>
    <col min="5890" max="5890" width="20.59765625" style="1651" customWidth="1"/>
    <col min="5891" max="5891" width="4.5" style="1651" customWidth="1"/>
    <col min="5892" max="5892" width="4.8984375" style="1651" customWidth="1"/>
    <col min="5893" max="5900" width="7.8984375" style="1651" customWidth="1"/>
    <col min="5901" max="5901" width="8.59765625" style="1651" customWidth="1"/>
    <col min="5902" max="5902" width="15.09765625" style="1651" customWidth="1"/>
    <col min="5903" max="6144" width="9" style="1651"/>
    <col min="6145" max="6145" width="4.3984375" style="1651" customWidth="1"/>
    <col min="6146" max="6146" width="20.59765625" style="1651" customWidth="1"/>
    <col min="6147" max="6147" width="4.5" style="1651" customWidth="1"/>
    <col min="6148" max="6148" width="4.8984375" style="1651" customWidth="1"/>
    <col min="6149" max="6156" width="7.8984375" style="1651" customWidth="1"/>
    <col min="6157" max="6157" width="8.59765625" style="1651" customWidth="1"/>
    <col min="6158" max="6158" width="15.09765625" style="1651" customWidth="1"/>
    <col min="6159" max="6400" width="9" style="1651"/>
    <col min="6401" max="6401" width="4.3984375" style="1651" customWidth="1"/>
    <col min="6402" max="6402" width="20.59765625" style="1651" customWidth="1"/>
    <col min="6403" max="6403" width="4.5" style="1651" customWidth="1"/>
    <col min="6404" max="6404" width="4.8984375" style="1651" customWidth="1"/>
    <col min="6405" max="6412" width="7.8984375" style="1651" customWidth="1"/>
    <col min="6413" max="6413" width="8.59765625" style="1651" customWidth="1"/>
    <col min="6414" max="6414" width="15.09765625" style="1651" customWidth="1"/>
    <col min="6415" max="6656" width="9" style="1651"/>
    <col min="6657" max="6657" width="4.3984375" style="1651" customWidth="1"/>
    <col min="6658" max="6658" width="20.59765625" style="1651" customWidth="1"/>
    <col min="6659" max="6659" width="4.5" style="1651" customWidth="1"/>
    <col min="6660" max="6660" width="4.8984375" style="1651" customWidth="1"/>
    <col min="6661" max="6668" width="7.8984375" style="1651" customWidth="1"/>
    <col min="6669" max="6669" width="8.59765625" style="1651" customWidth="1"/>
    <col min="6670" max="6670" width="15.09765625" style="1651" customWidth="1"/>
    <col min="6671" max="6912" width="9" style="1651"/>
    <col min="6913" max="6913" width="4.3984375" style="1651" customWidth="1"/>
    <col min="6914" max="6914" width="20.59765625" style="1651" customWidth="1"/>
    <col min="6915" max="6915" width="4.5" style="1651" customWidth="1"/>
    <col min="6916" max="6916" width="4.8984375" style="1651" customWidth="1"/>
    <col min="6917" max="6924" width="7.8984375" style="1651" customWidth="1"/>
    <col min="6925" max="6925" width="8.59765625" style="1651" customWidth="1"/>
    <col min="6926" max="6926" width="15.09765625" style="1651" customWidth="1"/>
    <col min="6927" max="7168" width="9" style="1651"/>
    <col min="7169" max="7169" width="4.3984375" style="1651" customWidth="1"/>
    <col min="7170" max="7170" width="20.59765625" style="1651" customWidth="1"/>
    <col min="7171" max="7171" width="4.5" style="1651" customWidth="1"/>
    <col min="7172" max="7172" width="4.8984375" style="1651" customWidth="1"/>
    <col min="7173" max="7180" width="7.8984375" style="1651" customWidth="1"/>
    <col min="7181" max="7181" width="8.59765625" style="1651" customWidth="1"/>
    <col min="7182" max="7182" width="15.09765625" style="1651" customWidth="1"/>
    <col min="7183" max="7424" width="9" style="1651"/>
    <col min="7425" max="7425" width="4.3984375" style="1651" customWidth="1"/>
    <col min="7426" max="7426" width="20.59765625" style="1651" customWidth="1"/>
    <col min="7427" max="7427" width="4.5" style="1651" customWidth="1"/>
    <col min="7428" max="7428" width="4.8984375" style="1651" customWidth="1"/>
    <col min="7429" max="7436" width="7.8984375" style="1651" customWidth="1"/>
    <col min="7437" max="7437" width="8.59765625" style="1651" customWidth="1"/>
    <col min="7438" max="7438" width="15.09765625" style="1651" customWidth="1"/>
    <col min="7439" max="7680" width="9" style="1651"/>
    <col min="7681" max="7681" width="4.3984375" style="1651" customWidth="1"/>
    <col min="7682" max="7682" width="20.59765625" style="1651" customWidth="1"/>
    <col min="7683" max="7683" width="4.5" style="1651" customWidth="1"/>
    <col min="7684" max="7684" width="4.8984375" style="1651" customWidth="1"/>
    <col min="7685" max="7692" width="7.8984375" style="1651" customWidth="1"/>
    <col min="7693" max="7693" width="8.59765625" style="1651" customWidth="1"/>
    <col min="7694" max="7694" width="15.09765625" style="1651" customWidth="1"/>
    <col min="7695" max="7936" width="9" style="1651"/>
    <col min="7937" max="7937" width="4.3984375" style="1651" customWidth="1"/>
    <col min="7938" max="7938" width="20.59765625" style="1651" customWidth="1"/>
    <col min="7939" max="7939" width="4.5" style="1651" customWidth="1"/>
    <col min="7940" max="7940" width="4.8984375" style="1651" customWidth="1"/>
    <col min="7941" max="7948" width="7.8984375" style="1651" customWidth="1"/>
    <col min="7949" max="7949" width="8.59765625" style="1651" customWidth="1"/>
    <col min="7950" max="7950" width="15.09765625" style="1651" customWidth="1"/>
    <col min="7951" max="8192" width="9" style="1651"/>
    <col min="8193" max="8193" width="4.3984375" style="1651" customWidth="1"/>
    <col min="8194" max="8194" width="20.59765625" style="1651" customWidth="1"/>
    <col min="8195" max="8195" width="4.5" style="1651" customWidth="1"/>
    <col min="8196" max="8196" width="4.8984375" style="1651" customWidth="1"/>
    <col min="8197" max="8204" width="7.8984375" style="1651" customWidth="1"/>
    <col min="8205" max="8205" width="8.59765625" style="1651" customWidth="1"/>
    <col min="8206" max="8206" width="15.09765625" style="1651" customWidth="1"/>
    <col min="8207" max="8448" width="9" style="1651"/>
    <col min="8449" max="8449" width="4.3984375" style="1651" customWidth="1"/>
    <col min="8450" max="8450" width="20.59765625" style="1651" customWidth="1"/>
    <col min="8451" max="8451" width="4.5" style="1651" customWidth="1"/>
    <col min="8452" max="8452" width="4.8984375" style="1651" customWidth="1"/>
    <col min="8453" max="8460" width="7.8984375" style="1651" customWidth="1"/>
    <col min="8461" max="8461" width="8.59765625" style="1651" customWidth="1"/>
    <col min="8462" max="8462" width="15.09765625" style="1651" customWidth="1"/>
    <col min="8463" max="8704" width="9" style="1651"/>
    <col min="8705" max="8705" width="4.3984375" style="1651" customWidth="1"/>
    <col min="8706" max="8706" width="20.59765625" style="1651" customWidth="1"/>
    <col min="8707" max="8707" width="4.5" style="1651" customWidth="1"/>
    <col min="8708" max="8708" width="4.8984375" style="1651" customWidth="1"/>
    <col min="8709" max="8716" width="7.8984375" style="1651" customWidth="1"/>
    <col min="8717" max="8717" width="8.59765625" style="1651" customWidth="1"/>
    <col min="8718" max="8718" width="15.09765625" style="1651" customWidth="1"/>
    <col min="8719" max="8960" width="9" style="1651"/>
    <col min="8961" max="8961" width="4.3984375" style="1651" customWidth="1"/>
    <col min="8962" max="8962" width="20.59765625" style="1651" customWidth="1"/>
    <col min="8963" max="8963" width="4.5" style="1651" customWidth="1"/>
    <col min="8964" max="8964" width="4.8984375" style="1651" customWidth="1"/>
    <col min="8965" max="8972" width="7.8984375" style="1651" customWidth="1"/>
    <col min="8973" max="8973" width="8.59765625" style="1651" customWidth="1"/>
    <col min="8974" max="8974" width="15.09765625" style="1651" customWidth="1"/>
    <col min="8975" max="9216" width="9" style="1651"/>
    <col min="9217" max="9217" width="4.3984375" style="1651" customWidth="1"/>
    <col min="9218" max="9218" width="20.59765625" style="1651" customWidth="1"/>
    <col min="9219" max="9219" width="4.5" style="1651" customWidth="1"/>
    <col min="9220" max="9220" width="4.8984375" style="1651" customWidth="1"/>
    <col min="9221" max="9228" width="7.8984375" style="1651" customWidth="1"/>
    <col min="9229" max="9229" width="8.59765625" style="1651" customWidth="1"/>
    <col min="9230" max="9230" width="15.09765625" style="1651" customWidth="1"/>
    <col min="9231" max="9472" width="9" style="1651"/>
    <col min="9473" max="9473" width="4.3984375" style="1651" customWidth="1"/>
    <col min="9474" max="9474" width="20.59765625" style="1651" customWidth="1"/>
    <col min="9475" max="9475" width="4.5" style="1651" customWidth="1"/>
    <col min="9476" max="9476" width="4.8984375" style="1651" customWidth="1"/>
    <col min="9477" max="9484" width="7.8984375" style="1651" customWidth="1"/>
    <col min="9485" max="9485" width="8.59765625" style="1651" customWidth="1"/>
    <col min="9486" max="9486" width="15.09765625" style="1651" customWidth="1"/>
    <col min="9487" max="9728" width="9" style="1651"/>
    <col min="9729" max="9729" width="4.3984375" style="1651" customWidth="1"/>
    <col min="9730" max="9730" width="20.59765625" style="1651" customWidth="1"/>
    <col min="9731" max="9731" width="4.5" style="1651" customWidth="1"/>
    <col min="9732" max="9732" width="4.8984375" style="1651" customWidth="1"/>
    <col min="9733" max="9740" width="7.8984375" style="1651" customWidth="1"/>
    <col min="9741" max="9741" width="8.59765625" style="1651" customWidth="1"/>
    <col min="9742" max="9742" width="15.09765625" style="1651" customWidth="1"/>
    <col min="9743" max="9984" width="9" style="1651"/>
    <col min="9985" max="9985" width="4.3984375" style="1651" customWidth="1"/>
    <col min="9986" max="9986" width="20.59765625" style="1651" customWidth="1"/>
    <col min="9987" max="9987" width="4.5" style="1651" customWidth="1"/>
    <col min="9988" max="9988" width="4.8984375" style="1651" customWidth="1"/>
    <col min="9989" max="9996" width="7.8984375" style="1651" customWidth="1"/>
    <col min="9997" max="9997" width="8.59765625" style="1651" customWidth="1"/>
    <col min="9998" max="9998" width="15.09765625" style="1651" customWidth="1"/>
    <col min="9999" max="10240" width="9" style="1651"/>
    <col min="10241" max="10241" width="4.3984375" style="1651" customWidth="1"/>
    <col min="10242" max="10242" width="20.59765625" style="1651" customWidth="1"/>
    <col min="10243" max="10243" width="4.5" style="1651" customWidth="1"/>
    <col min="10244" max="10244" width="4.8984375" style="1651" customWidth="1"/>
    <col min="10245" max="10252" width="7.8984375" style="1651" customWidth="1"/>
    <col min="10253" max="10253" width="8.59765625" style="1651" customWidth="1"/>
    <col min="10254" max="10254" width="15.09765625" style="1651" customWidth="1"/>
    <col min="10255" max="10496" width="9" style="1651"/>
    <col min="10497" max="10497" width="4.3984375" style="1651" customWidth="1"/>
    <col min="10498" max="10498" width="20.59765625" style="1651" customWidth="1"/>
    <col min="10499" max="10499" width="4.5" style="1651" customWidth="1"/>
    <col min="10500" max="10500" width="4.8984375" style="1651" customWidth="1"/>
    <col min="10501" max="10508" width="7.8984375" style="1651" customWidth="1"/>
    <col min="10509" max="10509" width="8.59765625" style="1651" customWidth="1"/>
    <col min="10510" max="10510" width="15.09765625" style="1651" customWidth="1"/>
    <col min="10511" max="10752" width="9" style="1651"/>
    <col min="10753" max="10753" width="4.3984375" style="1651" customWidth="1"/>
    <col min="10754" max="10754" width="20.59765625" style="1651" customWidth="1"/>
    <col min="10755" max="10755" width="4.5" style="1651" customWidth="1"/>
    <col min="10756" max="10756" width="4.8984375" style="1651" customWidth="1"/>
    <col min="10757" max="10764" width="7.8984375" style="1651" customWidth="1"/>
    <col min="10765" max="10765" width="8.59765625" style="1651" customWidth="1"/>
    <col min="10766" max="10766" width="15.09765625" style="1651" customWidth="1"/>
    <col min="10767" max="11008" width="9" style="1651"/>
    <col min="11009" max="11009" width="4.3984375" style="1651" customWidth="1"/>
    <col min="11010" max="11010" width="20.59765625" style="1651" customWidth="1"/>
    <col min="11011" max="11011" width="4.5" style="1651" customWidth="1"/>
    <col min="11012" max="11012" width="4.8984375" style="1651" customWidth="1"/>
    <col min="11013" max="11020" width="7.8984375" style="1651" customWidth="1"/>
    <col min="11021" max="11021" width="8.59765625" style="1651" customWidth="1"/>
    <col min="11022" max="11022" width="15.09765625" style="1651" customWidth="1"/>
    <col min="11023" max="11264" width="9" style="1651"/>
    <col min="11265" max="11265" width="4.3984375" style="1651" customWidth="1"/>
    <col min="11266" max="11266" width="20.59765625" style="1651" customWidth="1"/>
    <col min="11267" max="11267" width="4.5" style="1651" customWidth="1"/>
    <col min="11268" max="11268" width="4.8984375" style="1651" customWidth="1"/>
    <col min="11269" max="11276" width="7.8984375" style="1651" customWidth="1"/>
    <col min="11277" max="11277" width="8.59765625" style="1651" customWidth="1"/>
    <col min="11278" max="11278" width="15.09765625" style="1651" customWidth="1"/>
    <col min="11279" max="11520" width="9" style="1651"/>
    <col min="11521" max="11521" width="4.3984375" style="1651" customWidth="1"/>
    <col min="11522" max="11522" width="20.59765625" style="1651" customWidth="1"/>
    <col min="11523" max="11523" width="4.5" style="1651" customWidth="1"/>
    <col min="11524" max="11524" width="4.8984375" style="1651" customWidth="1"/>
    <col min="11525" max="11532" width="7.8984375" style="1651" customWidth="1"/>
    <col min="11533" max="11533" width="8.59765625" style="1651" customWidth="1"/>
    <col min="11534" max="11534" width="15.09765625" style="1651" customWidth="1"/>
    <col min="11535" max="11776" width="9" style="1651"/>
    <col min="11777" max="11777" width="4.3984375" style="1651" customWidth="1"/>
    <col min="11778" max="11778" width="20.59765625" style="1651" customWidth="1"/>
    <col min="11779" max="11779" width="4.5" style="1651" customWidth="1"/>
    <col min="11780" max="11780" width="4.8984375" style="1651" customWidth="1"/>
    <col min="11781" max="11788" width="7.8984375" style="1651" customWidth="1"/>
    <col min="11789" max="11789" width="8.59765625" style="1651" customWidth="1"/>
    <col min="11790" max="11790" width="15.09765625" style="1651" customWidth="1"/>
    <col min="11791" max="12032" width="9" style="1651"/>
    <col min="12033" max="12033" width="4.3984375" style="1651" customWidth="1"/>
    <col min="12034" max="12034" width="20.59765625" style="1651" customWidth="1"/>
    <col min="12035" max="12035" width="4.5" style="1651" customWidth="1"/>
    <col min="12036" max="12036" width="4.8984375" style="1651" customWidth="1"/>
    <col min="12037" max="12044" width="7.8984375" style="1651" customWidth="1"/>
    <col min="12045" max="12045" width="8.59765625" style="1651" customWidth="1"/>
    <col min="12046" max="12046" width="15.09765625" style="1651" customWidth="1"/>
    <col min="12047" max="12288" width="9" style="1651"/>
    <col min="12289" max="12289" width="4.3984375" style="1651" customWidth="1"/>
    <col min="12290" max="12290" width="20.59765625" style="1651" customWidth="1"/>
    <col min="12291" max="12291" width="4.5" style="1651" customWidth="1"/>
    <col min="12292" max="12292" width="4.8984375" style="1651" customWidth="1"/>
    <col min="12293" max="12300" width="7.8984375" style="1651" customWidth="1"/>
    <col min="12301" max="12301" width="8.59765625" style="1651" customWidth="1"/>
    <col min="12302" max="12302" width="15.09765625" style="1651" customWidth="1"/>
    <col min="12303" max="12544" width="9" style="1651"/>
    <col min="12545" max="12545" width="4.3984375" style="1651" customWidth="1"/>
    <col min="12546" max="12546" width="20.59765625" style="1651" customWidth="1"/>
    <col min="12547" max="12547" width="4.5" style="1651" customWidth="1"/>
    <col min="12548" max="12548" width="4.8984375" style="1651" customWidth="1"/>
    <col min="12549" max="12556" width="7.8984375" style="1651" customWidth="1"/>
    <col min="12557" max="12557" width="8.59765625" style="1651" customWidth="1"/>
    <col min="12558" max="12558" width="15.09765625" style="1651" customWidth="1"/>
    <col min="12559" max="12800" width="9" style="1651"/>
    <col min="12801" max="12801" width="4.3984375" style="1651" customWidth="1"/>
    <col min="12802" max="12802" width="20.59765625" style="1651" customWidth="1"/>
    <col min="12803" max="12803" width="4.5" style="1651" customWidth="1"/>
    <col min="12804" max="12804" width="4.8984375" style="1651" customWidth="1"/>
    <col min="12805" max="12812" width="7.8984375" style="1651" customWidth="1"/>
    <col min="12813" max="12813" width="8.59765625" style="1651" customWidth="1"/>
    <col min="12814" max="12814" width="15.09765625" style="1651" customWidth="1"/>
    <col min="12815" max="13056" width="9" style="1651"/>
    <col min="13057" max="13057" width="4.3984375" style="1651" customWidth="1"/>
    <col min="13058" max="13058" width="20.59765625" style="1651" customWidth="1"/>
    <col min="13059" max="13059" width="4.5" style="1651" customWidth="1"/>
    <col min="13060" max="13060" width="4.8984375" style="1651" customWidth="1"/>
    <col min="13061" max="13068" width="7.8984375" style="1651" customWidth="1"/>
    <col min="13069" max="13069" width="8.59765625" style="1651" customWidth="1"/>
    <col min="13070" max="13070" width="15.09765625" style="1651" customWidth="1"/>
    <col min="13071" max="13312" width="9" style="1651"/>
    <col min="13313" max="13313" width="4.3984375" style="1651" customWidth="1"/>
    <col min="13314" max="13314" width="20.59765625" style="1651" customWidth="1"/>
    <col min="13315" max="13315" width="4.5" style="1651" customWidth="1"/>
    <col min="13316" max="13316" width="4.8984375" style="1651" customWidth="1"/>
    <col min="13317" max="13324" width="7.8984375" style="1651" customWidth="1"/>
    <col min="13325" max="13325" width="8.59765625" style="1651" customWidth="1"/>
    <col min="13326" max="13326" width="15.09765625" style="1651" customWidth="1"/>
    <col min="13327" max="13568" width="9" style="1651"/>
    <col min="13569" max="13569" width="4.3984375" style="1651" customWidth="1"/>
    <col min="13570" max="13570" width="20.59765625" style="1651" customWidth="1"/>
    <col min="13571" max="13571" width="4.5" style="1651" customWidth="1"/>
    <col min="13572" max="13572" width="4.8984375" style="1651" customWidth="1"/>
    <col min="13573" max="13580" width="7.8984375" style="1651" customWidth="1"/>
    <col min="13581" max="13581" width="8.59765625" style="1651" customWidth="1"/>
    <col min="13582" max="13582" width="15.09765625" style="1651" customWidth="1"/>
    <col min="13583" max="13824" width="9" style="1651"/>
    <col min="13825" max="13825" width="4.3984375" style="1651" customWidth="1"/>
    <col min="13826" max="13826" width="20.59765625" style="1651" customWidth="1"/>
    <col min="13827" max="13827" width="4.5" style="1651" customWidth="1"/>
    <col min="13828" max="13828" width="4.8984375" style="1651" customWidth="1"/>
    <col min="13829" max="13836" width="7.8984375" style="1651" customWidth="1"/>
    <col min="13837" max="13837" width="8.59765625" style="1651" customWidth="1"/>
    <col min="13838" max="13838" width="15.09765625" style="1651" customWidth="1"/>
    <col min="13839" max="14080" width="9" style="1651"/>
    <col min="14081" max="14081" width="4.3984375" style="1651" customWidth="1"/>
    <col min="14082" max="14082" width="20.59765625" style="1651" customWidth="1"/>
    <col min="14083" max="14083" width="4.5" style="1651" customWidth="1"/>
    <col min="14084" max="14084" width="4.8984375" style="1651" customWidth="1"/>
    <col min="14085" max="14092" width="7.8984375" style="1651" customWidth="1"/>
    <col min="14093" max="14093" width="8.59765625" style="1651" customWidth="1"/>
    <col min="14094" max="14094" width="15.09765625" style="1651" customWidth="1"/>
    <col min="14095" max="14336" width="9" style="1651"/>
    <col min="14337" max="14337" width="4.3984375" style="1651" customWidth="1"/>
    <col min="14338" max="14338" width="20.59765625" style="1651" customWidth="1"/>
    <col min="14339" max="14339" width="4.5" style="1651" customWidth="1"/>
    <col min="14340" max="14340" width="4.8984375" style="1651" customWidth="1"/>
    <col min="14341" max="14348" width="7.8984375" style="1651" customWidth="1"/>
    <col min="14349" max="14349" width="8.59765625" style="1651" customWidth="1"/>
    <col min="14350" max="14350" width="15.09765625" style="1651" customWidth="1"/>
    <col min="14351" max="14592" width="9" style="1651"/>
    <col min="14593" max="14593" width="4.3984375" style="1651" customWidth="1"/>
    <col min="14594" max="14594" width="20.59765625" style="1651" customWidth="1"/>
    <col min="14595" max="14595" width="4.5" style="1651" customWidth="1"/>
    <col min="14596" max="14596" width="4.8984375" style="1651" customWidth="1"/>
    <col min="14597" max="14604" width="7.8984375" style="1651" customWidth="1"/>
    <col min="14605" max="14605" width="8.59765625" style="1651" customWidth="1"/>
    <col min="14606" max="14606" width="15.09765625" style="1651" customWidth="1"/>
    <col min="14607" max="14848" width="9" style="1651"/>
    <col min="14849" max="14849" width="4.3984375" style="1651" customWidth="1"/>
    <col min="14850" max="14850" width="20.59765625" style="1651" customWidth="1"/>
    <col min="14851" max="14851" width="4.5" style="1651" customWidth="1"/>
    <col min="14852" max="14852" width="4.8984375" style="1651" customWidth="1"/>
    <col min="14853" max="14860" width="7.8984375" style="1651" customWidth="1"/>
    <col min="14861" max="14861" width="8.59765625" style="1651" customWidth="1"/>
    <col min="14862" max="14862" width="15.09765625" style="1651" customWidth="1"/>
    <col min="14863" max="15104" width="9" style="1651"/>
    <col min="15105" max="15105" width="4.3984375" style="1651" customWidth="1"/>
    <col min="15106" max="15106" width="20.59765625" style="1651" customWidth="1"/>
    <col min="15107" max="15107" width="4.5" style="1651" customWidth="1"/>
    <col min="15108" max="15108" width="4.8984375" style="1651" customWidth="1"/>
    <col min="15109" max="15116" width="7.8984375" style="1651" customWidth="1"/>
    <col min="15117" max="15117" width="8.59765625" style="1651" customWidth="1"/>
    <col min="15118" max="15118" width="15.09765625" style="1651" customWidth="1"/>
    <col min="15119" max="15360" width="9" style="1651"/>
    <col min="15361" max="15361" width="4.3984375" style="1651" customWidth="1"/>
    <col min="15362" max="15362" width="20.59765625" style="1651" customWidth="1"/>
    <col min="15363" max="15363" width="4.5" style="1651" customWidth="1"/>
    <col min="15364" max="15364" width="4.8984375" style="1651" customWidth="1"/>
    <col min="15365" max="15372" width="7.8984375" style="1651" customWidth="1"/>
    <col min="15373" max="15373" width="8.59765625" style="1651" customWidth="1"/>
    <col min="15374" max="15374" width="15.09765625" style="1651" customWidth="1"/>
    <col min="15375" max="15616" width="9" style="1651"/>
    <col min="15617" max="15617" width="4.3984375" style="1651" customWidth="1"/>
    <col min="15618" max="15618" width="20.59765625" style="1651" customWidth="1"/>
    <col min="15619" max="15619" width="4.5" style="1651" customWidth="1"/>
    <col min="15620" max="15620" width="4.8984375" style="1651" customWidth="1"/>
    <col min="15621" max="15628" width="7.8984375" style="1651" customWidth="1"/>
    <col min="15629" max="15629" width="8.59765625" style="1651" customWidth="1"/>
    <col min="15630" max="15630" width="15.09765625" style="1651" customWidth="1"/>
    <col min="15631" max="15872" width="9" style="1651"/>
    <col min="15873" max="15873" width="4.3984375" style="1651" customWidth="1"/>
    <col min="15874" max="15874" width="20.59765625" style="1651" customWidth="1"/>
    <col min="15875" max="15875" width="4.5" style="1651" customWidth="1"/>
    <col min="15876" max="15876" width="4.8984375" style="1651" customWidth="1"/>
    <col min="15877" max="15884" width="7.8984375" style="1651" customWidth="1"/>
    <col min="15885" max="15885" width="8.59765625" style="1651" customWidth="1"/>
    <col min="15886" max="15886" width="15.09765625" style="1651" customWidth="1"/>
    <col min="15887" max="16128" width="9" style="1651"/>
    <col min="16129" max="16129" width="4.3984375" style="1651" customWidth="1"/>
    <col min="16130" max="16130" width="20.59765625" style="1651" customWidth="1"/>
    <col min="16131" max="16131" width="4.5" style="1651" customWidth="1"/>
    <col min="16132" max="16132" width="4.8984375" style="1651" customWidth="1"/>
    <col min="16133" max="16140" width="7.8984375" style="1651" customWidth="1"/>
    <col min="16141" max="16141" width="8.59765625" style="1651" customWidth="1"/>
    <col min="16142" max="16142" width="15.09765625" style="1651" customWidth="1"/>
    <col min="16143" max="16384" width="9" style="1651"/>
  </cols>
  <sheetData>
    <row r="1" spans="1:15" ht="20.100000000000001" customHeight="1">
      <c r="A1" s="3400"/>
      <c r="B1" s="3400"/>
      <c r="C1" s="3400"/>
      <c r="D1" s="3400"/>
      <c r="E1" s="3400"/>
      <c r="F1" s="3400"/>
      <c r="G1" s="3400"/>
      <c r="H1" s="3400"/>
      <c r="I1" s="3400"/>
      <c r="J1" s="3400"/>
      <c r="K1" s="3400"/>
      <c r="L1" s="3400"/>
      <c r="M1" s="3400"/>
      <c r="N1" s="2070" t="str">
        <f>"索引号："&amp;档案索引!A37</f>
        <v>索引号：2A-17</v>
      </c>
    </row>
    <row r="2" spans="1:15" ht="25.5" customHeight="1">
      <c r="A2" s="3401" t="s">
        <v>5925</v>
      </c>
      <c r="B2" s="3401"/>
      <c r="C2" s="3401"/>
      <c r="D2" s="3401"/>
      <c r="E2" s="3401"/>
      <c r="F2" s="3401"/>
      <c r="G2" s="3401"/>
      <c r="H2" s="3401"/>
      <c r="I2" s="3401"/>
      <c r="J2" s="3401"/>
      <c r="K2" s="3401"/>
      <c r="L2" s="3401"/>
      <c r="M2" s="3408"/>
      <c r="N2" s="1821"/>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14" t="s">
        <v>1850</v>
      </c>
      <c r="D4" s="1814" t="s">
        <v>1851</v>
      </c>
      <c r="E4" s="1814" t="s">
        <v>5150</v>
      </c>
      <c r="F4" s="1814" t="s">
        <v>5210</v>
      </c>
      <c r="G4" s="1814" t="s">
        <v>5211</v>
      </c>
      <c r="H4" s="1814" t="s">
        <v>5212</v>
      </c>
      <c r="I4" s="1814" t="s">
        <v>5213</v>
      </c>
      <c r="J4" s="1814" t="s">
        <v>5214</v>
      </c>
      <c r="K4" s="1814" t="s">
        <v>5215</v>
      </c>
      <c r="L4" s="1814" t="s">
        <v>5150</v>
      </c>
      <c r="M4" s="3407"/>
      <c r="N4" s="3407"/>
    </row>
    <row r="5" spans="1:15" ht="14.25" customHeight="1">
      <c r="A5" s="3407"/>
      <c r="B5" s="3409"/>
      <c r="C5" s="1812">
        <v>1</v>
      </c>
      <c r="D5" s="1812">
        <v>2</v>
      </c>
      <c r="E5" s="1812" t="s">
        <v>5216</v>
      </c>
      <c r="F5" s="1812">
        <v>4</v>
      </c>
      <c r="G5" s="1812">
        <v>5</v>
      </c>
      <c r="H5" s="1812">
        <v>6</v>
      </c>
      <c r="I5" s="1812">
        <v>7</v>
      </c>
      <c r="J5" s="1814" t="s">
        <v>5217</v>
      </c>
      <c r="K5" s="1814" t="s">
        <v>5218</v>
      </c>
      <c r="L5" s="1814" t="s">
        <v>5219</v>
      </c>
      <c r="M5" s="1812" t="s">
        <v>5220</v>
      </c>
      <c r="N5" s="1968"/>
    </row>
    <row r="6" spans="1:15" ht="14.25" customHeight="1">
      <c r="A6" s="1808">
        <v>1</v>
      </c>
      <c r="B6" s="1817" t="s">
        <v>5221</v>
      </c>
      <c r="C6" s="2076"/>
      <c r="D6" s="2076"/>
      <c r="E6" s="2075">
        <f>D6-C6</f>
        <v>0</v>
      </c>
      <c r="F6" s="2076"/>
      <c r="G6" s="2076"/>
      <c r="H6" s="2076"/>
      <c r="I6" s="2076"/>
      <c r="J6" s="2075">
        <f>F6-H6</f>
        <v>0</v>
      </c>
      <c r="K6" s="2075">
        <f>G6-I6</f>
        <v>0</v>
      </c>
      <c r="L6" s="2075">
        <f>K6-J6</f>
        <v>0</v>
      </c>
      <c r="M6" s="2075">
        <f>E6+L6</f>
        <v>0</v>
      </c>
      <c r="N6" s="1968"/>
    </row>
    <row r="7" spans="1:15" ht="14.25" customHeight="1">
      <c r="A7" s="1808">
        <v>2</v>
      </c>
      <c r="B7" s="1818" t="s">
        <v>5222</v>
      </c>
      <c r="C7" s="2076"/>
      <c r="D7" s="2076"/>
      <c r="E7" s="2075">
        <f t="shared" ref="E7:E14" si="0">D7-C7</f>
        <v>0</v>
      </c>
      <c r="F7" s="2076"/>
      <c r="G7" s="2076"/>
      <c r="H7" s="2076"/>
      <c r="I7" s="2076"/>
      <c r="J7" s="2075">
        <f t="shared" ref="J7:J14" si="1">F7-H7</f>
        <v>0</v>
      </c>
      <c r="K7" s="2075">
        <f t="shared" ref="K7:K14" si="2">G7-I7</f>
        <v>0</v>
      </c>
      <c r="L7" s="2075">
        <f t="shared" ref="L7:L14" si="3">K7-J7</f>
        <v>0</v>
      </c>
      <c r="M7" s="2075">
        <f t="shared" ref="M7:M14" si="4">E7+L7</f>
        <v>0</v>
      </c>
      <c r="N7" s="1968"/>
    </row>
    <row r="8" spans="1:15" ht="14.25" customHeight="1">
      <c r="A8" s="1808">
        <v>3</v>
      </c>
      <c r="B8" s="1819" t="s">
        <v>5223</v>
      </c>
      <c r="C8" s="2076"/>
      <c r="D8" s="2076"/>
      <c r="E8" s="2075">
        <f t="shared" si="0"/>
        <v>0</v>
      </c>
      <c r="F8" s="2076"/>
      <c r="G8" s="2076"/>
      <c r="H8" s="2076"/>
      <c r="I8" s="2076"/>
      <c r="J8" s="2075">
        <f t="shared" si="1"/>
        <v>0</v>
      </c>
      <c r="K8" s="2075">
        <f t="shared" si="2"/>
        <v>0</v>
      </c>
      <c r="L8" s="2075">
        <f t="shared" si="3"/>
        <v>0</v>
      </c>
      <c r="M8" s="2075">
        <f t="shared" si="4"/>
        <v>0</v>
      </c>
      <c r="N8" s="1968"/>
      <c r="O8" s="1675" t="s">
        <v>5987</v>
      </c>
    </row>
    <row r="9" spans="1:15" ht="14.25" customHeight="1">
      <c r="A9" s="1808">
        <v>4</v>
      </c>
      <c r="B9" s="1818" t="s">
        <v>5224</v>
      </c>
      <c r="C9" s="2076"/>
      <c r="D9" s="2076"/>
      <c r="E9" s="2075">
        <f t="shared" si="0"/>
        <v>0</v>
      </c>
      <c r="F9" s="2076"/>
      <c r="G9" s="2076"/>
      <c r="H9" s="2076"/>
      <c r="I9" s="2076"/>
      <c r="J9" s="2075">
        <f t="shared" si="1"/>
        <v>0</v>
      </c>
      <c r="K9" s="2075">
        <f t="shared" si="2"/>
        <v>0</v>
      </c>
      <c r="L9" s="2075">
        <f t="shared" si="3"/>
        <v>0</v>
      </c>
      <c r="M9" s="2075">
        <f t="shared" si="4"/>
        <v>0</v>
      </c>
      <c r="N9" s="1968"/>
    </row>
    <row r="10" spans="1:15" ht="14.25" customHeight="1">
      <c r="A10" s="1808">
        <v>5</v>
      </c>
      <c r="B10" s="1818" t="s">
        <v>5225</v>
      </c>
      <c r="C10" s="2076"/>
      <c r="D10" s="2076"/>
      <c r="E10" s="2075">
        <f t="shared" si="0"/>
        <v>0</v>
      </c>
      <c r="F10" s="2076"/>
      <c r="G10" s="2076"/>
      <c r="H10" s="2076"/>
      <c r="I10" s="2076"/>
      <c r="J10" s="2075">
        <f t="shared" si="1"/>
        <v>0</v>
      </c>
      <c r="K10" s="2075">
        <f t="shared" si="2"/>
        <v>0</v>
      </c>
      <c r="L10" s="2075">
        <f t="shared" si="3"/>
        <v>0</v>
      </c>
      <c r="M10" s="2075">
        <f t="shared" si="4"/>
        <v>0</v>
      </c>
      <c r="N10" s="1968"/>
      <c r="O10" s="1675" t="s">
        <v>6437</v>
      </c>
    </row>
    <row r="11" spans="1:15" ht="14.25" customHeight="1">
      <c r="A11" s="1808">
        <v>6</v>
      </c>
      <c r="B11" s="1819" t="s">
        <v>5226</v>
      </c>
      <c r="C11" s="2076"/>
      <c r="D11" s="2076"/>
      <c r="E11" s="2075">
        <f t="shared" si="0"/>
        <v>0</v>
      </c>
      <c r="F11" s="2076"/>
      <c r="G11" s="2076"/>
      <c r="H11" s="2076"/>
      <c r="I11" s="2076"/>
      <c r="J11" s="2075">
        <f t="shared" si="1"/>
        <v>0</v>
      </c>
      <c r="K11" s="2075">
        <f t="shared" si="2"/>
        <v>0</v>
      </c>
      <c r="L11" s="2075">
        <f t="shared" si="3"/>
        <v>0</v>
      </c>
      <c r="M11" s="2075">
        <f t="shared" si="4"/>
        <v>0</v>
      </c>
      <c r="N11" s="1968"/>
    </row>
    <row r="12" spans="1:15" ht="14.25" customHeight="1">
      <c r="A12" s="1808">
        <v>7</v>
      </c>
      <c r="B12" s="1819" t="s">
        <v>5227</v>
      </c>
      <c r="C12" s="2076"/>
      <c r="D12" s="2076"/>
      <c r="E12" s="2075">
        <f t="shared" si="0"/>
        <v>0</v>
      </c>
      <c r="F12" s="2076"/>
      <c r="G12" s="2076"/>
      <c r="H12" s="2076"/>
      <c r="I12" s="2076"/>
      <c r="J12" s="2075">
        <f t="shared" si="1"/>
        <v>0</v>
      </c>
      <c r="K12" s="2075">
        <f t="shared" si="2"/>
        <v>0</v>
      </c>
      <c r="L12" s="2075">
        <f t="shared" si="3"/>
        <v>0</v>
      </c>
      <c r="M12" s="2075">
        <f t="shared" si="4"/>
        <v>0</v>
      </c>
      <c r="N12" s="1968"/>
    </row>
    <row r="13" spans="1:15" ht="14.25" customHeight="1">
      <c r="A13" s="1808">
        <v>8</v>
      </c>
      <c r="B13" s="1819" t="s">
        <v>5228</v>
      </c>
      <c r="C13" s="2076"/>
      <c r="D13" s="2076"/>
      <c r="E13" s="2075">
        <f t="shared" si="0"/>
        <v>0</v>
      </c>
      <c r="F13" s="2076"/>
      <c r="G13" s="2076"/>
      <c r="H13" s="2076"/>
      <c r="I13" s="2076"/>
      <c r="J13" s="2075">
        <f t="shared" si="1"/>
        <v>0</v>
      </c>
      <c r="K13" s="2075">
        <f t="shared" si="2"/>
        <v>0</v>
      </c>
      <c r="L13" s="2075">
        <f t="shared" si="3"/>
        <v>0</v>
      </c>
      <c r="M13" s="2075">
        <f t="shared" si="4"/>
        <v>0</v>
      </c>
      <c r="N13" s="1968"/>
    </row>
    <row r="14" spans="1:15" ht="14.25" customHeight="1">
      <c r="A14" s="1808">
        <v>9</v>
      </c>
      <c r="B14" s="1818" t="s">
        <v>5229</v>
      </c>
      <c r="C14" s="2076"/>
      <c r="D14" s="2076"/>
      <c r="E14" s="2075">
        <f t="shared" si="0"/>
        <v>0</v>
      </c>
      <c r="F14" s="2076"/>
      <c r="G14" s="2076"/>
      <c r="H14" s="2076"/>
      <c r="I14" s="2076"/>
      <c r="J14" s="2075">
        <f t="shared" si="1"/>
        <v>0</v>
      </c>
      <c r="K14" s="2075">
        <f t="shared" si="2"/>
        <v>0</v>
      </c>
      <c r="L14" s="2075">
        <f t="shared" si="3"/>
        <v>0</v>
      </c>
      <c r="M14" s="2075">
        <f t="shared" si="4"/>
        <v>0</v>
      </c>
      <c r="N14" s="1968"/>
    </row>
    <row r="15" spans="1:15" ht="129" customHeight="1">
      <c r="A15" s="1808">
        <v>10</v>
      </c>
      <c r="B15" s="1820" t="s">
        <v>5230</v>
      </c>
      <c r="C15" s="2075">
        <f>SUM(C6:C14)</f>
        <v>0</v>
      </c>
      <c r="D15" s="2075">
        <f t="shared" ref="D15:M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1819" t="s">
        <v>5231</v>
      </c>
    </row>
    <row r="16" spans="1:15">
      <c r="A16" s="2070"/>
      <c r="B16" s="2070"/>
      <c r="C16" s="2026"/>
      <c r="D16" s="2070"/>
      <c r="E16" s="2070"/>
      <c r="F16" s="2070"/>
      <c r="G16" s="2070"/>
      <c r="H16" s="2070"/>
      <c r="I16" s="2070"/>
      <c r="J16" s="2070"/>
      <c r="K16" s="2070"/>
      <c r="L16" s="2070"/>
      <c r="M16" s="2070"/>
      <c r="N16" s="2070"/>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5.6"/>
  <cols>
    <col min="1" max="1" width="4.3984375" style="1559" customWidth="1"/>
    <col min="2" max="2" width="7.09765625" style="1559" customWidth="1"/>
    <col min="3" max="3" width="5.3984375" style="1559" customWidth="1"/>
    <col min="4" max="16" width="10.19921875" style="1559" customWidth="1"/>
    <col min="17" max="17" width="7.0976562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9" ht="20.100000000000001" customHeight="1">
      <c r="A1" s="2162"/>
      <c r="B1" s="2162"/>
      <c r="C1" s="2162"/>
      <c r="D1" s="2162"/>
      <c r="E1" s="2162"/>
      <c r="F1" s="2162"/>
      <c r="G1" s="2162"/>
      <c r="H1" s="2162"/>
      <c r="I1" s="2162"/>
      <c r="J1" s="2162"/>
      <c r="K1" s="2162"/>
      <c r="L1" s="2162"/>
      <c r="M1" s="2162"/>
      <c r="N1" s="2162"/>
      <c r="O1" s="2162"/>
      <c r="P1" s="2162"/>
      <c r="Q1" s="2163" t="str">
        <f>"索引号："&amp;档案索引!A38</f>
        <v>索引号：2A-18</v>
      </c>
    </row>
    <row r="2" spans="1:19" ht="25.5" customHeight="1">
      <c r="A2" s="3401" t="s">
        <v>5926</v>
      </c>
      <c r="B2" s="3401"/>
      <c r="C2" s="3401"/>
      <c r="D2" s="3401"/>
      <c r="E2" s="3401"/>
      <c r="F2" s="3401"/>
      <c r="G2" s="3401"/>
      <c r="H2" s="3401"/>
      <c r="I2" s="3401"/>
      <c r="J2" s="3401"/>
      <c r="K2" s="3401"/>
      <c r="L2" s="3401"/>
      <c r="M2" s="3401"/>
      <c r="N2" s="3401"/>
      <c r="O2" s="3401"/>
      <c r="P2" s="3401"/>
      <c r="Q2" s="1856"/>
    </row>
    <row r="3" spans="1:19" s="1555" customFormat="1" ht="14.25" customHeight="1">
      <c r="A3" s="3413" t="s">
        <v>1853</v>
      </c>
      <c r="B3" s="3413" t="s">
        <v>1854</v>
      </c>
      <c r="C3" s="3414" t="s">
        <v>5234</v>
      </c>
      <c r="D3" s="3414" t="s">
        <v>5235</v>
      </c>
      <c r="E3" s="3416" t="s">
        <v>5236</v>
      </c>
      <c r="F3" s="3416"/>
      <c r="G3" s="3417" t="s">
        <v>5237</v>
      </c>
      <c r="H3" s="3418"/>
      <c r="I3" s="3418"/>
      <c r="J3" s="3418"/>
      <c r="K3" s="3419"/>
      <c r="L3" s="3416" t="s">
        <v>5238</v>
      </c>
      <c r="M3" s="3416"/>
      <c r="N3" s="3416" t="s">
        <v>5239</v>
      </c>
      <c r="O3" s="3416"/>
      <c r="P3" s="3416"/>
      <c r="Q3" s="3414" t="s">
        <v>5151</v>
      </c>
    </row>
    <row r="4" spans="1:19" s="1555" customFormat="1" ht="32.25" customHeight="1">
      <c r="A4" s="3413"/>
      <c r="B4" s="3413"/>
      <c r="C4" s="3415"/>
      <c r="D4" s="3415"/>
      <c r="E4" s="3416"/>
      <c r="F4" s="3416"/>
      <c r="G4" s="3421" t="s">
        <v>5240</v>
      </c>
      <c r="H4" s="3421" t="s">
        <v>5241</v>
      </c>
      <c r="I4" s="3421" t="s">
        <v>5242</v>
      </c>
      <c r="J4" s="3421" t="s">
        <v>5243</v>
      </c>
      <c r="K4" s="3421" t="s">
        <v>5244</v>
      </c>
      <c r="L4" s="3414" t="s">
        <v>5245</v>
      </c>
      <c r="M4" s="3414" t="s">
        <v>5246</v>
      </c>
      <c r="N4" s="3414" t="s">
        <v>5247</v>
      </c>
      <c r="O4" s="3414" t="s">
        <v>5248</v>
      </c>
      <c r="P4" s="3414" t="s">
        <v>5249</v>
      </c>
      <c r="Q4" s="3415"/>
    </row>
    <row r="5" spans="1:19" s="1555" customFormat="1" ht="30.75" customHeight="1">
      <c r="A5" s="3413"/>
      <c r="B5" s="3413"/>
      <c r="C5" s="3415"/>
      <c r="D5" s="3415"/>
      <c r="E5" s="1857" t="s">
        <v>2436</v>
      </c>
      <c r="F5" s="1857" t="s">
        <v>5250</v>
      </c>
      <c r="G5" s="3422"/>
      <c r="H5" s="3422"/>
      <c r="I5" s="3422"/>
      <c r="J5" s="3422"/>
      <c r="K5" s="3422"/>
      <c r="L5" s="3415"/>
      <c r="M5" s="3415"/>
      <c r="N5" s="3415"/>
      <c r="O5" s="3415"/>
      <c r="P5" s="3415"/>
      <c r="Q5" s="3415"/>
    </row>
    <row r="6" spans="1:19" s="1555" customFormat="1" ht="14.25" customHeight="1">
      <c r="A6" s="3413"/>
      <c r="B6" s="3413"/>
      <c r="C6" s="1858">
        <v>1</v>
      </c>
      <c r="D6" s="1858">
        <v>2</v>
      </c>
      <c r="E6" s="1858">
        <v>3</v>
      </c>
      <c r="F6" s="1858">
        <v>4</v>
      </c>
      <c r="G6" s="1858">
        <v>5</v>
      </c>
      <c r="H6" s="1858">
        <v>6</v>
      </c>
      <c r="I6" s="1858">
        <v>7</v>
      </c>
      <c r="J6" s="1858">
        <v>8</v>
      </c>
      <c r="K6" s="1858">
        <v>9</v>
      </c>
      <c r="L6" s="1858">
        <v>10</v>
      </c>
      <c r="M6" s="1858">
        <v>11</v>
      </c>
      <c r="N6" s="1858">
        <v>12</v>
      </c>
      <c r="O6" s="1858">
        <v>13</v>
      </c>
      <c r="P6" s="1858">
        <v>14</v>
      </c>
      <c r="Q6" s="1921"/>
    </row>
    <row r="7" spans="1:19" s="1559" customFormat="1" ht="14.25" customHeight="1">
      <c r="A7" s="1858">
        <v>1</v>
      </c>
      <c r="B7" s="1859" t="s">
        <v>6630</v>
      </c>
      <c r="C7" s="2054">
        <f>C8-1</f>
        <v>2011</v>
      </c>
      <c r="D7" s="2083"/>
      <c r="E7" s="2083"/>
      <c r="F7" s="2076"/>
      <c r="G7" s="2083"/>
      <c r="H7" s="2083"/>
      <c r="I7" s="2083"/>
      <c r="J7" s="2083"/>
      <c r="K7" s="2083"/>
      <c r="L7" s="2076"/>
      <c r="M7" s="2076"/>
      <c r="N7" s="2085">
        <f t="shared" ref="N7:N12" si="0">E7-SUM(G7:L7)</f>
        <v>0</v>
      </c>
      <c r="O7" s="2083"/>
      <c r="P7" s="2083"/>
      <c r="Q7" s="1969"/>
    </row>
    <row r="8" spans="1:19" s="1559" customFormat="1" ht="14.25" customHeight="1">
      <c r="A8" s="1858">
        <v>2</v>
      </c>
      <c r="B8" s="1859" t="s">
        <v>1348</v>
      </c>
      <c r="C8" s="2054">
        <f>C9-1</f>
        <v>2012</v>
      </c>
      <c r="D8" s="2083"/>
      <c r="E8" s="2083"/>
      <c r="F8" s="2083"/>
      <c r="G8" s="2052" t="s">
        <v>509</v>
      </c>
      <c r="H8" s="2083"/>
      <c r="I8" s="2083"/>
      <c r="J8" s="2083"/>
      <c r="K8" s="2083"/>
      <c r="L8" s="2083"/>
      <c r="M8" s="2083"/>
      <c r="N8" s="2085">
        <f t="shared" si="0"/>
        <v>0</v>
      </c>
      <c r="O8" s="2083"/>
      <c r="P8" s="2083"/>
      <c r="Q8" s="1969"/>
    </row>
    <row r="9" spans="1:19" ht="14.25" customHeight="1">
      <c r="A9" s="1858">
        <v>3</v>
      </c>
      <c r="B9" s="1859" t="s">
        <v>1349</v>
      </c>
      <c r="C9" s="2054">
        <f>C10-1</f>
        <v>2013</v>
      </c>
      <c r="D9" s="2083"/>
      <c r="E9" s="2083"/>
      <c r="F9" s="2083"/>
      <c r="G9" s="2052" t="s">
        <v>509</v>
      </c>
      <c r="H9" s="2052" t="s">
        <v>509</v>
      </c>
      <c r="I9" s="2083"/>
      <c r="J9" s="2083"/>
      <c r="K9" s="2083"/>
      <c r="L9" s="2083"/>
      <c r="M9" s="2083"/>
      <c r="N9" s="2085">
        <f t="shared" si="0"/>
        <v>0</v>
      </c>
      <c r="O9" s="2083"/>
      <c r="P9" s="2083"/>
      <c r="Q9" s="1969"/>
    </row>
    <row r="10" spans="1:19" ht="14.25" customHeight="1">
      <c r="A10" s="1858">
        <v>4</v>
      </c>
      <c r="B10" s="1859" t="s">
        <v>1350</v>
      </c>
      <c r="C10" s="2054">
        <f>C11-1</f>
        <v>2014</v>
      </c>
      <c r="D10" s="2083"/>
      <c r="E10" s="2083"/>
      <c r="F10" s="2083"/>
      <c r="G10" s="2052" t="s">
        <v>509</v>
      </c>
      <c r="H10" s="2052" t="s">
        <v>509</v>
      </c>
      <c r="I10" s="2052" t="s">
        <v>509</v>
      </c>
      <c r="J10" s="2083"/>
      <c r="K10" s="2083"/>
      <c r="L10" s="2083"/>
      <c r="M10" s="2083"/>
      <c r="N10" s="2085">
        <f t="shared" si="0"/>
        <v>0</v>
      </c>
      <c r="O10" s="2083"/>
      <c r="P10" s="2083"/>
      <c r="Q10" s="1969"/>
    </row>
    <row r="11" spans="1:19" ht="14.25" customHeight="1">
      <c r="A11" s="1858">
        <v>5</v>
      </c>
      <c r="B11" s="1859" t="s">
        <v>1351</v>
      </c>
      <c r="C11" s="2054">
        <f>C12-1</f>
        <v>2015</v>
      </c>
      <c r="D11" s="2083"/>
      <c r="E11" s="2076"/>
      <c r="F11" s="2076"/>
      <c r="G11" s="2052" t="s">
        <v>509</v>
      </c>
      <c r="H11" s="2052" t="s">
        <v>509</v>
      </c>
      <c r="I11" s="2052" t="s">
        <v>509</v>
      </c>
      <c r="J11" s="2052" t="s">
        <v>509</v>
      </c>
      <c r="K11" s="2076"/>
      <c r="L11" s="2076"/>
      <c r="M11" s="2076"/>
      <c r="N11" s="2085">
        <f t="shared" si="0"/>
        <v>0</v>
      </c>
      <c r="O11" s="2076"/>
      <c r="P11" s="2083"/>
      <c r="Q11" s="1969"/>
      <c r="R11" s="1675" t="s">
        <v>6439</v>
      </c>
    </row>
    <row r="12" spans="1:19" ht="14.25" customHeight="1">
      <c r="A12" s="1858">
        <v>6</v>
      </c>
      <c r="B12" s="1859" t="s">
        <v>5252</v>
      </c>
      <c r="C12" s="2054">
        <f>本年度</f>
        <v>2016</v>
      </c>
      <c r="D12" s="2083"/>
      <c r="E12" s="2076"/>
      <c r="F12" s="2076"/>
      <c r="G12" s="2052" t="s">
        <v>509</v>
      </c>
      <c r="H12" s="2052" t="s">
        <v>509</v>
      </c>
      <c r="I12" s="2052" t="s">
        <v>509</v>
      </c>
      <c r="J12" s="2052" t="s">
        <v>509</v>
      </c>
      <c r="K12" s="2052" t="s">
        <v>509</v>
      </c>
      <c r="L12" s="2076"/>
      <c r="M12" s="2076"/>
      <c r="N12" s="2085">
        <f t="shared" si="0"/>
        <v>0</v>
      </c>
      <c r="O12" s="2076"/>
      <c r="P12" s="2083"/>
      <c r="Q12" s="1969"/>
    </row>
    <row r="13" spans="1:19" s="1559" customFormat="1" ht="19.5" customHeight="1">
      <c r="A13" s="1860">
        <v>7</v>
      </c>
      <c r="B13" s="1861" t="s">
        <v>5253</v>
      </c>
      <c r="C13" s="1924" t="s">
        <v>1859</v>
      </c>
      <c r="D13" s="2078">
        <f>SUM(D7:D12)</f>
        <v>0</v>
      </c>
      <c r="E13" s="2084">
        <f>SUM(E7:E12)</f>
        <v>0</v>
      </c>
      <c r="F13" s="2084">
        <f>SUM(F7:F12)</f>
        <v>0</v>
      </c>
      <c r="G13" s="2053" t="s">
        <v>509</v>
      </c>
      <c r="H13" s="2053" t="s">
        <v>509</v>
      </c>
      <c r="I13" s="2053" t="s">
        <v>509</v>
      </c>
      <c r="J13" s="2053" t="s">
        <v>509</v>
      </c>
      <c r="K13" s="2053" t="s">
        <v>509</v>
      </c>
      <c r="L13" s="2078">
        <f>SUM(L7:L12)</f>
        <v>0</v>
      </c>
      <c r="M13" s="2078">
        <f>SUM(M7:M12)</f>
        <v>0</v>
      </c>
      <c r="N13" s="2074"/>
      <c r="O13" s="2074"/>
      <c r="P13" s="2074"/>
      <c r="Q13" s="1861" t="s">
        <v>5254</v>
      </c>
    </row>
    <row r="14" spans="1:19" s="1560" customFormat="1" ht="14.25" customHeight="1">
      <c r="A14" s="2176"/>
      <c r="B14" s="2176"/>
      <c r="C14" s="2176"/>
      <c r="D14" s="2176"/>
      <c r="E14" s="2176"/>
      <c r="F14" s="2176"/>
      <c r="G14" s="2176"/>
      <c r="H14" s="2176"/>
      <c r="I14" s="2176"/>
      <c r="J14" s="2176"/>
      <c r="K14" s="2176"/>
      <c r="L14" s="2176"/>
      <c r="M14" s="2176"/>
      <c r="N14" s="2176"/>
      <c r="O14" s="2176"/>
      <c r="P14" s="2176"/>
      <c r="Q14" s="1992"/>
      <c r="R14" s="1558"/>
      <c r="S14" s="1558"/>
    </row>
    <row r="15" spans="1:19">
      <c r="A15" s="3420"/>
      <c r="B15" s="3420"/>
      <c r="C15" s="3420"/>
      <c r="D15" s="3420"/>
      <c r="E15" s="3420"/>
      <c r="F15" s="3420"/>
      <c r="G15" s="3420"/>
      <c r="H15" s="3420"/>
      <c r="I15" s="3420"/>
      <c r="J15" s="3420"/>
      <c r="K15" s="3420"/>
      <c r="L15" s="3420"/>
      <c r="M15" s="3420"/>
      <c r="N15" s="3420"/>
      <c r="O15" s="3420"/>
      <c r="P15" s="3420"/>
      <c r="Q15" s="3420"/>
    </row>
    <row r="16" spans="1:19">
      <c r="A16" s="3420"/>
      <c r="B16" s="3420"/>
      <c r="C16" s="3420"/>
      <c r="D16" s="3420"/>
      <c r="E16" s="3420"/>
      <c r="F16" s="3420"/>
      <c r="G16" s="3420"/>
      <c r="H16" s="3420"/>
      <c r="I16" s="3420"/>
      <c r="J16" s="3420"/>
      <c r="K16" s="3420"/>
      <c r="L16" s="3420"/>
      <c r="M16" s="3420"/>
      <c r="N16" s="3420"/>
      <c r="O16" s="3420"/>
      <c r="P16" s="3420"/>
      <c r="Q16" s="3420"/>
    </row>
    <row r="17" spans="1:17">
      <c r="A17" s="3420"/>
      <c r="B17" s="3420"/>
      <c r="C17" s="3420"/>
      <c r="D17" s="3420"/>
      <c r="E17" s="3420"/>
      <c r="F17" s="3420"/>
      <c r="G17" s="3420"/>
      <c r="H17" s="3420"/>
      <c r="I17" s="3420"/>
      <c r="J17" s="3420"/>
      <c r="K17" s="3420"/>
      <c r="L17" s="3420"/>
      <c r="M17" s="3420"/>
      <c r="N17" s="3420"/>
      <c r="O17" s="3420"/>
      <c r="P17" s="3420"/>
      <c r="Q17" s="3420"/>
    </row>
  </sheetData>
  <mergeCells count="23">
    <mergeCell ref="A15:Q15"/>
    <mergeCell ref="A16:Q16"/>
    <mergeCell ref="A17:Q17"/>
    <mergeCell ref="Q3:Q5"/>
    <mergeCell ref="G4:G5"/>
    <mergeCell ref="H4:H5"/>
    <mergeCell ref="I4:I5"/>
    <mergeCell ref="J4:J5"/>
    <mergeCell ref="K4:K5"/>
    <mergeCell ref="L4:L5"/>
    <mergeCell ref="M4:M5"/>
    <mergeCell ref="N4:N5"/>
    <mergeCell ref="O4:O5"/>
    <mergeCell ref="A2:P2"/>
    <mergeCell ref="A3:A6"/>
    <mergeCell ref="B3:B6"/>
    <mergeCell ref="C3:C5"/>
    <mergeCell ref="D3:D5"/>
    <mergeCell ref="E3:F4"/>
    <mergeCell ref="G3:K3"/>
    <mergeCell ref="L3:M3"/>
    <mergeCell ref="N3:P3"/>
    <mergeCell ref="P4:P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A18" sqref="A18"/>
    </sheetView>
  </sheetViews>
  <sheetFormatPr defaultRowHeight="15.6"/>
  <cols>
    <col min="1" max="1" width="4.19921875" style="1532" customWidth="1"/>
    <col min="2" max="2" width="8.19921875" style="2000" customWidth="1"/>
    <col min="3" max="3" width="15.59765625" style="1532" customWidth="1"/>
    <col min="4" max="8" width="9" style="1532" customWidth="1"/>
    <col min="9" max="9" width="9" style="1537" customWidth="1"/>
    <col min="10" max="13" width="9" style="1532" customWidth="1"/>
    <col min="14" max="15" width="9" style="2000" customWidth="1"/>
    <col min="16" max="16" width="9" style="1532" customWidth="1"/>
    <col min="17" max="17" width="9" style="2000" customWidth="1"/>
    <col min="18" max="21" width="9" style="1532" customWidth="1"/>
    <col min="22" max="22" width="7.19921875" style="1532" customWidth="1"/>
    <col min="23" max="23" width="19.8984375" style="1532" customWidth="1"/>
    <col min="24" max="255" width="9" style="1532"/>
    <col min="256" max="256" width="4.19921875" style="1532" customWidth="1"/>
    <col min="257" max="257" width="29.5" style="1532" customWidth="1"/>
    <col min="258" max="272" width="4.5" style="1532" customWidth="1"/>
    <col min="273" max="273" width="3.8984375" style="1532" customWidth="1"/>
    <col min="274" max="274" width="4" style="1532" customWidth="1"/>
    <col min="275" max="275" width="4.3984375" style="1532" customWidth="1"/>
    <col min="276" max="276" width="4.5" style="1532" customWidth="1"/>
    <col min="277" max="277" width="3.8984375" style="1532" customWidth="1"/>
    <col min="278" max="278" width="16.09765625" style="1532" customWidth="1"/>
    <col min="279" max="279" width="19.8984375" style="1532" customWidth="1"/>
    <col min="280" max="511" width="9" style="1532"/>
    <col min="512" max="512" width="4.19921875" style="1532" customWidth="1"/>
    <col min="513" max="513" width="29.5" style="1532" customWidth="1"/>
    <col min="514" max="528" width="4.5" style="1532" customWidth="1"/>
    <col min="529" max="529" width="3.8984375" style="1532" customWidth="1"/>
    <col min="530" max="530" width="4" style="1532" customWidth="1"/>
    <col min="531" max="531" width="4.3984375" style="1532" customWidth="1"/>
    <col min="532" max="532" width="4.5" style="1532" customWidth="1"/>
    <col min="533" max="533" width="3.8984375" style="1532" customWidth="1"/>
    <col min="534" max="534" width="16.09765625" style="1532" customWidth="1"/>
    <col min="535" max="535" width="19.8984375" style="1532" customWidth="1"/>
    <col min="536" max="767" width="9" style="1532"/>
    <col min="768" max="768" width="4.19921875" style="1532" customWidth="1"/>
    <col min="769" max="769" width="29.5" style="1532" customWidth="1"/>
    <col min="770" max="784" width="4.5" style="1532" customWidth="1"/>
    <col min="785" max="785" width="3.8984375" style="1532" customWidth="1"/>
    <col min="786" max="786" width="4" style="1532" customWidth="1"/>
    <col min="787" max="787" width="4.3984375" style="1532" customWidth="1"/>
    <col min="788" max="788" width="4.5" style="1532" customWidth="1"/>
    <col min="789" max="789" width="3.8984375" style="1532" customWidth="1"/>
    <col min="790" max="790" width="16.09765625" style="1532" customWidth="1"/>
    <col min="791" max="791" width="19.8984375" style="1532" customWidth="1"/>
    <col min="792" max="1023" width="9" style="1532"/>
    <col min="1024" max="1024" width="4.19921875" style="1532" customWidth="1"/>
    <col min="1025" max="1025" width="29.5" style="1532" customWidth="1"/>
    <col min="1026" max="1040" width="4.5" style="1532" customWidth="1"/>
    <col min="1041" max="1041" width="3.8984375" style="1532" customWidth="1"/>
    <col min="1042" max="1042" width="4" style="1532" customWidth="1"/>
    <col min="1043" max="1043" width="4.3984375" style="1532" customWidth="1"/>
    <col min="1044" max="1044" width="4.5" style="1532" customWidth="1"/>
    <col min="1045" max="1045" width="3.8984375" style="1532" customWidth="1"/>
    <col min="1046" max="1046" width="16.09765625" style="1532" customWidth="1"/>
    <col min="1047" max="1047" width="19.8984375" style="1532" customWidth="1"/>
    <col min="1048" max="1279" width="9" style="1532"/>
    <col min="1280" max="1280" width="4.19921875" style="1532" customWidth="1"/>
    <col min="1281" max="1281" width="29.5" style="1532" customWidth="1"/>
    <col min="1282" max="1296" width="4.5" style="1532" customWidth="1"/>
    <col min="1297" max="1297" width="3.8984375" style="1532" customWidth="1"/>
    <col min="1298" max="1298" width="4" style="1532" customWidth="1"/>
    <col min="1299" max="1299" width="4.3984375" style="1532" customWidth="1"/>
    <col min="1300" max="1300" width="4.5" style="1532" customWidth="1"/>
    <col min="1301" max="1301" width="3.8984375" style="1532" customWidth="1"/>
    <col min="1302" max="1302" width="16.09765625" style="1532" customWidth="1"/>
    <col min="1303" max="1303" width="19.8984375" style="1532" customWidth="1"/>
    <col min="1304" max="1535" width="9" style="1532"/>
    <col min="1536" max="1536" width="4.19921875" style="1532" customWidth="1"/>
    <col min="1537" max="1537" width="29.5" style="1532" customWidth="1"/>
    <col min="1538" max="1552" width="4.5" style="1532" customWidth="1"/>
    <col min="1553" max="1553" width="3.8984375" style="1532" customWidth="1"/>
    <col min="1554" max="1554" width="4" style="1532" customWidth="1"/>
    <col min="1555" max="1555" width="4.3984375" style="1532" customWidth="1"/>
    <col min="1556" max="1556" width="4.5" style="1532" customWidth="1"/>
    <col min="1557" max="1557" width="3.8984375" style="1532" customWidth="1"/>
    <col min="1558" max="1558" width="16.09765625" style="1532" customWidth="1"/>
    <col min="1559" max="1559" width="19.8984375" style="1532" customWidth="1"/>
    <col min="1560" max="1791" width="9" style="1532"/>
    <col min="1792" max="1792" width="4.19921875" style="1532" customWidth="1"/>
    <col min="1793" max="1793" width="29.5" style="1532" customWidth="1"/>
    <col min="1794" max="1808" width="4.5" style="1532" customWidth="1"/>
    <col min="1809" max="1809" width="3.8984375" style="1532" customWidth="1"/>
    <col min="1810" max="1810" width="4" style="1532" customWidth="1"/>
    <col min="1811" max="1811" width="4.3984375" style="1532" customWidth="1"/>
    <col min="1812" max="1812" width="4.5" style="1532" customWidth="1"/>
    <col min="1813" max="1813" width="3.8984375" style="1532" customWidth="1"/>
    <col min="1814" max="1814" width="16.09765625" style="1532" customWidth="1"/>
    <col min="1815" max="1815" width="19.8984375" style="1532" customWidth="1"/>
    <col min="1816" max="2047" width="9" style="1532"/>
    <col min="2048" max="2048" width="4.19921875" style="1532" customWidth="1"/>
    <col min="2049" max="2049" width="29.5" style="1532" customWidth="1"/>
    <col min="2050" max="2064" width="4.5" style="1532" customWidth="1"/>
    <col min="2065" max="2065" width="3.8984375" style="1532" customWidth="1"/>
    <col min="2066" max="2066" width="4" style="1532" customWidth="1"/>
    <col min="2067" max="2067" width="4.3984375" style="1532" customWidth="1"/>
    <col min="2068" max="2068" width="4.5" style="1532" customWidth="1"/>
    <col min="2069" max="2069" width="3.8984375" style="1532" customWidth="1"/>
    <col min="2070" max="2070" width="16.09765625" style="1532" customWidth="1"/>
    <col min="2071" max="2071" width="19.8984375" style="1532" customWidth="1"/>
    <col min="2072" max="2303" width="9" style="1532"/>
    <col min="2304" max="2304" width="4.19921875" style="1532" customWidth="1"/>
    <col min="2305" max="2305" width="29.5" style="1532" customWidth="1"/>
    <col min="2306" max="2320" width="4.5" style="1532" customWidth="1"/>
    <col min="2321" max="2321" width="3.8984375" style="1532" customWidth="1"/>
    <col min="2322" max="2322" width="4" style="1532" customWidth="1"/>
    <col min="2323" max="2323" width="4.3984375" style="1532" customWidth="1"/>
    <col min="2324" max="2324" width="4.5" style="1532" customWidth="1"/>
    <col min="2325" max="2325" width="3.8984375" style="1532" customWidth="1"/>
    <col min="2326" max="2326" width="16.09765625" style="1532" customWidth="1"/>
    <col min="2327" max="2327" width="19.8984375" style="1532" customWidth="1"/>
    <col min="2328" max="2559" width="9" style="1532"/>
    <col min="2560" max="2560" width="4.19921875" style="1532" customWidth="1"/>
    <col min="2561" max="2561" width="29.5" style="1532" customWidth="1"/>
    <col min="2562" max="2576" width="4.5" style="1532" customWidth="1"/>
    <col min="2577" max="2577" width="3.8984375" style="1532" customWidth="1"/>
    <col min="2578" max="2578" width="4" style="1532" customWidth="1"/>
    <col min="2579" max="2579" width="4.3984375" style="1532" customWidth="1"/>
    <col min="2580" max="2580" width="4.5" style="1532" customWidth="1"/>
    <col min="2581" max="2581" width="3.8984375" style="1532" customWidth="1"/>
    <col min="2582" max="2582" width="16.09765625" style="1532" customWidth="1"/>
    <col min="2583" max="2583" width="19.8984375" style="1532" customWidth="1"/>
    <col min="2584" max="2815" width="9" style="1532"/>
    <col min="2816" max="2816" width="4.19921875" style="1532" customWidth="1"/>
    <col min="2817" max="2817" width="29.5" style="1532" customWidth="1"/>
    <col min="2818" max="2832" width="4.5" style="1532" customWidth="1"/>
    <col min="2833" max="2833" width="3.8984375" style="1532" customWidth="1"/>
    <col min="2834" max="2834" width="4" style="1532" customWidth="1"/>
    <col min="2835" max="2835" width="4.3984375" style="1532" customWidth="1"/>
    <col min="2836" max="2836" width="4.5" style="1532" customWidth="1"/>
    <col min="2837" max="2837" width="3.8984375" style="1532" customWidth="1"/>
    <col min="2838" max="2838" width="16.09765625" style="1532" customWidth="1"/>
    <col min="2839" max="2839" width="19.8984375" style="1532" customWidth="1"/>
    <col min="2840" max="3071" width="9" style="1532"/>
    <col min="3072" max="3072" width="4.19921875" style="1532" customWidth="1"/>
    <col min="3073" max="3073" width="29.5" style="1532" customWidth="1"/>
    <col min="3074" max="3088" width="4.5" style="1532" customWidth="1"/>
    <col min="3089" max="3089" width="3.8984375" style="1532" customWidth="1"/>
    <col min="3090" max="3090" width="4" style="1532" customWidth="1"/>
    <col min="3091" max="3091" width="4.3984375" style="1532" customWidth="1"/>
    <col min="3092" max="3092" width="4.5" style="1532" customWidth="1"/>
    <col min="3093" max="3093" width="3.8984375" style="1532" customWidth="1"/>
    <col min="3094" max="3094" width="16.09765625" style="1532" customWidth="1"/>
    <col min="3095" max="3095" width="19.8984375" style="1532" customWidth="1"/>
    <col min="3096" max="3327" width="9" style="1532"/>
    <col min="3328" max="3328" width="4.19921875" style="1532" customWidth="1"/>
    <col min="3329" max="3329" width="29.5" style="1532" customWidth="1"/>
    <col min="3330" max="3344" width="4.5" style="1532" customWidth="1"/>
    <col min="3345" max="3345" width="3.8984375" style="1532" customWidth="1"/>
    <col min="3346" max="3346" width="4" style="1532" customWidth="1"/>
    <col min="3347" max="3347" width="4.3984375" style="1532" customWidth="1"/>
    <col min="3348" max="3348" width="4.5" style="1532" customWidth="1"/>
    <col min="3349" max="3349" width="3.8984375" style="1532" customWidth="1"/>
    <col min="3350" max="3350" width="16.09765625" style="1532" customWidth="1"/>
    <col min="3351" max="3351" width="19.8984375" style="1532" customWidth="1"/>
    <col min="3352" max="3583" width="9" style="1532"/>
    <col min="3584" max="3584" width="4.19921875" style="1532" customWidth="1"/>
    <col min="3585" max="3585" width="29.5" style="1532" customWidth="1"/>
    <col min="3586" max="3600" width="4.5" style="1532" customWidth="1"/>
    <col min="3601" max="3601" width="3.8984375" style="1532" customWidth="1"/>
    <col min="3602" max="3602" width="4" style="1532" customWidth="1"/>
    <col min="3603" max="3603" width="4.3984375" style="1532" customWidth="1"/>
    <col min="3604" max="3604" width="4.5" style="1532" customWidth="1"/>
    <col min="3605" max="3605" width="3.8984375" style="1532" customWidth="1"/>
    <col min="3606" max="3606" width="16.09765625" style="1532" customWidth="1"/>
    <col min="3607" max="3607" width="19.8984375" style="1532" customWidth="1"/>
    <col min="3608" max="3839" width="9" style="1532"/>
    <col min="3840" max="3840" width="4.19921875" style="1532" customWidth="1"/>
    <col min="3841" max="3841" width="29.5" style="1532" customWidth="1"/>
    <col min="3842" max="3856" width="4.5" style="1532" customWidth="1"/>
    <col min="3857" max="3857" width="3.8984375" style="1532" customWidth="1"/>
    <col min="3858" max="3858" width="4" style="1532" customWidth="1"/>
    <col min="3859" max="3859" width="4.3984375" style="1532" customWidth="1"/>
    <col min="3860" max="3860" width="4.5" style="1532" customWidth="1"/>
    <col min="3861" max="3861" width="3.8984375" style="1532" customWidth="1"/>
    <col min="3862" max="3862" width="16.09765625" style="1532" customWidth="1"/>
    <col min="3863" max="3863" width="19.8984375" style="1532" customWidth="1"/>
    <col min="3864" max="4095" width="9" style="1532"/>
    <col min="4096" max="4096" width="4.19921875" style="1532" customWidth="1"/>
    <col min="4097" max="4097" width="29.5" style="1532" customWidth="1"/>
    <col min="4098" max="4112" width="4.5" style="1532" customWidth="1"/>
    <col min="4113" max="4113" width="3.8984375" style="1532" customWidth="1"/>
    <col min="4114" max="4114" width="4" style="1532" customWidth="1"/>
    <col min="4115" max="4115" width="4.3984375" style="1532" customWidth="1"/>
    <col min="4116" max="4116" width="4.5" style="1532" customWidth="1"/>
    <col min="4117" max="4117" width="3.8984375" style="1532" customWidth="1"/>
    <col min="4118" max="4118" width="16.09765625" style="1532" customWidth="1"/>
    <col min="4119" max="4119" width="19.8984375" style="1532" customWidth="1"/>
    <col min="4120" max="4351" width="9" style="1532"/>
    <col min="4352" max="4352" width="4.19921875" style="1532" customWidth="1"/>
    <col min="4353" max="4353" width="29.5" style="1532" customWidth="1"/>
    <col min="4354" max="4368" width="4.5" style="1532" customWidth="1"/>
    <col min="4369" max="4369" width="3.8984375" style="1532" customWidth="1"/>
    <col min="4370" max="4370" width="4" style="1532" customWidth="1"/>
    <col min="4371" max="4371" width="4.3984375" style="1532" customWidth="1"/>
    <col min="4372" max="4372" width="4.5" style="1532" customWidth="1"/>
    <col min="4373" max="4373" width="3.8984375" style="1532" customWidth="1"/>
    <col min="4374" max="4374" width="16.09765625" style="1532" customWidth="1"/>
    <col min="4375" max="4375" width="19.8984375" style="1532" customWidth="1"/>
    <col min="4376" max="4607" width="9" style="1532"/>
    <col min="4608" max="4608" width="4.19921875" style="1532" customWidth="1"/>
    <col min="4609" max="4609" width="29.5" style="1532" customWidth="1"/>
    <col min="4610" max="4624" width="4.5" style="1532" customWidth="1"/>
    <col min="4625" max="4625" width="3.8984375" style="1532" customWidth="1"/>
    <col min="4626" max="4626" width="4" style="1532" customWidth="1"/>
    <col min="4627" max="4627" width="4.3984375" style="1532" customWidth="1"/>
    <col min="4628" max="4628" width="4.5" style="1532" customWidth="1"/>
    <col min="4629" max="4629" width="3.8984375" style="1532" customWidth="1"/>
    <col min="4630" max="4630" width="16.09765625" style="1532" customWidth="1"/>
    <col min="4631" max="4631" width="19.8984375" style="1532" customWidth="1"/>
    <col min="4632" max="4863" width="9" style="1532"/>
    <col min="4864" max="4864" width="4.19921875" style="1532" customWidth="1"/>
    <col min="4865" max="4865" width="29.5" style="1532" customWidth="1"/>
    <col min="4866" max="4880" width="4.5" style="1532" customWidth="1"/>
    <col min="4881" max="4881" width="3.8984375" style="1532" customWidth="1"/>
    <col min="4882" max="4882" width="4" style="1532" customWidth="1"/>
    <col min="4883" max="4883" width="4.3984375" style="1532" customWidth="1"/>
    <col min="4884" max="4884" width="4.5" style="1532" customWidth="1"/>
    <col min="4885" max="4885" width="3.8984375" style="1532" customWidth="1"/>
    <col min="4886" max="4886" width="16.09765625" style="1532" customWidth="1"/>
    <col min="4887" max="4887" width="19.8984375" style="1532" customWidth="1"/>
    <col min="4888" max="5119" width="9" style="1532"/>
    <col min="5120" max="5120" width="4.19921875" style="1532" customWidth="1"/>
    <col min="5121" max="5121" width="29.5" style="1532" customWidth="1"/>
    <col min="5122" max="5136" width="4.5" style="1532" customWidth="1"/>
    <col min="5137" max="5137" width="3.8984375" style="1532" customWidth="1"/>
    <col min="5138" max="5138" width="4" style="1532" customWidth="1"/>
    <col min="5139" max="5139" width="4.3984375" style="1532" customWidth="1"/>
    <col min="5140" max="5140" width="4.5" style="1532" customWidth="1"/>
    <col min="5141" max="5141" width="3.8984375" style="1532" customWidth="1"/>
    <col min="5142" max="5142" width="16.09765625" style="1532" customWidth="1"/>
    <col min="5143" max="5143" width="19.8984375" style="1532" customWidth="1"/>
    <col min="5144" max="5375" width="9" style="1532"/>
    <col min="5376" max="5376" width="4.19921875" style="1532" customWidth="1"/>
    <col min="5377" max="5377" width="29.5" style="1532" customWidth="1"/>
    <col min="5378" max="5392" width="4.5" style="1532" customWidth="1"/>
    <col min="5393" max="5393" width="3.8984375" style="1532" customWidth="1"/>
    <col min="5394" max="5394" width="4" style="1532" customWidth="1"/>
    <col min="5395" max="5395" width="4.3984375" style="1532" customWidth="1"/>
    <col min="5396" max="5396" width="4.5" style="1532" customWidth="1"/>
    <col min="5397" max="5397" width="3.8984375" style="1532" customWidth="1"/>
    <col min="5398" max="5398" width="16.09765625" style="1532" customWidth="1"/>
    <col min="5399" max="5399" width="19.8984375" style="1532" customWidth="1"/>
    <col min="5400" max="5631" width="9" style="1532"/>
    <col min="5632" max="5632" width="4.19921875" style="1532" customWidth="1"/>
    <col min="5633" max="5633" width="29.5" style="1532" customWidth="1"/>
    <col min="5634" max="5648" width="4.5" style="1532" customWidth="1"/>
    <col min="5649" max="5649" width="3.8984375" style="1532" customWidth="1"/>
    <col min="5650" max="5650" width="4" style="1532" customWidth="1"/>
    <col min="5651" max="5651" width="4.3984375" style="1532" customWidth="1"/>
    <col min="5652" max="5652" width="4.5" style="1532" customWidth="1"/>
    <col min="5653" max="5653" width="3.8984375" style="1532" customWidth="1"/>
    <col min="5654" max="5654" width="16.09765625" style="1532" customWidth="1"/>
    <col min="5655" max="5655" width="19.8984375" style="1532" customWidth="1"/>
    <col min="5656" max="5887" width="9" style="1532"/>
    <col min="5888" max="5888" width="4.19921875" style="1532" customWidth="1"/>
    <col min="5889" max="5889" width="29.5" style="1532" customWidth="1"/>
    <col min="5890" max="5904" width="4.5" style="1532" customWidth="1"/>
    <col min="5905" max="5905" width="3.8984375" style="1532" customWidth="1"/>
    <col min="5906" max="5906" width="4" style="1532" customWidth="1"/>
    <col min="5907" max="5907" width="4.3984375" style="1532" customWidth="1"/>
    <col min="5908" max="5908" width="4.5" style="1532" customWidth="1"/>
    <col min="5909" max="5909" width="3.8984375" style="1532" customWidth="1"/>
    <col min="5910" max="5910" width="16.09765625" style="1532" customWidth="1"/>
    <col min="5911" max="5911" width="19.8984375" style="1532" customWidth="1"/>
    <col min="5912" max="6143" width="9" style="1532"/>
    <col min="6144" max="6144" width="4.19921875" style="1532" customWidth="1"/>
    <col min="6145" max="6145" width="29.5" style="1532" customWidth="1"/>
    <col min="6146" max="6160" width="4.5" style="1532" customWidth="1"/>
    <col min="6161" max="6161" width="3.8984375" style="1532" customWidth="1"/>
    <col min="6162" max="6162" width="4" style="1532" customWidth="1"/>
    <col min="6163" max="6163" width="4.3984375" style="1532" customWidth="1"/>
    <col min="6164" max="6164" width="4.5" style="1532" customWidth="1"/>
    <col min="6165" max="6165" width="3.8984375" style="1532" customWidth="1"/>
    <col min="6166" max="6166" width="16.09765625" style="1532" customWidth="1"/>
    <col min="6167" max="6167" width="19.8984375" style="1532" customWidth="1"/>
    <col min="6168" max="6399" width="9" style="1532"/>
    <col min="6400" max="6400" width="4.19921875" style="1532" customWidth="1"/>
    <col min="6401" max="6401" width="29.5" style="1532" customWidth="1"/>
    <col min="6402" max="6416" width="4.5" style="1532" customWidth="1"/>
    <col min="6417" max="6417" width="3.8984375" style="1532" customWidth="1"/>
    <col min="6418" max="6418" width="4" style="1532" customWidth="1"/>
    <col min="6419" max="6419" width="4.3984375" style="1532" customWidth="1"/>
    <col min="6420" max="6420" width="4.5" style="1532" customWidth="1"/>
    <col min="6421" max="6421" width="3.8984375" style="1532" customWidth="1"/>
    <col min="6422" max="6422" width="16.09765625" style="1532" customWidth="1"/>
    <col min="6423" max="6423" width="19.8984375" style="1532" customWidth="1"/>
    <col min="6424" max="6655" width="9" style="1532"/>
    <col min="6656" max="6656" width="4.19921875" style="1532" customWidth="1"/>
    <col min="6657" max="6657" width="29.5" style="1532" customWidth="1"/>
    <col min="6658" max="6672" width="4.5" style="1532" customWidth="1"/>
    <col min="6673" max="6673" width="3.8984375" style="1532" customWidth="1"/>
    <col min="6674" max="6674" width="4" style="1532" customWidth="1"/>
    <col min="6675" max="6675" width="4.3984375" style="1532" customWidth="1"/>
    <col min="6676" max="6676" width="4.5" style="1532" customWidth="1"/>
    <col min="6677" max="6677" width="3.8984375" style="1532" customWidth="1"/>
    <col min="6678" max="6678" width="16.09765625" style="1532" customWidth="1"/>
    <col min="6679" max="6679" width="19.8984375" style="1532" customWidth="1"/>
    <col min="6680" max="6911" width="9" style="1532"/>
    <col min="6912" max="6912" width="4.19921875" style="1532" customWidth="1"/>
    <col min="6913" max="6913" width="29.5" style="1532" customWidth="1"/>
    <col min="6914" max="6928" width="4.5" style="1532" customWidth="1"/>
    <col min="6929" max="6929" width="3.8984375" style="1532" customWidth="1"/>
    <col min="6930" max="6930" width="4" style="1532" customWidth="1"/>
    <col min="6931" max="6931" width="4.3984375" style="1532" customWidth="1"/>
    <col min="6932" max="6932" width="4.5" style="1532" customWidth="1"/>
    <col min="6933" max="6933" width="3.8984375" style="1532" customWidth="1"/>
    <col min="6934" max="6934" width="16.09765625" style="1532" customWidth="1"/>
    <col min="6935" max="6935" width="19.8984375" style="1532" customWidth="1"/>
    <col min="6936" max="7167" width="9" style="1532"/>
    <col min="7168" max="7168" width="4.19921875" style="1532" customWidth="1"/>
    <col min="7169" max="7169" width="29.5" style="1532" customWidth="1"/>
    <col min="7170" max="7184" width="4.5" style="1532" customWidth="1"/>
    <col min="7185" max="7185" width="3.8984375" style="1532" customWidth="1"/>
    <col min="7186" max="7186" width="4" style="1532" customWidth="1"/>
    <col min="7187" max="7187" width="4.3984375" style="1532" customWidth="1"/>
    <col min="7188" max="7188" width="4.5" style="1532" customWidth="1"/>
    <col min="7189" max="7189" width="3.8984375" style="1532" customWidth="1"/>
    <col min="7190" max="7190" width="16.09765625" style="1532" customWidth="1"/>
    <col min="7191" max="7191" width="19.8984375" style="1532" customWidth="1"/>
    <col min="7192" max="7423" width="9" style="1532"/>
    <col min="7424" max="7424" width="4.19921875" style="1532" customWidth="1"/>
    <col min="7425" max="7425" width="29.5" style="1532" customWidth="1"/>
    <col min="7426" max="7440" width="4.5" style="1532" customWidth="1"/>
    <col min="7441" max="7441" width="3.8984375" style="1532" customWidth="1"/>
    <col min="7442" max="7442" width="4" style="1532" customWidth="1"/>
    <col min="7443" max="7443" width="4.3984375" style="1532" customWidth="1"/>
    <col min="7444" max="7444" width="4.5" style="1532" customWidth="1"/>
    <col min="7445" max="7445" width="3.8984375" style="1532" customWidth="1"/>
    <col min="7446" max="7446" width="16.09765625" style="1532" customWidth="1"/>
    <col min="7447" max="7447" width="19.8984375" style="1532" customWidth="1"/>
    <col min="7448" max="7679" width="9" style="1532"/>
    <col min="7680" max="7680" width="4.19921875" style="1532" customWidth="1"/>
    <col min="7681" max="7681" width="29.5" style="1532" customWidth="1"/>
    <col min="7682" max="7696" width="4.5" style="1532" customWidth="1"/>
    <col min="7697" max="7697" width="3.8984375" style="1532" customWidth="1"/>
    <col min="7698" max="7698" width="4" style="1532" customWidth="1"/>
    <col min="7699" max="7699" width="4.3984375" style="1532" customWidth="1"/>
    <col min="7700" max="7700" width="4.5" style="1532" customWidth="1"/>
    <col min="7701" max="7701" width="3.8984375" style="1532" customWidth="1"/>
    <col min="7702" max="7702" width="16.09765625" style="1532" customWidth="1"/>
    <col min="7703" max="7703" width="19.8984375" style="1532" customWidth="1"/>
    <col min="7704" max="7935" width="9" style="1532"/>
    <col min="7936" max="7936" width="4.19921875" style="1532" customWidth="1"/>
    <col min="7937" max="7937" width="29.5" style="1532" customWidth="1"/>
    <col min="7938" max="7952" width="4.5" style="1532" customWidth="1"/>
    <col min="7953" max="7953" width="3.8984375" style="1532" customWidth="1"/>
    <col min="7954" max="7954" width="4" style="1532" customWidth="1"/>
    <col min="7955" max="7955" width="4.3984375" style="1532" customWidth="1"/>
    <col min="7956" max="7956" width="4.5" style="1532" customWidth="1"/>
    <col min="7957" max="7957" width="3.8984375" style="1532" customWidth="1"/>
    <col min="7958" max="7958" width="16.09765625" style="1532" customWidth="1"/>
    <col min="7959" max="7959" width="19.8984375" style="1532" customWidth="1"/>
    <col min="7960" max="8191" width="9" style="1532"/>
    <col min="8192" max="8192" width="4.19921875" style="1532" customWidth="1"/>
    <col min="8193" max="8193" width="29.5" style="1532" customWidth="1"/>
    <col min="8194" max="8208" width="4.5" style="1532" customWidth="1"/>
    <col min="8209" max="8209" width="3.8984375" style="1532" customWidth="1"/>
    <col min="8210" max="8210" width="4" style="1532" customWidth="1"/>
    <col min="8211" max="8211" width="4.3984375" style="1532" customWidth="1"/>
    <col min="8212" max="8212" width="4.5" style="1532" customWidth="1"/>
    <col min="8213" max="8213" width="3.8984375" style="1532" customWidth="1"/>
    <col min="8214" max="8214" width="16.09765625" style="1532" customWidth="1"/>
    <col min="8215" max="8215" width="19.8984375" style="1532" customWidth="1"/>
    <col min="8216" max="8447" width="9" style="1532"/>
    <col min="8448" max="8448" width="4.19921875" style="1532" customWidth="1"/>
    <col min="8449" max="8449" width="29.5" style="1532" customWidth="1"/>
    <col min="8450" max="8464" width="4.5" style="1532" customWidth="1"/>
    <col min="8465" max="8465" width="3.8984375" style="1532" customWidth="1"/>
    <col min="8466" max="8466" width="4" style="1532" customWidth="1"/>
    <col min="8467" max="8467" width="4.3984375" style="1532" customWidth="1"/>
    <col min="8468" max="8468" width="4.5" style="1532" customWidth="1"/>
    <col min="8469" max="8469" width="3.8984375" style="1532" customWidth="1"/>
    <col min="8470" max="8470" width="16.09765625" style="1532" customWidth="1"/>
    <col min="8471" max="8471" width="19.8984375" style="1532" customWidth="1"/>
    <col min="8472" max="8703" width="9" style="1532"/>
    <col min="8704" max="8704" width="4.19921875" style="1532" customWidth="1"/>
    <col min="8705" max="8705" width="29.5" style="1532" customWidth="1"/>
    <col min="8706" max="8720" width="4.5" style="1532" customWidth="1"/>
    <col min="8721" max="8721" width="3.8984375" style="1532" customWidth="1"/>
    <col min="8722" max="8722" width="4" style="1532" customWidth="1"/>
    <col min="8723" max="8723" width="4.3984375" style="1532" customWidth="1"/>
    <col min="8724" max="8724" width="4.5" style="1532" customWidth="1"/>
    <col min="8725" max="8725" width="3.8984375" style="1532" customWidth="1"/>
    <col min="8726" max="8726" width="16.09765625" style="1532" customWidth="1"/>
    <col min="8727" max="8727" width="19.8984375" style="1532" customWidth="1"/>
    <col min="8728" max="8959" width="9" style="1532"/>
    <col min="8960" max="8960" width="4.19921875" style="1532" customWidth="1"/>
    <col min="8961" max="8961" width="29.5" style="1532" customWidth="1"/>
    <col min="8962" max="8976" width="4.5" style="1532" customWidth="1"/>
    <col min="8977" max="8977" width="3.8984375" style="1532" customWidth="1"/>
    <col min="8978" max="8978" width="4" style="1532" customWidth="1"/>
    <col min="8979" max="8979" width="4.3984375" style="1532" customWidth="1"/>
    <col min="8980" max="8980" width="4.5" style="1532" customWidth="1"/>
    <col min="8981" max="8981" width="3.8984375" style="1532" customWidth="1"/>
    <col min="8982" max="8982" width="16.09765625" style="1532" customWidth="1"/>
    <col min="8983" max="8983" width="19.8984375" style="1532" customWidth="1"/>
    <col min="8984" max="9215" width="9" style="1532"/>
    <col min="9216" max="9216" width="4.19921875" style="1532" customWidth="1"/>
    <col min="9217" max="9217" width="29.5" style="1532" customWidth="1"/>
    <col min="9218" max="9232" width="4.5" style="1532" customWidth="1"/>
    <col min="9233" max="9233" width="3.8984375" style="1532" customWidth="1"/>
    <col min="9234" max="9234" width="4" style="1532" customWidth="1"/>
    <col min="9235" max="9235" width="4.3984375" style="1532" customWidth="1"/>
    <col min="9236" max="9236" width="4.5" style="1532" customWidth="1"/>
    <col min="9237" max="9237" width="3.8984375" style="1532" customWidth="1"/>
    <col min="9238" max="9238" width="16.09765625" style="1532" customWidth="1"/>
    <col min="9239" max="9239" width="19.8984375" style="1532" customWidth="1"/>
    <col min="9240" max="9471" width="9" style="1532"/>
    <col min="9472" max="9472" width="4.19921875" style="1532" customWidth="1"/>
    <col min="9473" max="9473" width="29.5" style="1532" customWidth="1"/>
    <col min="9474" max="9488" width="4.5" style="1532" customWidth="1"/>
    <col min="9489" max="9489" width="3.8984375" style="1532" customWidth="1"/>
    <col min="9490" max="9490" width="4" style="1532" customWidth="1"/>
    <col min="9491" max="9491" width="4.3984375" style="1532" customWidth="1"/>
    <col min="9492" max="9492" width="4.5" style="1532" customWidth="1"/>
    <col min="9493" max="9493" width="3.8984375" style="1532" customWidth="1"/>
    <col min="9494" max="9494" width="16.09765625" style="1532" customWidth="1"/>
    <col min="9495" max="9495" width="19.8984375" style="1532" customWidth="1"/>
    <col min="9496" max="9727" width="9" style="1532"/>
    <col min="9728" max="9728" width="4.19921875" style="1532" customWidth="1"/>
    <col min="9729" max="9729" width="29.5" style="1532" customWidth="1"/>
    <col min="9730" max="9744" width="4.5" style="1532" customWidth="1"/>
    <col min="9745" max="9745" width="3.8984375" style="1532" customWidth="1"/>
    <col min="9746" max="9746" width="4" style="1532" customWidth="1"/>
    <col min="9747" max="9747" width="4.3984375" style="1532" customWidth="1"/>
    <col min="9748" max="9748" width="4.5" style="1532" customWidth="1"/>
    <col min="9749" max="9749" width="3.8984375" style="1532" customWidth="1"/>
    <col min="9750" max="9750" width="16.09765625" style="1532" customWidth="1"/>
    <col min="9751" max="9751" width="19.8984375" style="1532" customWidth="1"/>
    <col min="9752" max="9983" width="9" style="1532"/>
    <col min="9984" max="9984" width="4.19921875" style="1532" customWidth="1"/>
    <col min="9985" max="9985" width="29.5" style="1532" customWidth="1"/>
    <col min="9986" max="10000" width="4.5" style="1532" customWidth="1"/>
    <col min="10001" max="10001" width="3.8984375" style="1532" customWidth="1"/>
    <col min="10002" max="10002" width="4" style="1532" customWidth="1"/>
    <col min="10003" max="10003" width="4.3984375" style="1532" customWidth="1"/>
    <col min="10004" max="10004" width="4.5" style="1532" customWidth="1"/>
    <col min="10005" max="10005" width="3.8984375" style="1532" customWidth="1"/>
    <col min="10006" max="10006" width="16.09765625" style="1532" customWidth="1"/>
    <col min="10007" max="10007" width="19.8984375" style="1532" customWidth="1"/>
    <col min="10008" max="10239" width="9" style="1532"/>
    <col min="10240" max="10240" width="4.19921875" style="1532" customWidth="1"/>
    <col min="10241" max="10241" width="29.5" style="1532" customWidth="1"/>
    <col min="10242" max="10256" width="4.5" style="1532" customWidth="1"/>
    <col min="10257" max="10257" width="3.8984375" style="1532" customWidth="1"/>
    <col min="10258" max="10258" width="4" style="1532" customWidth="1"/>
    <col min="10259" max="10259" width="4.3984375" style="1532" customWidth="1"/>
    <col min="10260" max="10260" width="4.5" style="1532" customWidth="1"/>
    <col min="10261" max="10261" width="3.8984375" style="1532" customWidth="1"/>
    <col min="10262" max="10262" width="16.09765625" style="1532" customWidth="1"/>
    <col min="10263" max="10263" width="19.8984375" style="1532" customWidth="1"/>
    <col min="10264" max="10495" width="9" style="1532"/>
    <col min="10496" max="10496" width="4.19921875" style="1532" customWidth="1"/>
    <col min="10497" max="10497" width="29.5" style="1532" customWidth="1"/>
    <col min="10498" max="10512" width="4.5" style="1532" customWidth="1"/>
    <col min="10513" max="10513" width="3.8984375" style="1532" customWidth="1"/>
    <col min="10514" max="10514" width="4" style="1532" customWidth="1"/>
    <col min="10515" max="10515" width="4.3984375" style="1532" customWidth="1"/>
    <col min="10516" max="10516" width="4.5" style="1532" customWidth="1"/>
    <col min="10517" max="10517" width="3.8984375" style="1532" customWidth="1"/>
    <col min="10518" max="10518" width="16.09765625" style="1532" customWidth="1"/>
    <col min="10519" max="10519" width="19.8984375" style="1532" customWidth="1"/>
    <col min="10520" max="10751" width="9" style="1532"/>
    <col min="10752" max="10752" width="4.19921875" style="1532" customWidth="1"/>
    <col min="10753" max="10753" width="29.5" style="1532" customWidth="1"/>
    <col min="10754" max="10768" width="4.5" style="1532" customWidth="1"/>
    <col min="10769" max="10769" width="3.8984375" style="1532" customWidth="1"/>
    <col min="10770" max="10770" width="4" style="1532" customWidth="1"/>
    <col min="10771" max="10771" width="4.3984375" style="1532" customWidth="1"/>
    <col min="10772" max="10772" width="4.5" style="1532" customWidth="1"/>
    <col min="10773" max="10773" width="3.8984375" style="1532" customWidth="1"/>
    <col min="10774" max="10774" width="16.09765625" style="1532" customWidth="1"/>
    <col min="10775" max="10775" width="19.8984375" style="1532" customWidth="1"/>
    <col min="10776" max="11007" width="9" style="1532"/>
    <col min="11008" max="11008" width="4.19921875" style="1532" customWidth="1"/>
    <col min="11009" max="11009" width="29.5" style="1532" customWidth="1"/>
    <col min="11010" max="11024" width="4.5" style="1532" customWidth="1"/>
    <col min="11025" max="11025" width="3.8984375" style="1532" customWidth="1"/>
    <col min="11026" max="11026" width="4" style="1532" customWidth="1"/>
    <col min="11027" max="11027" width="4.3984375" style="1532" customWidth="1"/>
    <col min="11028" max="11028" width="4.5" style="1532" customWidth="1"/>
    <col min="11029" max="11029" width="3.8984375" style="1532" customWidth="1"/>
    <col min="11030" max="11030" width="16.09765625" style="1532" customWidth="1"/>
    <col min="11031" max="11031" width="19.8984375" style="1532" customWidth="1"/>
    <col min="11032" max="11263" width="9" style="1532"/>
    <col min="11264" max="11264" width="4.19921875" style="1532" customWidth="1"/>
    <col min="11265" max="11265" width="29.5" style="1532" customWidth="1"/>
    <col min="11266" max="11280" width="4.5" style="1532" customWidth="1"/>
    <col min="11281" max="11281" width="3.8984375" style="1532" customWidth="1"/>
    <col min="11282" max="11282" width="4" style="1532" customWidth="1"/>
    <col min="11283" max="11283" width="4.3984375" style="1532" customWidth="1"/>
    <col min="11284" max="11284" width="4.5" style="1532" customWidth="1"/>
    <col min="11285" max="11285" width="3.8984375" style="1532" customWidth="1"/>
    <col min="11286" max="11286" width="16.09765625" style="1532" customWidth="1"/>
    <col min="11287" max="11287" width="19.8984375" style="1532" customWidth="1"/>
    <col min="11288" max="11519" width="9" style="1532"/>
    <col min="11520" max="11520" width="4.19921875" style="1532" customWidth="1"/>
    <col min="11521" max="11521" width="29.5" style="1532" customWidth="1"/>
    <col min="11522" max="11536" width="4.5" style="1532" customWidth="1"/>
    <col min="11537" max="11537" width="3.8984375" style="1532" customWidth="1"/>
    <col min="11538" max="11538" width="4" style="1532" customWidth="1"/>
    <col min="11539" max="11539" width="4.3984375" style="1532" customWidth="1"/>
    <col min="11540" max="11540" width="4.5" style="1532" customWidth="1"/>
    <col min="11541" max="11541" width="3.8984375" style="1532" customWidth="1"/>
    <col min="11542" max="11542" width="16.09765625" style="1532" customWidth="1"/>
    <col min="11543" max="11543" width="19.8984375" style="1532" customWidth="1"/>
    <col min="11544" max="11775" width="9" style="1532"/>
    <col min="11776" max="11776" width="4.19921875" style="1532" customWidth="1"/>
    <col min="11777" max="11777" width="29.5" style="1532" customWidth="1"/>
    <col min="11778" max="11792" width="4.5" style="1532" customWidth="1"/>
    <col min="11793" max="11793" width="3.8984375" style="1532" customWidth="1"/>
    <col min="11794" max="11794" width="4" style="1532" customWidth="1"/>
    <col min="11795" max="11795" width="4.3984375" style="1532" customWidth="1"/>
    <col min="11796" max="11796" width="4.5" style="1532" customWidth="1"/>
    <col min="11797" max="11797" width="3.8984375" style="1532" customWidth="1"/>
    <col min="11798" max="11798" width="16.09765625" style="1532" customWidth="1"/>
    <col min="11799" max="11799" width="19.8984375" style="1532" customWidth="1"/>
    <col min="11800" max="12031" width="9" style="1532"/>
    <col min="12032" max="12032" width="4.19921875" style="1532" customWidth="1"/>
    <col min="12033" max="12033" width="29.5" style="1532" customWidth="1"/>
    <col min="12034" max="12048" width="4.5" style="1532" customWidth="1"/>
    <col min="12049" max="12049" width="3.8984375" style="1532" customWidth="1"/>
    <col min="12050" max="12050" width="4" style="1532" customWidth="1"/>
    <col min="12051" max="12051" width="4.3984375" style="1532" customWidth="1"/>
    <col min="12052" max="12052" width="4.5" style="1532" customWidth="1"/>
    <col min="12053" max="12053" width="3.8984375" style="1532" customWidth="1"/>
    <col min="12054" max="12054" width="16.09765625" style="1532" customWidth="1"/>
    <col min="12055" max="12055" width="19.8984375" style="1532" customWidth="1"/>
    <col min="12056" max="12287" width="9" style="1532"/>
    <col min="12288" max="12288" width="4.19921875" style="1532" customWidth="1"/>
    <col min="12289" max="12289" width="29.5" style="1532" customWidth="1"/>
    <col min="12290" max="12304" width="4.5" style="1532" customWidth="1"/>
    <col min="12305" max="12305" width="3.8984375" style="1532" customWidth="1"/>
    <col min="12306" max="12306" width="4" style="1532" customWidth="1"/>
    <col min="12307" max="12307" width="4.3984375" style="1532" customWidth="1"/>
    <col min="12308" max="12308" width="4.5" style="1532" customWidth="1"/>
    <col min="12309" max="12309" width="3.8984375" style="1532" customWidth="1"/>
    <col min="12310" max="12310" width="16.09765625" style="1532" customWidth="1"/>
    <col min="12311" max="12311" width="19.8984375" style="1532" customWidth="1"/>
    <col min="12312" max="12543" width="9" style="1532"/>
    <col min="12544" max="12544" width="4.19921875" style="1532" customWidth="1"/>
    <col min="12545" max="12545" width="29.5" style="1532" customWidth="1"/>
    <col min="12546" max="12560" width="4.5" style="1532" customWidth="1"/>
    <col min="12561" max="12561" width="3.8984375" style="1532" customWidth="1"/>
    <col min="12562" max="12562" width="4" style="1532" customWidth="1"/>
    <col min="12563" max="12563" width="4.3984375" style="1532" customWidth="1"/>
    <col min="12564" max="12564" width="4.5" style="1532" customWidth="1"/>
    <col min="12565" max="12565" width="3.8984375" style="1532" customWidth="1"/>
    <col min="12566" max="12566" width="16.09765625" style="1532" customWidth="1"/>
    <col min="12567" max="12567" width="19.8984375" style="1532" customWidth="1"/>
    <col min="12568" max="12799" width="9" style="1532"/>
    <col min="12800" max="12800" width="4.19921875" style="1532" customWidth="1"/>
    <col min="12801" max="12801" width="29.5" style="1532" customWidth="1"/>
    <col min="12802" max="12816" width="4.5" style="1532" customWidth="1"/>
    <col min="12817" max="12817" width="3.8984375" style="1532" customWidth="1"/>
    <col min="12818" max="12818" width="4" style="1532" customWidth="1"/>
    <col min="12819" max="12819" width="4.3984375" style="1532" customWidth="1"/>
    <col min="12820" max="12820" width="4.5" style="1532" customWidth="1"/>
    <col min="12821" max="12821" width="3.8984375" style="1532" customWidth="1"/>
    <col min="12822" max="12822" width="16.09765625" style="1532" customWidth="1"/>
    <col min="12823" max="12823" width="19.8984375" style="1532" customWidth="1"/>
    <col min="12824" max="13055" width="9" style="1532"/>
    <col min="13056" max="13056" width="4.19921875" style="1532" customWidth="1"/>
    <col min="13057" max="13057" width="29.5" style="1532" customWidth="1"/>
    <col min="13058" max="13072" width="4.5" style="1532" customWidth="1"/>
    <col min="13073" max="13073" width="3.8984375" style="1532" customWidth="1"/>
    <col min="13074" max="13074" width="4" style="1532" customWidth="1"/>
    <col min="13075" max="13075" width="4.3984375" style="1532" customWidth="1"/>
    <col min="13076" max="13076" width="4.5" style="1532" customWidth="1"/>
    <col min="13077" max="13077" width="3.8984375" style="1532" customWidth="1"/>
    <col min="13078" max="13078" width="16.09765625" style="1532" customWidth="1"/>
    <col min="13079" max="13079" width="19.8984375" style="1532" customWidth="1"/>
    <col min="13080" max="13311" width="9" style="1532"/>
    <col min="13312" max="13312" width="4.19921875" style="1532" customWidth="1"/>
    <col min="13313" max="13313" width="29.5" style="1532" customWidth="1"/>
    <col min="13314" max="13328" width="4.5" style="1532" customWidth="1"/>
    <col min="13329" max="13329" width="3.8984375" style="1532" customWidth="1"/>
    <col min="13330" max="13330" width="4" style="1532" customWidth="1"/>
    <col min="13331" max="13331" width="4.3984375" style="1532" customWidth="1"/>
    <col min="13332" max="13332" width="4.5" style="1532" customWidth="1"/>
    <col min="13333" max="13333" width="3.8984375" style="1532" customWidth="1"/>
    <col min="13334" max="13334" width="16.09765625" style="1532" customWidth="1"/>
    <col min="13335" max="13335" width="19.8984375" style="1532" customWidth="1"/>
    <col min="13336" max="13567" width="9" style="1532"/>
    <col min="13568" max="13568" width="4.19921875" style="1532" customWidth="1"/>
    <col min="13569" max="13569" width="29.5" style="1532" customWidth="1"/>
    <col min="13570" max="13584" width="4.5" style="1532" customWidth="1"/>
    <col min="13585" max="13585" width="3.8984375" style="1532" customWidth="1"/>
    <col min="13586" max="13586" width="4" style="1532" customWidth="1"/>
    <col min="13587" max="13587" width="4.3984375" style="1532" customWidth="1"/>
    <col min="13588" max="13588" width="4.5" style="1532" customWidth="1"/>
    <col min="13589" max="13589" width="3.8984375" style="1532" customWidth="1"/>
    <col min="13590" max="13590" width="16.09765625" style="1532" customWidth="1"/>
    <col min="13591" max="13591" width="19.8984375" style="1532" customWidth="1"/>
    <col min="13592" max="13823" width="9" style="1532"/>
    <col min="13824" max="13824" width="4.19921875" style="1532" customWidth="1"/>
    <col min="13825" max="13825" width="29.5" style="1532" customWidth="1"/>
    <col min="13826" max="13840" width="4.5" style="1532" customWidth="1"/>
    <col min="13841" max="13841" width="3.8984375" style="1532" customWidth="1"/>
    <col min="13842" max="13842" width="4" style="1532" customWidth="1"/>
    <col min="13843" max="13843" width="4.3984375" style="1532" customWidth="1"/>
    <col min="13844" max="13844" width="4.5" style="1532" customWidth="1"/>
    <col min="13845" max="13845" width="3.8984375" style="1532" customWidth="1"/>
    <col min="13846" max="13846" width="16.09765625" style="1532" customWidth="1"/>
    <col min="13847" max="13847" width="19.8984375" style="1532" customWidth="1"/>
    <col min="13848" max="14079" width="9" style="1532"/>
    <col min="14080" max="14080" width="4.19921875" style="1532" customWidth="1"/>
    <col min="14081" max="14081" width="29.5" style="1532" customWidth="1"/>
    <col min="14082" max="14096" width="4.5" style="1532" customWidth="1"/>
    <col min="14097" max="14097" width="3.8984375" style="1532" customWidth="1"/>
    <col min="14098" max="14098" width="4" style="1532" customWidth="1"/>
    <col min="14099" max="14099" width="4.3984375" style="1532" customWidth="1"/>
    <col min="14100" max="14100" width="4.5" style="1532" customWidth="1"/>
    <col min="14101" max="14101" width="3.8984375" style="1532" customWidth="1"/>
    <col min="14102" max="14102" width="16.09765625" style="1532" customWidth="1"/>
    <col min="14103" max="14103" width="19.8984375" style="1532" customWidth="1"/>
    <col min="14104" max="14335" width="9" style="1532"/>
    <col min="14336" max="14336" width="4.19921875" style="1532" customWidth="1"/>
    <col min="14337" max="14337" width="29.5" style="1532" customWidth="1"/>
    <col min="14338" max="14352" width="4.5" style="1532" customWidth="1"/>
    <col min="14353" max="14353" width="3.8984375" style="1532" customWidth="1"/>
    <col min="14354" max="14354" width="4" style="1532" customWidth="1"/>
    <col min="14355" max="14355" width="4.3984375" style="1532" customWidth="1"/>
    <col min="14356" max="14356" width="4.5" style="1532" customWidth="1"/>
    <col min="14357" max="14357" width="3.8984375" style="1532" customWidth="1"/>
    <col min="14358" max="14358" width="16.09765625" style="1532" customWidth="1"/>
    <col min="14359" max="14359" width="19.8984375" style="1532" customWidth="1"/>
    <col min="14360" max="14591" width="9" style="1532"/>
    <col min="14592" max="14592" width="4.19921875" style="1532" customWidth="1"/>
    <col min="14593" max="14593" width="29.5" style="1532" customWidth="1"/>
    <col min="14594" max="14608" width="4.5" style="1532" customWidth="1"/>
    <col min="14609" max="14609" width="3.8984375" style="1532" customWidth="1"/>
    <col min="14610" max="14610" width="4" style="1532" customWidth="1"/>
    <col min="14611" max="14611" width="4.3984375" style="1532" customWidth="1"/>
    <col min="14612" max="14612" width="4.5" style="1532" customWidth="1"/>
    <col min="14613" max="14613" width="3.8984375" style="1532" customWidth="1"/>
    <col min="14614" max="14614" width="16.09765625" style="1532" customWidth="1"/>
    <col min="14615" max="14615" width="19.8984375" style="1532" customWidth="1"/>
    <col min="14616" max="14847" width="9" style="1532"/>
    <col min="14848" max="14848" width="4.19921875" style="1532" customWidth="1"/>
    <col min="14849" max="14849" width="29.5" style="1532" customWidth="1"/>
    <col min="14850" max="14864" width="4.5" style="1532" customWidth="1"/>
    <col min="14865" max="14865" width="3.8984375" style="1532" customWidth="1"/>
    <col min="14866" max="14866" width="4" style="1532" customWidth="1"/>
    <col min="14867" max="14867" width="4.3984375" style="1532" customWidth="1"/>
    <col min="14868" max="14868" width="4.5" style="1532" customWidth="1"/>
    <col min="14869" max="14869" width="3.8984375" style="1532" customWidth="1"/>
    <col min="14870" max="14870" width="16.09765625" style="1532" customWidth="1"/>
    <col min="14871" max="14871" width="19.8984375" style="1532" customWidth="1"/>
    <col min="14872" max="15103" width="9" style="1532"/>
    <col min="15104" max="15104" width="4.19921875" style="1532" customWidth="1"/>
    <col min="15105" max="15105" width="29.5" style="1532" customWidth="1"/>
    <col min="15106" max="15120" width="4.5" style="1532" customWidth="1"/>
    <col min="15121" max="15121" width="3.8984375" style="1532" customWidth="1"/>
    <col min="15122" max="15122" width="4" style="1532" customWidth="1"/>
    <col min="15123" max="15123" width="4.3984375" style="1532" customWidth="1"/>
    <col min="15124" max="15124" width="4.5" style="1532" customWidth="1"/>
    <col min="15125" max="15125" width="3.8984375" style="1532" customWidth="1"/>
    <col min="15126" max="15126" width="16.09765625" style="1532" customWidth="1"/>
    <col min="15127" max="15127" width="19.8984375" style="1532" customWidth="1"/>
    <col min="15128" max="15359" width="9" style="1532"/>
    <col min="15360" max="15360" width="4.19921875" style="1532" customWidth="1"/>
    <col min="15361" max="15361" width="29.5" style="1532" customWidth="1"/>
    <col min="15362" max="15376" width="4.5" style="1532" customWidth="1"/>
    <col min="15377" max="15377" width="3.8984375" style="1532" customWidth="1"/>
    <col min="15378" max="15378" width="4" style="1532" customWidth="1"/>
    <col min="15379" max="15379" width="4.3984375" style="1532" customWidth="1"/>
    <col min="15380" max="15380" width="4.5" style="1532" customWidth="1"/>
    <col min="15381" max="15381" width="3.8984375" style="1532" customWidth="1"/>
    <col min="15382" max="15382" width="16.09765625" style="1532" customWidth="1"/>
    <col min="15383" max="15383" width="19.8984375" style="1532" customWidth="1"/>
    <col min="15384" max="15615" width="9" style="1532"/>
    <col min="15616" max="15616" width="4.19921875" style="1532" customWidth="1"/>
    <col min="15617" max="15617" width="29.5" style="1532" customWidth="1"/>
    <col min="15618" max="15632" width="4.5" style="1532" customWidth="1"/>
    <col min="15633" max="15633" width="3.8984375" style="1532" customWidth="1"/>
    <col min="15634" max="15634" width="4" style="1532" customWidth="1"/>
    <col min="15635" max="15635" width="4.3984375" style="1532" customWidth="1"/>
    <col min="15636" max="15636" width="4.5" style="1532" customWidth="1"/>
    <col min="15637" max="15637" width="3.8984375" style="1532" customWidth="1"/>
    <col min="15638" max="15638" width="16.09765625" style="1532" customWidth="1"/>
    <col min="15639" max="15639" width="19.8984375" style="1532" customWidth="1"/>
    <col min="15640" max="15871" width="9" style="1532"/>
    <col min="15872" max="15872" width="4.19921875" style="1532" customWidth="1"/>
    <col min="15873" max="15873" width="29.5" style="1532" customWidth="1"/>
    <col min="15874" max="15888" width="4.5" style="1532" customWidth="1"/>
    <col min="15889" max="15889" width="3.8984375" style="1532" customWidth="1"/>
    <col min="15890" max="15890" width="4" style="1532" customWidth="1"/>
    <col min="15891" max="15891" width="4.3984375" style="1532" customWidth="1"/>
    <col min="15892" max="15892" width="4.5" style="1532" customWidth="1"/>
    <col min="15893" max="15893" width="3.8984375" style="1532" customWidth="1"/>
    <col min="15894" max="15894" width="16.09765625" style="1532" customWidth="1"/>
    <col min="15895" max="15895" width="19.8984375" style="1532" customWidth="1"/>
    <col min="15896" max="16127" width="9" style="1532"/>
    <col min="16128" max="16128" width="4.19921875" style="1532" customWidth="1"/>
    <col min="16129" max="16129" width="29.5" style="1532" customWidth="1"/>
    <col min="16130" max="16144" width="4.5" style="1532" customWidth="1"/>
    <col min="16145" max="16145" width="3.8984375" style="1532" customWidth="1"/>
    <col min="16146" max="16146" width="4" style="1532" customWidth="1"/>
    <col min="16147" max="16147" width="4.3984375" style="1532" customWidth="1"/>
    <col min="16148" max="16148" width="4.5" style="1532" customWidth="1"/>
    <col min="16149" max="16149" width="3.8984375" style="1532" customWidth="1"/>
    <col min="16150" max="16150" width="16.09765625" style="1532" customWidth="1"/>
    <col min="16151" max="16151" width="19.8984375" style="1532" customWidth="1"/>
    <col min="16152" max="16384" width="9" style="1532"/>
  </cols>
  <sheetData>
    <row r="1" spans="1:23"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4"/>
      <c r="V1" s="2165" t="str">
        <f>"索引号："&amp;档案索引!A39</f>
        <v>索引号：2A-19</v>
      </c>
    </row>
    <row r="2" spans="1:23"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c r="V2" s="2242"/>
    </row>
    <row r="3" spans="1:23" s="1537" customFormat="1" ht="33" customHeight="1">
      <c r="A3" s="3434" t="s">
        <v>1853</v>
      </c>
      <c r="B3" s="3445" t="s">
        <v>5349</v>
      </c>
      <c r="C3" s="3446"/>
      <c r="D3" s="3437" t="s">
        <v>5350</v>
      </c>
      <c r="E3" s="3438"/>
      <c r="F3" s="3439" t="s">
        <v>5351</v>
      </c>
      <c r="G3" s="3440"/>
      <c r="H3" s="3439" t="s">
        <v>5352</v>
      </c>
      <c r="I3" s="3440"/>
      <c r="J3" s="3439" t="s">
        <v>5353</v>
      </c>
      <c r="K3" s="3440"/>
      <c r="L3" s="3439" t="s">
        <v>1262</v>
      </c>
      <c r="M3" s="3440"/>
      <c r="N3" s="3439" t="s">
        <v>6802</v>
      </c>
      <c r="O3" s="3440"/>
      <c r="P3" s="3437" t="s">
        <v>6806</v>
      </c>
      <c r="Q3" s="3441"/>
      <c r="R3" s="3441"/>
      <c r="S3" s="3441"/>
      <c r="T3" s="3441"/>
      <c r="U3" s="3438"/>
      <c r="V3" s="3453" t="s">
        <v>4899</v>
      </c>
    </row>
    <row r="4" spans="1:23" s="1537" customFormat="1" ht="16.5" customHeight="1">
      <c r="A4" s="3435"/>
      <c r="B4" s="3447"/>
      <c r="C4" s="3448"/>
      <c r="D4" s="3454" t="s">
        <v>5354</v>
      </c>
      <c r="E4" s="3443" t="s">
        <v>6804</v>
      </c>
      <c r="F4" s="3454" t="s">
        <v>5354</v>
      </c>
      <c r="G4" s="3443" t="s">
        <v>6805</v>
      </c>
      <c r="H4" s="3442" t="s">
        <v>5354</v>
      </c>
      <c r="I4" s="3443" t="s">
        <v>6805</v>
      </c>
      <c r="J4" s="3442" t="s">
        <v>5354</v>
      </c>
      <c r="K4" s="3443" t="s">
        <v>6805</v>
      </c>
      <c r="L4" s="3442" t="s">
        <v>5354</v>
      </c>
      <c r="M4" s="3443" t="s">
        <v>6805</v>
      </c>
      <c r="N4" s="3442" t="s">
        <v>6803</v>
      </c>
      <c r="O4" s="3443" t="s">
        <v>6805</v>
      </c>
      <c r="P4" s="3442" t="s">
        <v>5354</v>
      </c>
      <c r="Q4" s="3444" t="s">
        <v>6807</v>
      </c>
      <c r="R4" s="3444" t="s">
        <v>6808</v>
      </c>
      <c r="S4" s="3444" t="s">
        <v>6809</v>
      </c>
      <c r="T4" s="3444" t="s">
        <v>6810</v>
      </c>
      <c r="U4" s="3443" t="s">
        <v>6811</v>
      </c>
      <c r="V4" s="3453"/>
    </row>
    <row r="5" spans="1:23" s="1537" customFormat="1" ht="16.5" customHeight="1">
      <c r="A5" s="3435"/>
      <c r="B5" s="3447"/>
      <c r="C5" s="3448"/>
      <c r="D5" s="3454"/>
      <c r="E5" s="3443"/>
      <c r="F5" s="3454"/>
      <c r="G5" s="3443"/>
      <c r="H5" s="3442"/>
      <c r="I5" s="3443"/>
      <c r="J5" s="3442"/>
      <c r="K5" s="3443"/>
      <c r="L5" s="3442"/>
      <c r="M5" s="3443"/>
      <c r="N5" s="3442"/>
      <c r="O5" s="3443"/>
      <c r="P5" s="3442"/>
      <c r="Q5" s="3444"/>
      <c r="R5" s="3444"/>
      <c r="S5" s="3444"/>
      <c r="T5" s="3444"/>
      <c r="U5" s="3443"/>
      <c r="V5" s="3453"/>
    </row>
    <row r="6" spans="1:23" s="1537" customFormat="1" ht="16.5" customHeight="1">
      <c r="A6" s="3436"/>
      <c r="B6" s="3449"/>
      <c r="C6" s="3450"/>
      <c r="D6" s="2246">
        <v>1</v>
      </c>
      <c r="E6" s="2247">
        <v>2</v>
      </c>
      <c r="F6" s="2246">
        <v>3</v>
      </c>
      <c r="G6" s="2247">
        <v>4</v>
      </c>
      <c r="H6" s="2255">
        <v>5</v>
      </c>
      <c r="I6" s="2247">
        <v>6</v>
      </c>
      <c r="J6" s="2255">
        <v>7</v>
      </c>
      <c r="K6" s="2247">
        <v>8</v>
      </c>
      <c r="L6" s="2255">
        <v>9</v>
      </c>
      <c r="M6" s="2247">
        <v>10</v>
      </c>
      <c r="N6" s="2255">
        <v>11</v>
      </c>
      <c r="O6" s="2247">
        <v>12</v>
      </c>
      <c r="P6" s="2255">
        <v>13</v>
      </c>
      <c r="Q6" s="2256">
        <v>14</v>
      </c>
      <c r="R6" s="2256">
        <v>15</v>
      </c>
      <c r="S6" s="2256">
        <v>16</v>
      </c>
      <c r="T6" s="2256">
        <v>17</v>
      </c>
      <c r="U6" s="2247">
        <v>18</v>
      </c>
      <c r="V6" s="3453"/>
    </row>
    <row r="7" spans="1:23" s="1537" customFormat="1" ht="15" customHeight="1">
      <c r="A7" s="2248">
        <v>1</v>
      </c>
      <c r="B7" s="3455" t="s">
        <v>6812</v>
      </c>
      <c r="C7" s="3456"/>
      <c r="D7" s="2263">
        <f>D8+D9</f>
        <v>0</v>
      </c>
      <c r="E7" s="2265">
        <f t="shared" ref="E7:S7" si="0">E8+E9</f>
        <v>0</v>
      </c>
      <c r="F7" s="2263">
        <f t="shared" si="0"/>
        <v>0</v>
      </c>
      <c r="G7" s="2265">
        <f t="shared" si="0"/>
        <v>0</v>
      </c>
      <c r="H7" s="2263">
        <f t="shared" si="0"/>
        <v>0</v>
      </c>
      <c r="I7" s="2265">
        <f t="shared" si="0"/>
        <v>0</v>
      </c>
      <c r="J7" s="2263">
        <f t="shared" si="0"/>
        <v>0</v>
      </c>
      <c r="K7" s="2265">
        <f t="shared" si="0"/>
        <v>0</v>
      </c>
      <c r="L7" s="2263">
        <f t="shared" si="0"/>
        <v>0</v>
      </c>
      <c r="M7" s="2265">
        <f t="shared" si="0"/>
        <v>0</v>
      </c>
      <c r="N7" s="2263">
        <f t="shared" si="0"/>
        <v>0</v>
      </c>
      <c r="O7" s="2265">
        <f t="shared" si="0"/>
        <v>0</v>
      </c>
      <c r="P7" s="2263">
        <f t="shared" si="0"/>
        <v>0</v>
      </c>
      <c r="Q7" s="2268">
        <f>Q9</f>
        <v>0</v>
      </c>
      <c r="R7" s="2268">
        <f>R8</f>
        <v>0</v>
      </c>
      <c r="S7" s="2268">
        <f t="shared" si="0"/>
        <v>0</v>
      </c>
      <c r="T7" s="2268">
        <f>T9</f>
        <v>0</v>
      </c>
      <c r="U7" s="2265">
        <f>U8</f>
        <v>0</v>
      </c>
      <c r="V7" s="2267" t="s">
        <v>5355</v>
      </c>
      <c r="W7" s="1565"/>
    </row>
    <row r="8" spans="1:23" s="1537" customFormat="1" ht="15" customHeight="1">
      <c r="A8" s="2249">
        <v>2</v>
      </c>
      <c r="B8" s="3457"/>
      <c r="C8" s="2250" t="s">
        <v>6813</v>
      </c>
      <c r="D8" s="2251"/>
      <c r="E8" s="2252"/>
      <c r="F8" s="2251"/>
      <c r="G8" s="2252"/>
      <c r="H8" s="2251"/>
      <c r="I8" s="2252"/>
      <c r="J8" s="2251"/>
      <c r="K8" s="2252"/>
      <c r="L8" s="2251"/>
      <c r="M8" s="2252"/>
      <c r="N8" s="2251"/>
      <c r="O8" s="2252"/>
      <c r="P8" s="2264">
        <f>D8+F8+H8+J8+L8+N8</f>
        <v>0</v>
      </c>
      <c r="Q8" s="2272" t="s">
        <v>509</v>
      </c>
      <c r="R8" s="2271"/>
      <c r="S8" s="2269">
        <f>E8+G8+I8+K8+M8+O8</f>
        <v>0</v>
      </c>
      <c r="T8" s="2272" t="s">
        <v>509</v>
      </c>
      <c r="U8" s="2266">
        <f>S8-R8</f>
        <v>0</v>
      </c>
      <c r="V8" s="2244"/>
    </row>
    <row r="9" spans="1:23" s="1537" customFormat="1" ht="15" customHeight="1">
      <c r="A9" s="2249">
        <v>3</v>
      </c>
      <c r="B9" s="3457"/>
      <c r="C9" s="2250" t="s">
        <v>6814</v>
      </c>
      <c r="D9" s="2251"/>
      <c r="E9" s="2252"/>
      <c r="F9" s="2251"/>
      <c r="G9" s="2252"/>
      <c r="H9" s="2251"/>
      <c r="I9" s="2252"/>
      <c r="J9" s="2251"/>
      <c r="K9" s="2252"/>
      <c r="L9" s="2251"/>
      <c r="M9" s="2252"/>
      <c r="N9" s="2251"/>
      <c r="O9" s="2252"/>
      <c r="P9" s="2264">
        <f>D9+F9+H9+J9+L9+N9</f>
        <v>0</v>
      </c>
      <c r="Q9" s="2257"/>
      <c r="R9" s="2273" t="s">
        <v>509</v>
      </c>
      <c r="S9" s="2269">
        <f>E9+G9+I9+K9+M9+O9</f>
        <v>0</v>
      </c>
      <c r="T9" s="2269">
        <f>S9-Q9</f>
        <v>0</v>
      </c>
      <c r="U9" s="2274" t="s">
        <v>509</v>
      </c>
      <c r="V9" s="2244"/>
    </row>
    <row r="10" spans="1:23" s="1537" customFormat="1" ht="15" customHeight="1">
      <c r="A10" s="2249">
        <v>4</v>
      </c>
      <c r="B10" s="3444" t="s">
        <v>6815</v>
      </c>
      <c r="C10" s="3443"/>
      <c r="D10" s="2264">
        <f>D11+D12</f>
        <v>0</v>
      </c>
      <c r="E10" s="2266">
        <f t="shared" ref="E10:S10" si="1">E11+E12</f>
        <v>0</v>
      </c>
      <c r="F10" s="2264">
        <f t="shared" si="1"/>
        <v>0</v>
      </c>
      <c r="G10" s="2266">
        <f t="shared" si="1"/>
        <v>0</v>
      </c>
      <c r="H10" s="2264">
        <f t="shared" si="1"/>
        <v>0</v>
      </c>
      <c r="I10" s="2266">
        <f t="shared" si="1"/>
        <v>0</v>
      </c>
      <c r="J10" s="2264">
        <f t="shared" si="1"/>
        <v>0</v>
      </c>
      <c r="K10" s="2266">
        <f t="shared" si="1"/>
        <v>0</v>
      </c>
      <c r="L10" s="2264">
        <f t="shared" si="1"/>
        <v>0</v>
      </c>
      <c r="M10" s="2266">
        <f t="shared" si="1"/>
        <v>0</v>
      </c>
      <c r="N10" s="2264">
        <f t="shared" si="1"/>
        <v>0</v>
      </c>
      <c r="O10" s="2266">
        <f t="shared" si="1"/>
        <v>0</v>
      </c>
      <c r="P10" s="2264">
        <f t="shared" si="1"/>
        <v>0</v>
      </c>
      <c r="Q10" s="2269">
        <f>Q12</f>
        <v>0</v>
      </c>
      <c r="R10" s="2269">
        <f>R11</f>
        <v>0</v>
      </c>
      <c r="S10" s="2269">
        <f t="shared" si="1"/>
        <v>0</v>
      </c>
      <c r="T10" s="2269">
        <f>T12</f>
        <v>0</v>
      </c>
      <c r="U10" s="2266">
        <f>U11</f>
        <v>0</v>
      </c>
      <c r="V10" s="2245"/>
      <c r="W10" s="1675" t="s">
        <v>6441</v>
      </c>
    </row>
    <row r="11" spans="1:23" s="1537" customFormat="1" ht="15" customHeight="1">
      <c r="A11" s="2249">
        <v>5</v>
      </c>
      <c r="B11" s="3444" t="s">
        <v>6816</v>
      </c>
      <c r="C11" s="2250" t="s">
        <v>6813</v>
      </c>
      <c r="D11" s="2251"/>
      <c r="E11" s="2252"/>
      <c r="F11" s="2251"/>
      <c r="G11" s="2252"/>
      <c r="H11" s="2251"/>
      <c r="I11" s="2252"/>
      <c r="J11" s="2251"/>
      <c r="K11" s="2252"/>
      <c r="L11" s="2251"/>
      <c r="M11" s="2252"/>
      <c r="N11" s="2251"/>
      <c r="O11" s="2252"/>
      <c r="P11" s="2264">
        <f>D11+F11+H11+J11+L11+N11</f>
        <v>0</v>
      </c>
      <c r="Q11" s="2272" t="s">
        <v>509</v>
      </c>
      <c r="R11" s="2257"/>
      <c r="S11" s="2269">
        <f>E11+G11+I11+K11+M11+O11</f>
        <v>0</v>
      </c>
      <c r="T11" s="2272" t="s">
        <v>509</v>
      </c>
      <c r="U11" s="2266">
        <f>S11-R11</f>
        <v>0</v>
      </c>
      <c r="V11" s="2245"/>
      <c r="W11" s="1675" t="s">
        <v>561</v>
      </c>
    </row>
    <row r="12" spans="1:23" s="1537" customFormat="1" ht="15" customHeight="1">
      <c r="A12" s="2249">
        <v>6</v>
      </c>
      <c r="B12" s="3444"/>
      <c r="C12" s="2250" t="s">
        <v>6814</v>
      </c>
      <c r="D12" s="2251"/>
      <c r="E12" s="2252"/>
      <c r="F12" s="2251"/>
      <c r="G12" s="2252"/>
      <c r="H12" s="2251"/>
      <c r="I12" s="2252"/>
      <c r="J12" s="2251"/>
      <c r="K12" s="2252"/>
      <c r="L12" s="2251"/>
      <c r="M12" s="2252"/>
      <c r="N12" s="2251"/>
      <c r="O12" s="2252"/>
      <c r="P12" s="2264">
        <f>D12+F12+H12+J12+L12+N12</f>
        <v>0</v>
      </c>
      <c r="Q12" s="2257"/>
      <c r="R12" s="2272" t="s">
        <v>509</v>
      </c>
      <c r="S12" s="2269">
        <f>E12+G12+I12+K12+M12+O12</f>
        <v>0</v>
      </c>
      <c r="T12" s="2269">
        <f>S12-Q12</f>
        <v>0</v>
      </c>
      <c r="U12" s="2274" t="s">
        <v>509</v>
      </c>
      <c r="V12" s="2244"/>
    </row>
    <row r="13" spans="1:23" s="1537" customFormat="1" ht="15" customHeight="1">
      <c r="A13" s="2249">
        <v>7</v>
      </c>
      <c r="B13" s="3444" t="s">
        <v>6817</v>
      </c>
      <c r="C13" s="3443"/>
      <c r="D13" s="2264">
        <f>D14+D17</f>
        <v>0</v>
      </c>
      <c r="E13" s="2266">
        <f t="shared" ref="E13:U13" si="2">E14+E17</f>
        <v>0</v>
      </c>
      <c r="F13" s="2264">
        <f t="shared" si="2"/>
        <v>0</v>
      </c>
      <c r="G13" s="2266">
        <f t="shared" si="2"/>
        <v>0</v>
      </c>
      <c r="H13" s="2264">
        <f t="shared" si="2"/>
        <v>0</v>
      </c>
      <c r="I13" s="2266">
        <f t="shared" si="2"/>
        <v>0</v>
      </c>
      <c r="J13" s="2264">
        <f t="shared" si="2"/>
        <v>0</v>
      </c>
      <c r="K13" s="2266">
        <f t="shared" si="2"/>
        <v>0</v>
      </c>
      <c r="L13" s="2264">
        <f t="shared" si="2"/>
        <v>0</v>
      </c>
      <c r="M13" s="2266">
        <f t="shared" si="2"/>
        <v>0</v>
      </c>
      <c r="N13" s="2264">
        <f t="shared" si="2"/>
        <v>0</v>
      </c>
      <c r="O13" s="2266">
        <f t="shared" si="2"/>
        <v>0</v>
      </c>
      <c r="P13" s="2264">
        <f t="shared" si="2"/>
        <v>0</v>
      </c>
      <c r="Q13" s="2269">
        <f t="shared" si="2"/>
        <v>0</v>
      </c>
      <c r="R13" s="2269">
        <f t="shared" si="2"/>
        <v>0</v>
      </c>
      <c r="S13" s="2269">
        <f t="shared" si="2"/>
        <v>0</v>
      </c>
      <c r="T13" s="2269">
        <f t="shared" si="2"/>
        <v>0</v>
      </c>
      <c r="U13" s="2266">
        <f t="shared" si="2"/>
        <v>0</v>
      </c>
      <c r="V13" s="2245"/>
      <c r="W13" s="1675" t="s">
        <v>6443</v>
      </c>
    </row>
    <row r="14" spans="1:23" s="1537" customFormat="1" ht="15" customHeight="1">
      <c r="A14" s="2249">
        <v>8</v>
      </c>
      <c r="B14" s="3425" t="s">
        <v>6818</v>
      </c>
      <c r="C14" s="3458"/>
      <c r="D14" s="2264">
        <f>D15+D16</f>
        <v>0</v>
      </c>
      <c r="E14" s="2266">
        <f t="shared" ref="E14:S14" si="3">E15+E16</f>
        <v>0</v>
      </c>
      <c r="F14" s="2264">
        <f t="shared" si="3"/>
        <v>0</v>
      </c>
      <c r="G14" s="2266">
        <f t="shared" si="3"/>
        <v>0</v>
      </c>
      <c r="H14" s="2264">
        <f t="shared" si="3"/>
        <v>0</v>
      </c>
      <c r="I14" s="2266">
        <f t="shared" si="3"/>
        <v>0</v>
      </c>
      <c r="J14" s="2264">
        <f t="shared" si="3"/>
        <v>0</v>
      </c>
      <c r="K14" s="2266">
        <f t="shared" si="3"/>
        <v>0</v>
      </c>
      <c r="L14" s="2264">
        <f t="shared" si="3"/>
        <v>0</v>
      </c>
      <c r="M14" s="2266">
        <f t="shared" si="3"/>
        <v>0</v>
      </c>
      <c r="N14" s="2264">
        <f t="shared" si="3"/>
        <v>0</v>
      </c>
      <c r="O14" s="2266">
        <f t="shared" si="3"/>
        <v>0</v>
      </c>
      <c r="P14" s="2264">
        <f t="shared" si="3"/>
        <v>0</v>
      </c>
      <c r="Q14" s="2269">
        <f>Q16</f>
        <v>0</v>
      </c>
      <c r="R14" s="2269">
        <f>R15</f>
        <v>0</v>
      </c>
      <c r="S14" s="2269">
        <f t="shared" si="3"/>
        <v>0</v>
      </c>
      <c r="T14" s="2269">
        <f>T16</f>
        <v>0</v>
      </c>
      <c r="U14" s="2266">
        <f>U15</f>
        <v>0</v>
      </c>
      <c r="V14" s="2244"/>
    </row>
    <row r="15" spans="1:23" s="1537" customFormat="1" ht="15" customHeight="1">
      <c r="A15" s="2249">
        <v>9</v>
      </c>
      <c r="B15" s="3459"/>
      <c r="C15" s="2250" t="s">
        <v>6813</v>
      </c>
      <c r="D15" s="2251"/>
      <c r="E15" s="2252"/>
      <c r="F15" s="2251"/>
      <c r="G15" s="2252"/>
      <c r="H15" s="2251"/>
      <c r="I15" s="2252"/>
      <c r="J15" s="2251"/>
      <c r="K15" s="2252"/>
      <c r="L15" s="2251"/>
      <c r="M15" s="2252"/>
      <c r="N15" s="2251"/>
      <c r="O15" s="2252"/>
      <c r="P15" s="2264">
        <f>D15+F15+H15+J15+L15+N15</f>
        <v>0</v>
      </c>
      <c r="Q15" s="2272" t="s">
        <v>509</v>
      </c>
      <c r="R15" s="2257"/>
      <c r="S15" s="2269">
        <f>E15+G15+I15+K15+M15+O15</f>
        <v>0</v>
      </c>
      <c r="T15" s="2272" t="s">
        <v>509</v>
      </c>
      <c r="U15" s="2266">
        <f>S15-R15</f>
        <v>0</v>
      </c>
      <c r="V15" s="2244"/>
    </row>
    <row r="16" spans="1:23" s="1537" customFormat="1" ht="15" customHeight="1">
      <c r="A16" s="2249">
        <v>10</v>
      </c>
      <c r="B16" s="3459"/>
      <c r="C16" s="2250" t="s">
        <v>6814</v>
      </c>
      <c r="D16" s="2251"/>
      <c r="E16" s="2252"/>
      <c r="F16" s="2251"/>
      <c r="G16" s="2252"/>
      <c r="H16" s="2251"/>
      <c r="I16" s="2252"/>
      <c r="J16" s="2251"/>
      <c r="K16" s="2252"/>
      <c r="L16" s="2251"/>
      <c r="M16" s="2252"/>
      <c r="N16" s="2251"/>
      <c r="O16" s="2252"/>
      <c r="P16" s="2264">
        <f>D16+F16+H16+J16+L16+N16</f>
        <v>0</v>
      </c>
      <c r="Q16" s="2257"/>
      <c r="R16" s="2272" t="s">
        <v>509</v>
      </c>
      <c r="S16" s="2269">
        <f>E16+G16+I16+K16+M16+O16</f>
        <v>0</v>
      </c>
      <c r="T16" s="2269">
        <f>S16-Q16</f>
        <v>0</v>
      </c>
      <c r="U16" s="2274" t="s">
        <v>509</v>
      </c>
      <c r="V16" s="2245"/>
    </row>
    <row r="17" spans="1:22" s="1537" customFormat="1" ht="15" customHeight="1">
      <c r="A17" s="2249">
        <v>11</v>
      </c>
      <c r="B17" s="3423" t="s">
        <v>6819</v>
      </c>
      <c r="C17" s="3424"/>
      <c r="D17" s="2264">
        <f>D18+D19</f>
        <v>0</v>
      </c>
      <c r="E17" s="2266">
        <f t="shared" ref="E17" si="4">E18+E19</f>
        <v>0</v>
      </c>
      <c r="F17" s="2264">
        <f t="shared" ref="F17" si="5">F18+F19</f>
        <v>0</v>
      </c>
      <c r="G17" s="2266">
        <f t="shared" ref="G17" si="6">G18+G19</f>
        <v>0</v>
      </c>
      <c r="H17" s="2264">
        <f t="shared" ref="H17" si="7">H18+H19</f>
        <v>0</v>
      </c>
      <c r="I17" s="2266">
        <f t="shared" ref="I17" si="8">I18+I19</f>
        <v>0</v>
      </c>
      <c r="J17" s="2264">
        <f t="shared" ref="J17" si="9">J18+J19</f>
        <v>0</v>
      </c>
      <c r="K17" s="2266">
        <f t="shared" ref="K17" si="10">K18+K19</f>
        <v>0</v>
      </c>
      <c r="L17" s="2264">
        <f t="shared" ref="L17" si="11">L18+L19</f>
        <v>0</v>
      </c>
      <c r="M17" s="2266">
        <f t="shared" ref="M17" si="12">M18+M19</f>
        <v>0</v>
      </c>
      <c r="N17" s="2264">
        <f t="shared" ref="N17" si="13">N18+N19</f>
        <v>0</v>
      </c>
      <c r="O17" s="2266">
        <f t="shared" ref="O17" si="14">O18+O19</f>
        <v>0</v>
      </c>
      <c r="P17" s="2264">
        <f t="shared" ref="P17" si="15">P18+P19</f>
        <v>0</v>
      </c>
      <c r="Q17" s="2269">
        <f>Q19</f>
        <v>0</v>
      </c>
      <c r="R17" s="2269">
        <f>R18</f>
        <v>0</v>
      </c>
      <c r="S17" s="2269">
        <f t="shared" ref="S17" si="16">S18+S19</f>
        <v>0</v>
      </c>
      <c r="T17" s="2269">
        <f>T19</f>
        <v>0</v>
      </c>
      <c r="U17" s="2266">
        <f>U18</f>
        <v>0</v>
      </c>
      <c r="V17" s="2245"/>
    </row>
    <row r="18" spans="1:22" s="1537" customFormat="1" ht="15" customHeight="1">
      <c r="A18" s="2249">
        <v>12</v>
      </c>
      <c r="B18" s="3425" t="s">
        <v>6820</v>
      </c>
      <c r="C18" s="2250" t="s">
        <v>6813</v>
      </c>
      <c r="D18" s="2251"/>
      <c r="E18" s="2252"/>
      <c r="F18" s="2251"/>
      <c r="G18" s="2252"/>
      <c r="H18" s="2251"/>
      <c r="I18" s="2252"/>
      <c r="J18" s="2251"/>
      <c r="K18" s="2252"/>
      <c r="L18" s="2251"/>
      <c r="M18" s="2252"/>
      <c r="N18" s="2251"/>
      <c r="O18" s="2252"/>
      <c r="P18" s="2264">
        <f>D18+F18+H18+J18+L18+N18</f>
        <v>0</v>
      </c>
      <c r="Q18" s="2272" t="s">
        <v>509</v>
      </c>
      <c r="R18" s="2257"/>
      <c r="S18" s="2269">
        <f>E18+G18+I18+K18+M18+O18</f>
        <v>0</v>
      </c>
      <c r="T18" s="2272" t="s">
        <v>509</v>
      </c>
      <c r="U18" s="2266">
        <f>S18-R18</f>
        <v>0</v>
      </c>
      <c r="V18" s="2245"/>
    </row>
    <row r="19" spans="1:22" s="1537" customFormat="1" ht="15" customHeight="1">
      <c r="A19" s="2249">
        <v>13</v>
      </c>
      <c r="B19" s="3425"/>
      <c r="C19" s="2250" t="s">
        <v>6814</v>
      </c>
      <c r="D19" s="2251"/>
      <c r="E19" s="2252"/>
      <c r="F19" s="2251"/>
      <c r="G19" s="2252"/>
      <c r="H19" s="2251"/>
      <c r="I19" s="2252"/>
      <c r="J19" s="2251"/>
      <c r="K19" s="2252"/>
      <c r="L19" s="2251"/>
      <c r="M19" s="2252"/>
      <c r="N19" s="2251"/>
      <c r="O19" s="2252"/>
      <c r="P19" s="2264">
        <f>D19+F19+H19+J19+L19+N19</f>
        <v>0</v>
      </c>
      <c r="Q19" s="2257"/>
      <c r="R19" s="2272" t="s">
        <v>509</v>
      </c>
      <c r="S19" s="2269">
        <f>E19+G19+I19+K19+M19+O19</f>
        <v>0</v>
      </c>
      <c r="T19" s="2269">
        <f>S19-Q19</f>
        <v>0</v>
      </c>
      <c r="U19" s="2274" t="s">
        <v>509</v>
      </c>
      <c r="V19" s="2245"/>
    </row>
    <row r="20" spans="1:22" s="1537" customFormat="1" ht="18" customHeight="1">
      <c r="A20" s="2246">
        <v>14</v>
      </c>
      <c r="B20" s="3426" t="s">
        <v>6821</v>
      </c>
      <c r="C20" s="3427"/>
      <c r="D20" s="2253">
        <f>D7+D10+D13</f>
        <v>0</v>
      </c>
      <c r="E20" s="2254">
        <f t="shared" ref="E20:U20" si="17">E7+E10+E13</f>
        <v>0</v>
      </c>
      <c r="F20" s="2253">
        <f t="shared" si="17"/>
        <v>0</v>
      </c>
      <c r="G20" s="2254">
        <f t="shared" si="17"/>
        <v>0</v>
      </c>
      <c r="H20" s="2253">
        <f t="shared" si="17"/>
        <v>0</v>
      </c>
      <c r="I20" s="2254">
        <f t="shared" si="17"/>
        <v>0</v>
      </c>
      <c r="J20" s="2253">
        <f t="shared" si="17"/>
        <v>0</v>
      </c>
      <c r="K20" s="2254">
        <f t="shared" si="17"/>
        <v>0</v>
      </c>
      <c r="L20" s="2253">
        <f t="shared" si="17"/>
        <v>0</v>
      </c>
      <c r="M20" s="2254">
        <f t="shared" si="17"/>
        <v>0</v>
      </c>
      <c r="N20" s="2253">
        <f t="shared" si="17"/>
        <v>0</v>
      </c>
      <c r="O20" s="2254">
        <f t="shared" si="17"/>
        <v>0</v>
      </c>
      <c r="P20" s="2253">
        <f t="shared" si="17"/>
        <v>0</v>
      </c>
      <c r="Q20" s="2261">
        <f t="shared" si="17"/>
        <v>0</v>
      </c>
      <c r="R20" s="2261">
        <f t="shared" si="17"/>
        <v>0</v>
      </c>
      <c r="S20" s="2261">
        <f t="shared" si="17"/>
        <v>0</v>
      </c>
      <c r="T20" s="2261">
        <f t="shared" si="17"/>
        <v>0</v>
      </c>
      <c r="U20" s="2254">
        <f t="shared" si="17"/>
        <v>0</v>
      </c>
      <c r="V20" s="2245"/>
    </row>
    <row r="21" spans="1:22" s="1537" customFormat="1" ht="12.75" customHeight="1">
      <c r="A21" s="2237">
        <v>15</v>
      </c>
      <c r="B21" s="3428" t="s">
        <v>6822</v>
      </c>
      <c r="C21" s="3429"/>
      <c r="D21" s="3429"/>
      <c r="E21" s="3429"/>
      <c r="F21" s="3429"/>
      <c r="G21" s="3429"/>
      <c r="H21" s="3429"/>
      <c r="I21" s="3429"/>
      <c r="J21" s="3429"/>
      <c r="K21" s="3429"/>
      <c r="L21" s="3429"/>
      <c r="M21" s="3429"/>
      <c r="N21" s="3429"/>
      <c r="O21" s="3429"/>
      <c r="P21" s="3429"/>
      <c r="Q21" s="3430"/>
      <c r="R21" s="3430"/>
      <c r="S21" s="3430"/>
      <c r="T21" s="3430"/>
      <c r="U21" s="3431"/>
      <c r="V21" s="2243"/>
    </row>
    <row r="22" spans="1:22" s="1537" customFormat="1" ht="15" customHeight="1">
      <c r="A22" s="2248">
        <v>16</v>
      </c>
      <c r="B22" s="3432" t="s">
        <v>6823</v>
      </c>
      <c r="C22" s="3433"/>
      <c r="D22" s="2263">
        <f>D23+D24</f>
        <v>0</v>
      </c>
      <c r="E22" s="2265">
        <f t="shared" ref="E22" si="18">E23+E24</f>
        <v>0</v>
      </c>
      <c r="F22" s="2263">
        <f t="shared" ref="F22" si="19">F23+F24</f>
        <v>0</v>
      </c>
      <c r="G22" s="2265">
        <f t="shared" ref="G22" si="20">G23+G24</f>
        <v>0</v>
      </c>
      <c r="H22" s="2263">
        <f t="shared" ref="H22" si="21">H23+H24</f>
        <v>0</v>
      </c>
      <c r="I22" s="2265">
        <f t="shared" ref="I22" si="22">I23+I24</f>
        <v>0</v>
      </c>
      <c r="J22" s="2263">
        <f t="shared" ref="J22" si="23">J23+J24</f>
        <v>0</v>
      </c>
      <c r="K22" s="2265">
        <f t="shared" ref="K22" si="24">K23+K24</f>
        <v>0</v>
      </c>
      <c r="L22" s="2263">
        <f t="shared" ref="L22" si="25">L23+L24</f>
        <v>0</v>
      </c>
      <c r="M22" s="2265">
        <f t="shared" ref="M22" si="26">M23+M24</f>
        <v>0</v>
      </c>
      <c r="N22" s="2263">
        <f t="shared" ref="N22" si="27">N23+N24</f>
        <v>0</v>
      </c>
      <c r="O22" s="2265">
        <f t="shared" ref="O22" si="28">O23+O24</f>
        <v>0</v>
      </c>
      <c r="P22" s="2263">
        <f t="shared" ref="P22" si="29">P23+P24</f>
        <v>0</v>
      </c>
      <c r="Q22" s="2268">
        <f>Q24</f>
        <v>0</v>
      </c>
      <c r="R22" s="2268">
        <f>R23</f>
        <v>0</v>
      </c>
      <c r="S22" s="2268">
        <f t="shared" ref="S22" si="30">S23+S24</f>
        <v>0</v>
      </c>
      <c r="T22" s="2268">
        <f>T24</f>
        <v>0</v>
      </c>
      <c r="U22" s="2265">
        <f>U23</f>
        <v>0</v>
      </c>
      <c r="V22" s="2245"/>
    </row>
    <row r="23" spans="1:22" s="1537" customFormat="1" ht="15" customHeight="1">
      <c r="A23" s="2249">
        <v>17</v>
      </c>
      <c r="B23" s="3425" t="s">
        <v>6824</v>
      </c>
      <c r="C23" s="2250" t="s">
        <v>6813</v>
      </c>
      <c r="D23" s="2258"/>
      <c r="E23" s="2259"/>
      <c r="F23" s="2258"/>
      <c r="G23" s="2259"/>
      <c r="H23" s="2258"/>
      <c r="I23" s="2259"/>
      <c r="J23" s="2258"/>
      <c r="K23" s="2259"/>
      <c r="L23" s="2258"/>
      <c r="M23" s="2259"/>
      <c r="N23" s="2258"/>
      <c r="O23" s="2259"/>
      <c r="P23" s="2264">
        <f>D23+F23+H23+J23+L23+N23</f>
        <v>0</v>
      </c>
      <c r="Q23" s="2272" t="s">
        <v>509</v>
      </c>
      <c r="R23" s="2260"/>
      <c r="S23" s="2269">
        <f>E23+G23+I23+K23+M23+O23</f>
        <v>0</v>
      </c>
      <c r="T23" s="2272" t="s">
        <v>509</v>
      </c>
      <c r="U23" s="2266">
        <f>S23-R23</f>
        <v>0</v>
      </c>
      <c r="V23" s="2245"/>
    </row>
    <row r="24" spans="1:22" s="1537" customFormat="1" ht="15" customHeight="1">
      <c r="A24" s="2249">
        <v>18</v>
      </c>
      <c r="B24" s="3425"/>
      <c r="C24" s="2250" t="s">
        <v>6814</v>
      </c>
      <c r="D24" s="2258"/>
      <c r="E24" s="2259"/>
      <c r="F24" s="2258"/>
      <c r="G24" s="2259"/>
      <c r="H24" s="2258"/>
      <c r="I24" s="2259"/>
      <c r="J24" s="2258"/>
      <c r="K24" s="2259"/>
      <c r="L24" s="2258"/>
      <c r="M24" s="2259"/>
      <c r="N24" s="2258"/>
      <c r="O24" s="2259"/>
      <c r="P24" s="2264">
        <f>D24+F24+H24+J24+L24+N24</f>
        <v>0</v>
      </c>
      <c r="Q24" s="2260"/>
      <c r="R24" s="2272" t="s">
        <v>509</v>
      </c>
      <c r="S24" s="2269">
        <f>E24+G24+I24+K24+M24+O24</f>
        <v>0</v>
      </c>
      <c r="T24" s="2269">
        <f>S24-Q24</f>
        <v>0</v>
      </c>
      <c r="U24" s="2274" t="s">
        <v>509</v>
      </c>
      <c r="V24" s="2245"/>
    </row>
    <row r="25" spans="1:22" s="1537" customFormat="1" ht="15" customHeight="1">
      <c r="A25" s="2249">
        <v>19</v>
      </c>
      <c r="B25" s="3423" t="s">
        <v>6825</v>
      </c>
      <c r="C25" s="3424"/>
      <c r="D25" s="2264">
        <f>D26+D27</f>
        <v>0</v>
      </c>
      <c r="E25" s="2266">
        <f t="shared" ref="E25" si="31">E26+E27</f>
        <v>0</v>
      </c>
      <c r="F25" s="2264">
        <f t="shared" ref="F25" si="32">F26+F27</f>
        <v>0</v>
      </c>
      <c r="G25" s="2266">
        <f t="shared" ref="G25" si="33">G26+G27</f>
        <v>0</v>
      </c>
      <c r="H25" s="2264">
        <f t="shared" ref="H25" si="34">H26+H27</f>
        <v>0</v>
      </c>
      <c r="I25" s="2266">
        <f t="shared" ref="I25" si="35">I26+I27</f>
        <v>0</v>
      </c>
      <c r="J25" s="2264">
        <f t="shared" ref="J25" si="36">J26+J27</f>
        <v>0</v>
      </c>
      <c r="K25" s="2266">
        <f t="shared" ref="K25" si="37">K26+K27</f>
        <v>0</v>
      </c>
      <c r="L25" s="2264">
        <f t="shared" ref="L25" si="38">L26+L27</f>
        <v>0</v>
      </c>
      <c r="M25" s="2266">
        <f t="shared" ref="M25" si="39">M26+M27</f>
        <v>0</v>
      </c>
      <c r="N25" s="2264">
        <f t="shared" ref="N25" si="40">N26+N27</f>
        <v>0</v>
      </c>
      <c r="O25" s="2266">
        <f t="shared" ref="O25" si="41">O26+O27</f>
        <v>0</v>
      </c>
      <c r="P25" s="2264">
        <f t="shared" ref="P25" si="42">P26+P27</f>
        <v>0</v>
      </c>
      <c r="Q25" s="2269">
        <f>Q27</f>
        <v>0</v>
      </c>
      <c r="R25" s="2269">
        <f>R26</f>
        <v>0</v>
      </c>
      <c r="S25" s="2269">
        <f t="shared" ref="S25" si="43">S26+S27</f>
        <v>0</v>
      </c>
      <c r="T25" s="2269">
        <f>T27</f>
        <v>0</v>
      </c>
      <c r="U25" s="2266">
        <f>U26</f>
        <v>0</v>
      </c>
      <c r="V25" s="2245"/>
    </row>
    <row r="26" spans="1:22" s="1537" customFormat="1" ht="15" customHeight="1">
      <c r="A26" s="2249">
        <v>20</v>
      </c>
      <c r="B26" s="3425" t="s">
        <v>6824</v>
      </c>
      <c r="C26" s="2250" t="s">
        <v>6813</v>
      </c>
      <c r="D26" s="2258"/>
      <c r="E26" s="2259"/>
      <c r="F26" s="2258"/>
      <c r="G26" s="2259"/>
      <c r="H26" s="2258"/>
      <c r="I26" s="2259"/>
      <c r="J26" s="2258"/>
      <c r="K26" s="2259"/>
      <c r="L26" s="2258"/>
      <c r="M26" s="2259"/>
      <c r="N26" s="2258"/>
      <c r="O26" s="2259"/>
      <c r="P26" s="2264">
        <f>D26+F26+H26+J26+L26+N26</f>
        <v>0</v>
      </c>
      <c r="Q26" s="2272" t="s">
        <v>509</v>
      </c>
      <c r="R26" s="2260"/>
      <c r="S26" s="2269">
        <f>E26+G26+I26+K26+M26+O26</f>
        <v>0</v>
      </c>
      <c r="T26" s="2272" t="s">
        <v>509</v>
      </c>
      <c r="U26" s="2266">
        <f>S26-R26</f>
        <v>0</v>
      </c>
      <c r="V26" s="2245"/>
    </row>
    <row r="27" spans="1:22" s="1537" customFormat="1" ht="15" customHeight="1">
      <c r="A27" s="2249">
        <v>21</v>
      </c>
      <c r="B27" s="3425"/>
      <c r="C27" s="2250" t="s">
        <v>6814</v>
      </c>
      <c r="D27" s="2258"/>
      <c r="E27" s="2259"/>
      <c r="F27" s="2258"/>
      <c r="G27" s="2259"/>
      <c r="H27" s="2258"/>
      <c r="I27" s="2259"/>
      <c r="J27" s="2258"/>
      <c r="K27" s="2259"/>
      <c r="L27" s="2258"/>
      <c r="M27" s="2259"/>
      <c r="N27" s="2258"/>
      <c r="O27" s="2259"/>
      <c r="P27" s="2264">
        <f>D27+F27+H27+J27+L27+N27</f>
        <v>0</v>
      </c>
      <c r="Q27" s="2260"/>
      <c r="R27" s="2272" t="s">
        <v>509</v>
      </c>
      <c r="S27" s="2269">
        <f>E27+G27+I27+K27+M27+O27</f>
        <v>0</v>
      </c>
      <c r="T27" s="2269">
        <f>S27-Q27</f>
        <v>0</v>
      </c>
      <c r="U27" s="2274" t="s">
        <v>509</v>
      </c>
      <c r="V27" s="2245"/>
    </row>
    <row r="28" spans="1:22" s="1537" customFormat="1" ht="15" customHeight="1">
      <c r="A28" s="2249">
        <v>22</v>
      </c>
      <c r="B28" s="3423" t="s">
        <v>6826</v>
      </c>
      <c r="C28" s="3424"/>
      <c r="D28" s="2264">
        <f>D29+D30</f>
        <v>0</v>
      </c>
      <c r="E28" s="2266">
        <f t="shared" ref="E28" si="44">E29+E30</f>
        <v>0</v>
      </c>
      <c r="F28" s="2264">
        <f t="shared" ref="F28" si="45">F29+F30</f>
        <v>0</v>
      </c>
      <c r="G28" s="2266">
        <f t="shared" ref="G28" si="46">G29+G30</f>
        <v>0</v>
      </c>
      <c r="H28" s="2264">
        <f t="shared" ref="H28" si="47">H29+H30</f>
        <v>0</v>
      </c>
      <c r="I28" s="2266">
        <f t="shared" ref="I28" si="48">I29+I30</f>
        <v>0</v>
      </c>
      <c r="J28" s="2264">
        <f t="shared" ref="J28" si="49">J29+J30</f>
        <v>0</v>
      </c>
      <c r="K28" s="2266">
        <f t="shared" ref="K28" si="50">K29+K30</f>
        <v>0</v>
      </c>
      <c r="L28" s="2264">
        <f t="shared" ref="L28" si="51">L29+L30</f>
        <v>0</v>
      </c>
      <c r="M28" s="2266">
        <f t="shared" ref="M28" si="52">M29+M30</f>
        <v>0</v>
      </c>
      <c r="N28" s="2264">
        <f t="shared" ref="N28" si="53">N29+N30</f>
        <v>0</v>
      </c>
      <c r="O28" s="2266">
        <f t="shared" ref="O28" si="54">O29+O30</f>
        <v>0</v>
      </c>
      <c r="P28" s="2264">
        <f t="shared" ref="P28" si="55">P29+P30</f>
        <v>0</v>
      </c>
      <c r="Q28" s="2269">
        <f>Q30</f>
        <v>0</v>
      </c>
      <c r="R28" s="2269">
        <f>R29</f>
        <v>0</v>
      </c>
      <c r="S28" s="2269">
        <f t="shared" ref="S28" si="56">S29+S30</f>
        <v>0</v>
      </c>
      <c r="T28" s="2269">
        <f>T30</f>
        <v>0</v>
      </c>
      <c r="U28" s="2266">
        <f>U29</f>
        <v>0</v>
      </c>
      <c r="V28" s="2245"/>
    </row>
    <row r="29" spans="1:22" s="1537" customFormat="1" ht="15" customHeight="1">
      <c r="A29" s="2249">
        <v>23</v>
      </c>
      <c r="B29" s="3425" t="s">
        <v>6824</v>
      </c>
      <c r="C29" s="2250" t="s">
        <v>6813</v>
      </c>
      <c r="D29" s="2258"/>
      <c r="E29" s="2259"/>
      <c r="F29" s="2258"/>
      <c r="G29" s="2259"/>
      <c r="H29" s="2258"/>
      <c r="I29" s="2259"/>
      <c r="J29" s="2258"/>
      <c r="K29" s="2259"/>
      <c r="L29" s="2258"/>
      <c r="M29" s="2259"/>
      <c r="N29" s="2258"/>
      <c r="O29" s="2259"/>
      <c r="P29" s="2264">
        <f>D29+F29+H29+J29+L29+N29</f>
        <v>0</v>
      </c>
      <c r="Q29" s="2272" t="s">
        <v>509</v>
      </c>
      <c r="R29" s="2260"/>
      <c r="S29" s="2269">
        <f>E29+G29+I29+K29+M29+O29</f>
        <v>0</v>
      </c>
      <c r="T29" s="2272" t="s">
        <v>509</v>
      </c>
      <c r="U29" s="2266">
        <f>S29-R29</f>
        <v>0</v>
      </c>
      <c r="V29" s="2245"/>
    </row>
    <row r="30" spans="1:22" s="1537" customFormat="1" ht="15" customHeight="1">
      <c r="A30" s="2249">
        <v>24</v>
      </c>
      <c r="B30" s="3425"/>
      <c r="C30" s="2250" t="s">
        <v>6814</v>
      </c>
      <c r="D30" s="2258"/>
      <c r="E30" s="2259"/>
      <c r="F30" s="2258"/>
      <c r="G30" s="2259"/>
      <c r="H30" s="2258"/>
      <c r="I30" s="2259"/>
      <c r="J30" s="2258"/>
      <c r="K30" s="2259"/>
      <c r="L30" s="2258"/>
      <c r="M30" s="2259"/>
      <c r="N30" s="2258"/>
      <c r="O30" s="2259"/>
      <c r="P30" s="2264">
        <f>D30+F30+H30+J30+L30+N30</f>
        <v>0</v>
      </c>
      <c r="Q30" s="2260"/>
      <c r="R30" s="2272" t="s">
        <v>509</v>
      </c>
      <c r="S30" s="2269">
        <f>E30+G30+I30+K30+M30+O30</f>
        <v>0</v>
      </c>
      <c r="T30" s="2269">
        <f>S30-Q30</f>
        <v>0</v>
      </c>
      <c r="U30" s="2274" t="s">
        <v>509</v>
      </c>
      <c r="V30" s="2245"/>
    </row>
    <row r="31" spans="1:22" s="1537" customFormat="1" ht="15" customHeight="1">
      <c r="A31" s="2249">
        <v>25</v>
      </c>
      <c r="B31" s="3423" t="s">
        <v>6827</v>
      </c>
      <c r="C31" s="3424"/>
      <c r="D31" s="2264">
        <f>D32+D33</f>
        <v>0</v>
      </c>
      <c r="E31" s="2266">
        <f t="shared" ref="E31" si="57">E32+E33</f>
        <v>0</v>
      </c>
      <c r="F31" s="2264">
        <f t="shared" ref="F31" si="58">F32+F33</f>
        <v>0</v>
      </c>
      <c r="G31" s="2266">
        <f t="shared" ref="G31" si="59">G32+G33</f>
        <v>0</v>
      </c>
      <c r="H31" s="2264">
        <f t="shared" ref="H31" si="60">H32+H33</f>
        <v>0</v>
      </c>
      <c r="I31" s="2266">
        <f t="shared" ref="I31" si="61">I32+I33</f>
        <v>0</v>
      </c>
      <c r="J31" s="2264">
        <f t="shared" ref="J31" si="62">J32+J33</f>
        <v>0</v>
      </c>
      <c r="K31" s="2266">
        <f t="shared" ref="K31" si="63">K32+K33</f>
        <v>0</v>
      </c>
      <c r="L31" s="2264">
        <f t="shared" ref="L31" si="64">L32+L33</f>
        <v>0</v>
      </c>
      <c r="M31" s="2266">
        <f t="shared" ref="M31" si="65">M32+M33</f>
        <v>0</v>
      </c>
      <c r="N31" s="2264">
        <f t="shared" ref="N31" si="66">N32+N33</f>
        <v>0</v>
      </c>
      <c r="O31" s="2266">
        <f t="shared" ref="O31" si="67">O32+O33</f>
        <v>0</v>
      </c>
      <c r="P31" s="2264">
        <f t="shared" ref="P31" si="68">P32+P33</f>
        <v>0</v>
      </c>
      <c r="Q31" s="2269">
        <f>Q33</f>
        <v>0</v>
      </c>
      <c r="R31" s="2269">
        <f>R32</f>
        <v>0</v>
      </c>
      <c r="S31" s="2269">
        <f t="shared" ref="S31" si="69">S32+S33</f>
        <v>0</v>
      </c>
      <c r="T31" s="2269">
        <f>T33</f>
        <v>0</v>
      </c>
      <c r="U31" s="2266">
        <f>U32</f>
        <v>0</v>
      </c>
      <c r="V31" s="2245"/>
    </row>
    <row r="32" spans="1:22" s="1537" customFormat="1" ht="15" customHeight="1">
      <c r="A32" s="2249">
        <v>26</v>
      </c>
      <c r="B32" s="3425" t="s">
        <v>6824</v>
      </c>
      <c r="C32" s="2250" t="s">
        <v>6813</v>
      </c>
      <c r="D32" s="2258"/>
      <c r="E32" s="2259"/>
      <c r="F32" s="2258"/>
      <c r="G32" s="2259"/>
      <c r="H32" s="2258"/>
      <c r="I32" s="2259"/>
      <c r="J32" s="2258"/>
      <c r="K32" s="2259"/>
      <c r="L32" s="2258"/>
      <c r="M32" s="2259"/>
      <c r="N32" s="2258"/>
      <c r="O32" s="2259"/>
      <c r="P32" s="2264">
        <f>D32+F32+H32+J32+L32+N32</f>
        <v>0</v>
      </c>
      <c r="Q32" s="2272" t="s">
        <v>509</v>
      </c>
      <c r="R32" s="2260"/>
      <c r="S32" s="2269">
        <f>E32+G32+I32+K32+M32+O32</f>
        <v>0</v>
      </c>
      <c r="T32" s="2272" t="s">
        <v>509</v>
      </c>
      <c r="U32" s="2266">
        <f>S32-R32</f>
        <v>0</v>
      </c>
      <c r="V32" s="2245"/>
    </row>
    <row r="33" spans="1:22" s="1537" customFormat="1" ht="15" customHeight="1">
      <c r="A33" s="2249">
        <v>27</v>
      </c>
      <c r="B33" s="3425"/>
      <c r="C33" s="2250" t="s">
        <v>6814</v>
      </c>
      <c r="D33" s="2258"/>
      <c r="E33" s="2259"/>
      <c r="F33" s="2258"/>
      <c r="G33" s="2259"/>
      <c r="H33" s="2258"/>
      <c r="I33" s="2259"/>
      <c r="J33" s="2258"/>
      <c r="K33" s="2259"/>
      <c r="L33" s="2258"/>
      <c r="M33" s="2259"/>
      <c r="N33" s="2258"/>
      <c r="O33" s="2259"/>
      <c r="P33" s="2264">
        <f>D33+F33+H33+J33+L33+N33</f>
        <v>0</v>
      </c>
      <c r="Q33" s="2260"/>
      <c r="R33" s="2272" t="s">
        <v>509</v>
      </c>
      <c r="S33" s="2269">
        <f>E33+G33+I33+K33+M33+O33</f>
        <v>0</v>
      </c>
      <c r="T33" s="2269">
        <f>S33-Q33</f>
        <v>0</v>
      </c>
      <c r="U33" s="2274" t="s">
        <v>509</v>
      </c>
      <c r="V33" s="2245"/>
    </row>
    <row r="34" spans="1:22" s="1537" customFormat="1" ht="18" customHeight="1">
      <c r="A34" s="2246">
        <v>28</v>
      </c>
      <c r="B34" s="3426" t="s">
        <v>6828</v>
      </c>
      <c r="C34" s="3427"/>
      <c r="D34" s="2253">
        <f>D22+D25+D28+D31</f>
        <v>0</v>
      </c>
      <c r="E34" s="2254">
        <f t="shared" ref="E34:U34" si="70">E22+E25+E28+E31</f>
        <v>0</v>
      </c>
      <c r="F34" s="2253">
        <f t="shared" si="70"/>
        <v>0</v>
      </c>
      <c r="G34" s="2254">
        <f t="shared" si="70"/>
        <v>0</v>
      </c>
      <c r="H34" s="2253">
        <f t="shared" si="70"/>
        <v>0</v>
      </c>
      <c r="I34" s="2254">
        <f t="shared" si="70"/>
        <v>0</v>
      </c>
      <c r="J34" s="2253">
        <f t="shared" si="70"/>
        <v>0</v>
      </c>
      <c r="K34" s="2254">
        <f t="shared" si="70"/>
        <v>0</v>
      </c>
      <c r="L34" s="2253">
        <f t="shared" si="70"/>
        <v>0</v>
      </c>
      <c r="M34" s="2254">
        <f t="shared" si="70"/>
        <v>0</v>
      </c>
      <c r="N34" s="2253">
        <f t="shared" si="70"/>
        <v>0</v>
      </c>
      <c r="O34" s="2254">
        <f t="shared" si="70"/>
        <v>0</v>
      </c>
      <c r="P34" s="2253">
        <f t="shared" si="70"/>
        <v>0</v>
      </c>
      <c r="Q34" s="2261">
        <f t="shared" si="70"/>
        <v>0</v>
      </c>
      <c r="R34" s="2261">
        <f t="shared" si="70"/>
        <v>0</v>
      </c>
      <c r="S34" s="2261">
        <f t="shared" si="70"/>
        <v>0</v>
      </c>
      <c r="T34" s="2261">
        <f t="shared" si="70"/>
        <v>0</v>
      </c>
      <c r="U34" s="2254">
        <f t="shared" si="70"/>
        <v>0</v>
      </c>
      <c r="V34" s="2244"/>
    </row>
    <row r="35" spans="1:22">
      <c r="A35" s="2069"/>
      <c r="B35" s="2241"/>
      <c r="C35" s="2069"/>
      <c r="D35" s="2069"/>
      <c r="E35" s="2069"/>
      <c r="F35" s="2069"/>
      <c r="G35" s="2069"/>
      <c r="H35" s="2069"/>
      <c r="I35" s="2013"/>
      <c r="J35" s="2069"/>
      <c r="K35" s="2069"/>
      <c r="L35" s="2069"/>
      <c r="M35" s="2069"/>
      <c r="N35" s="2241"/>
      <c r="O35" s="2241"/>
      <c r="P35" s="2069"/>
      <c r="Q35" s="2241"/>
      <c r="R35" s="2069"/>
      <c r="S35" s="2069"/>
      <c r="T35" s="2069"/>
      <c r="U35" s="2069"/>
      <c r="V35" s="2069"/>
    </row>
    <row r="36" spans="1:22">
      <c r="B36" s="2558" t="s">
        <v>7426</v>
      </c>
      <c r="C36" s="3451" t="s">
        <v>7427</v>
      </c>
      <c r="D36" s="3451"/>
      <c r="E36" s="3451"/>
    </row>
    <row r="37" spans="1:22">
      <c r="B37" s="2559" t="s">
        <v>7428</v>
      </c>
      <c r="C37" s="3452" t="s">
        <v>7429</v>
      </c>
      <c r="D37" s="3452"/>
      <c r="E37" s="3452"/>
    </row>
    <row r="38" spans="1:22">
      <c r="B38" s="2559" t="s">
        <v>1943</v>
      </c>
      <c r="C38" s="3452" t="s">
        <v>7430</v>
      </c>
      <c r="D38" s="3452"/>
      <c r="E38" s="3452"/>
    </row>
    <row r="39" spans="1:22">
      <c r="B39" s="2559" t="s">
        <v>7431</v>
      </c>
      <c r="C39" s="3452" t="s">
        <v>7432</v>
      </c>
      <c r="D39" s="3452"/>
      <c r="E39" s="3452"/>
    </row>
    <row r="40" spans="1:22">
      <c r="B40" s="2559" t="s">
        <v>7433</v>
      </c>
      <c r="C40" s="3452" t="s">
        <v>7434</v>
      </c>
      <c r="D40" s="3452"/>
      <c r="E40" s="3452"/>
    </row>
    <row r="41" spans="1:22">
      <c r="B41" s="2559" t="s">
        <v>7435</v>
      </c>
      <c r="C41" s="3452" t="s">
        <v>7436</v>
      </c>
      <c r="D41" s="3452"/>
      <c r="E41" s="3452"/>
    </row>
    <row r="42" spans="1:22">
      <c r="B42" s="2559" t="s">
        <v>1945</v>
      </c>
      <c r="C42" s="3452" t="s">
        <v>7437</v>
      </c>
      <c r="D42" s="3452"/>
      <c r="E42" s="3452"/>
    </row>
    <row r="43" spans="1:22">
      <c r="B43" s="2559" t="s">
        <v>7438</v>
      </c>
      <c r="C43" s="3452" t="s">
        <v>7439</v>
      </c>
      <c r="D43" s="3452"/>
      <c r="E43" s="3452"/>
    </row>
    <row r="44" spans="1:22">
      <c r="B44" s="2559" t="s">
        <v>7440</v>
      </c>
      <c r="C44" s="3452" t="s">
        <v>7441</v>
      </c>
      <c r="D44" s="3452"/>
      <c r="E44" s="3452"/>
    </row>
    <row r="45" spans="1:22">
      <c r="B45" s="2559" t="s">
        <v>7442</v>
      </c>
      <c r="C45" s="3452" t="s">
        <v>7443</v>
      </c>
      <c r="D45" s="3452"/>
      <c r="E45" s="3452"/>
    </row>
    <row r="46" spans="1:22">
      <c r="B46" s="2559" t="s">
        <v>7444</v>
      </c>
      <c r="C46" s="3452" t="s">
        <v>7445</v>
      </c>
      <c r="D46" s="3452"/>
      <c r="E46" s="3452"/>
    </row>
    <row r="47" spans="1:22">
      <c r="B47" s="2559" t="s">
        <v>7446</v>
      </c>
      <c r="C47" s="3452" t="s">
        <v>7447</v>
      </c>
      <c r="D47" s="3452"/>
      <c r="E47" s="3452"/>
    </row>
    <row r="48" spans="1:22">
      <c r="B48" s="2559" t="s">
        <v>1949</v>
      </c>
      <c r="C48" s="3452" t="s">
        <v>7448</v>
      </c>
      <c r="D48" s="3452"/>
      <c r="E48" s="3452"/>
    </row>
    <row r="49" spans="2:5">
      <c r="B49" s="2559" t="s">
        <v>7449</v>
      </c>
      <c r="C49" s="3452" t="s">
        <v>7450</v>
      </c>
      <c r="D49" s="3452"/>
      <c r="E49" s="3452"/>
    </row>
    <row r="50" spans="2:5">
      <c r="B50" s="2559" t="s">
        <v>7451</v>
      </c>
      <c r="C50" s="3452" t="s">
        <v>7452</v>
      </c>
      <c r="D50" s="3452"/>
      <c r="E50" s="3452"/>
    </row>
    <row r="51" spans="2:5">
      <c r="B51" s="2559" t="s">
        <v>7453</v>
      </c>
      <c r="C51" s="3452" t="s">
        <v>7454</v>
      </c>
      <c r="D51" s="3452"/>
      <c r="E51" s="3452"/>
    </row>
    <row r="52" spans="2:5">
      <c r="B52" s="2559" t="s">
        <v>7455</v>
      </c>
      <c r="C52" s="3452" t="s">
        <v>7456</v>
      </c>
      <c r="D52" s="3452"/>
      <c r="E52" s="3452"/>
    </row>
    <row r="53" spans="2:5">
      <c r="B53" s="2559" t="s">
        <v>7457</v>
      </c>
      <c r="C53" s="3452" t="s">
        <v>7458</v>
      </c>
      <c r="D53" s="3452"/>
      <c r="E53" s="3452"/>
    </row>
    <row r="54" spans="2:5">
      <c r="B54" s="2559" t="s">
        <v>7459</v>
      </c>
      <c r="C54" s="3452" t="s">
        <v>7460</v>
      </c>
      <c r="D54" s="3452"/>
      <c r="E54" s="3452"/>
    </row>
    <row r="55" spans="2:5">
      <c r="B55" s="2559" t="s">
        <v>1965</v>
      </c>
      <c r="C55" s="3452" t="s">
        <v>7461</v>
      </c>
      <c r="D55" s="3452"/>
      <c r="E55" s="3452"/>
    </row>
    <row r="56" spans="2:5">
      <c r="B56" s="2559" t="s">
        <v>1681</v>
      </c>
      <c r="C56" s="3452" t="s">
        <v>7462</v>
      </c>
      <c r="D56" s="3452"/>
      <c r="E56" s="3452"/>
    </row>
    <row r="57" spans="2:5">
      <c r="B57" s="2559" t="s">
        <v>7463</v>
      </c>
      <c r="C57" s="3452" t="s">
        <v>7464</v>
      </c>
      <c r="D57" s="3452"/>
      <c r="E57" s="3452"/>
    </row>
    <row r="58" spans="2:5">
      <c r="B58" s="2559" t="s">
        <v>7465</v>
      </c>
      <c r="C58" s="3452" t="s">
        <v>7466</v>
      </c>
      <c r="D58" s="3452"/>
      <c r="E58" s="3452"/>
    </row>
    <row r="59" spans="2:5">
      <c r="B59" s="2559" t="s">
        <v>2693</v>
      </c>
      <c r="C59" s="3452" t="s">
        <v>7467</v>
      </c>
      <c r="D59" s="3452"/>
      <c r="E59" s="3452"/>
    </row>
    <row r="60" spans="2:5">
      <c r="B60" s="2559" t="s">
        <v>7468</v>
      </c>
      <c r="C60" s="3452" t="s">
        <v>7469</v>
      </c>
      <c r="D60" s="3452"/>
      <c r="E60" s="3452"/>
    </row>
    <row r="61" spans="2:5">
      <c r="B61" s="2559" t="s">
        <v>7470</v>
      </c>
      <c r="C61" s="3452" t="s">
        <v>7471</v>
      </c>
      <c r="D61" s="3452"/>
      <c r="E61" s="3452"/>
    </row>
    <row r="62" spans="2:5">
      <c r="B62" s="2559" t="s">
        <v>7472</v>
      </c>
      <c r="C62" s="3452" t="s">
        <v>7473</v>
      </c>
      <c r="D62" s="3452"/>
      <c r="E62" s="3452"/>
    </row>
    <row r="63" spans="2:5">
      <c r="B63" s="2559" t="s">
        <v>1973</v>
      </c>
      <c r="C63" s="3452" t="s">
        <v>7474</v>
      </c>
      <c r="D63" s="3452"/>
      <c r="E63" s="3452"/>
    </row>
    <row r="64" spans="2:5">
      <c r="B64" s="2559" t="s">
        <v>1975</v>
      </c>
      <c r="C64" s="3452" t="s">
        <v>7475</v>
      </c>
      <c r="D64" s="3452"/>
      <c r="E64" s="3452"/>
    </row>
    <row r="65" spans="2:5">
      <c r="B65" s="2559" t="s">
        <v>7476</v>
      </c>
      <c r="C65" s="3452" t="s">
        <v>7477</v>
      </c>
      <c r="D65" s="3452"/>
      <c r="E65" s="3452"/>
    </row>
    <row r="66" spans="2:5">
      <c r="B66" s="2559" t="s">
        <v>7478</v>
      </c>
      <c r="C66" s="3452" t="s">
        <v>7479</v>
      </c>
      <c r="D66" s="3452"/>
      <c r="E66" s="3452"/>
    </row>
    <row r="67" spans="2:5">
      <c r="B67" s="2559" t="s">
        <v>7480</v>
      </c>
      <c r="C67" s="3452" t="s">
        <v>7481</v>
      </c>
      <c r="D67" s="3452"/>
      <c r="E67" s="3452"/>
    </row>
    <row r="68" spans="2:5">
      <c r="B68" s="2559" t="s">
        <v>7482</v>
      </c>
      <c r="C68" s="3452" t="s">
        <v>7483</v>
      </c>
      <c r="D68" s="3452"/>
      <c r="E68" s="3452"/>
    </row>
    <row r="69" spans="2:5">
      <c r="B69" s="2559" t="s">
        <v>7484</v>
      </c>
      <c r="C69" s="3452" t="s">
        <v>7485</v>
      </c>
      <c r="D69" s="3452"/>
      <c r="E69" s="3452"/>
    </row>
    <row r="70" spans="2:5">
      <c r="B70" s="2559" t="s">
        <v>1979</v>
      </c>
      <c r="C70" s="3452" t="s">
        <v>7486</v>
      </c>
      <c r="D70" s="3452"/>
      <c r="E70" s="3452"/>
    </row>
    <row r="71" spans="2:5">
      <c r="B71" s="2559" t="s">
        <v>1682</v>
      </c>
      <c r="C71" s="3452" t="s">
        <v>7487</v>
      </c>
      <c r="D71" s="3452"/>
      <c r="E71" s="3452"/>
    </row>
    <row r="72" spans="2:5">
      <c r="B72" s="2559" t="s">
        <v>7488</v>
      </c>
      <c r="C72" s="3452" t="s">
        <v>7489</v>
      </c>
      <c r="D72" s="3452"/>
      <c r="E72" s="3452"/>
    </row>
    <row r="73" spans="2:5">
      <c r="B73" s="2559" t="s">
        <v>1984</v>
      </c>
      <c r="C73" s="3452" t="s">
        <v>7490</v>
      </c>
      <c r="D73" s="3452"/>
      <c r="E73" s="3452"/>
    </row>
    <row r="74" spans="2:5">
      <c r="B74" s="2559" t="s">
        <v>7491</v>
      </c>
      <c r="C74" s="3452" t="s">
        <v>7492</v>
      </c>
      <c r="D74" s="3452"/>
      <c r="E74" s="3452"/>
    </row>
    <row r="75" spans="2:5">
      <c r="B75" s="2559" t="s">
        <v>1986</v>
      </c>
      <c r="C75" s="3452" t="s">
        <v>7493</v>
      </c>
      <c r="D75" s="3452"/>
      <c r="E75" s="3452"/>
    </row>
    <row r="76" spans="2:5">
      <c r="B76" s="2559" t="s">
        <v>7494</v>
      </c>
      <c r="C76" s="3452" t="s">
        <v>7495</v>
      </c>
      <c r="D76" s="3452"/>
      <c r="E76" s="3452"/>
    </row>
    <row r="77" spans="2:5">
      <c r="B77" s="2559" t="s">
        <v>7496</v>
      </c>
      <c r="C77" s="3452" t="s">
        <v>7497</v>
      </c>
      <c r="D77" s="3452"/>
      <c r="E77" s="3452"/>
    </row>
    <row r="78" spans="2:5">
      <c r="B78" s="2559" t="s">
        <v>1990</v>
      </c>
      <c r="C78" s="3452" t="s">
        <v>7498</v>
      </c>
      <c r="D78" s="3452"/>
      <c r="E78" s="3452"/>
    </row>
    <row r="79" spans="2:5">
      <c r="B79" s="2559" t="s">
        <v>7499</v>
      </c>
      <c r="C79" s="3452" t="s">
        <v>7500</v>
      </c>
      <c r="D79" s="3452"/>
      <c r="E79" s="3452"/>
    </row>
    <row r="80" spans="2:5">
      <c r="B80" s="2559" t="s">
        <v>1683</v>
      </c>
      <c r="C80" s="3452" t="s">
        <v>7501</v>
      </c>
      <c r="D80" s="3452"/>
      <c r="E80" s="3452"/>
    </row>
    <row r="81" spans="2:5">
      <c r="B81" s="2559" t="s">
        <v>1995</v>
      </c>
      <c r="C81" s="3452" t="s">
        <v>7502</v>
      </c>
      <c r="D81" s="3452"/>
      <c r="E81" s="3452"/>
    </row>
    <row r="82" spans="2:5">
      <c r="B82" s="2559" t="s">
        <v>1997</v>
      </c>
      <c r="C82" s="3452" t="s">
        <v>7503</v>
      </c>
      <c r="D82" s="3452"/>
      <c r="E82" s="3452"/>
    </row>
    <row r="83" spans="2:5">
      <c r="B83" s="2559" t="s">
        <v>7504</v>
      </c>
      <c r="C83" s="3452" t="s">
        <v>7505</v>
      </c>
      <c r="D83" s="3452"/>
      <c r="E83" s="3452"/>
    </row>
    <row r="84" spans="2:5">
      <c r="B84" s="2559" t="s">
        <v>2005</v>
      </c>
      <c r="C84" s="3452" t="s">
        <v>7506</v>
      </c>
      <c r="D84" s="3452"/>
      <c r="E84" s="3452"/>
    </row>
    <row r="85" spans="2:5">
      <c r="B85" s="2559" t="s">
        <v>7507</v>
      </c>
      <c r="C85" s="3452" t="s">
        <v>7508</v>
      </c>
      <c r="D85" s="3452"/>
      <c r="E85" s="3452"/>
    </row>
    <row r="86" spans="2:5">
      <c r="B86" s="2559" t="s">
        <v>7509</v>
      </c>
      <c r="C86" s="3452" t="s">
        <v>7510</v>
      </c>
      <c r="D86" s="3452"/>
      <c r="E86" s="3452"/>
    </row>
    <row r="87" spans="2:5">
      <c r="B87" s="2559" t="s">
        <v>7511</v>
      </c>
      <c r="C87" s="3452" t="s">
        <v>7512</v>
      </c>
      <c r="D87" s="3452"/>
      <c r="E87" s="3452"/>
    </row>
    <row r="88" spans="2:5">
      <c r="B88" s="2559" t="s">
        <v>2021</v>
      </c>
      <c r="C88" s="3452" t="s">
        <v>7513</v>
      </c>
      <c r="D88" s="3452"/>
      <c r="E88" s="3452"/>
    </row>
    <row r="89" spans="2:5">
      <c r="B89" s="2559" t="s">
        <v>7514</v>
      </c>
      <c r="C89" s="3452" t="s">
        <v>7515</v>
      </c>
      <c r="D89" s="3452"/>
      <c r="E89" s="3452"/>
    </row>
    <row r="90" spans="2:5">
      <c r="B90" s="2559" t="s">
        <v>7516</v>
      </c>
      <c r="C90" s="3452" t="s">
        <v>7517</v>
      </c>
      <c r="D90" s="3452"/>
      <c r="E90" s="3452"/>
    </row>
    <row r="91" spans="2:5">
      <c r="B91" s="2559" t="s">
        <v>7518</v>
      </c>
      <c r="C91" s="3452" t="s">
        <v>7519</v>
      </c>
      <c r="D91" s="3452"/>
      <c r="E91" s="3452"/>
    </row>
    <row r="92" spans="2:5">
      <c r="B92" s="2559" t="s">
        <v>7520</v>
      </c>
      <c r="C92" s="3452" t="s">
        <v>7521</v>
      </c>
      <c r="D92" s="3452"/>
      <c r="E92" s="3452"/>
    </row>
    <row r="93" spans="2:5">
      <c r="B93" s="2559" t="s">
        <v>2762</v>
      </c>
      <c r="C93" s="3452" t="s">
        <v>7522</v>
      </c>
      <c r="D93" s="3452"/>
      <c r="E93" s="3452"/>
    </row>
    <row r="94" spans="2:5">
      <c r="B94" s="2559" t="s">
        <v>2025</v>
      </c>
      <c r="C94" s="3452" t="s">
        <v>7523</v>
      </c>
      <c r="D94" s="3452"/>
      <c r="E94" s="3452"/>
    </row>
    <row r="95" spans="2:5">
      <c r="B95" s="2559" t="s">
        <v>7524</v>
      </c>
      <c r="C95" s="3452" t="s">
        <v>7525</v>
      </c>
      <c r="D95" s="3452"/>
      <c r="E95" s="3452"/>
    </row>
    <row r="96" spans="2:5">
      <c r="B96" s="2559" t="s">
        <v>7526</v>
      </c>
      <c r="C96" s="3452" t="s">
        <v>7527</v>
      </c>
      <c r="D96" s="3452"/>
      <c r="E96" s="3452"/>
    </row>
    <row r="97" spans="2:5">
      <c r="B97" s="2559" t="s">
        <v>7528</v>
      </c>
      <c r="C97" s="3452" t="s">
        <v>7529</v>
      </c>
      <c r="D97" s="3452"/>
      <c r="E97" s="3452"/>
    </row>
    <row r="98" spans="2:5">
      <c r="B98" s="2559" t="s">
        <v>2029</v>
      </c>
      <c r="C98" s="3452" t="s">
        <v>7530</v>
      </c>
      <c r="D98" s="3452"/>
      <c r="E98" s="3452"/>
    </row>
    <row r="99" spans="2:5">
      <c r="B99" s="2559" t="s">
        <v>7531</v>
      </c>
      <c r="C99" s="3452" t="s">
        <v>7532</v>
      </c>
      <c r="D99" s="3452"/>
      <c r="E99" s="3452"/>
    </row>
    <row r="100" spans="2:5">
      <c r="B100" s="2559" t="s">
        <v>2049</v>
      </c>
      <c r="C100" s="3452" t="s">
        <v>7533</v>
      </c>
      <c r="D100" s="3452"/>
      <c r="E100" s="3452"/>
    </row>
    <row r="101" spans="2:5">
      <c r="B101" s="2559" t="s">
        <v>7534</v>
      </c>
      <c r="C101" s="3452" t="s">
        <v>7535</v>
      </c>
      <c r="D101" s="3452"/>
      <c r="E101" s="3452"/>
    </row>
    <row r="102" spans="2:5">
      <c r="B102" s="2559" t="s">
        <v>2051</v>
      </c>
      <c r="C102" s="3452" t="s">
        <v>7536</v>
      </c>
      <c r="D102" s="3452"/>
      <c r="E102" s="3452"/>
    </row>
    <row r="103" spans="2:5">
      <c r="B103" s="2559" t="s">
        <v>7537</v>
      </c>
      <c r="C103" s="3452" t="s">
        <v>7538</v>
      </c>
      <c r="D103" s="3452"/>
      <c r="E103" s="3452"/>
    </row>
    <row r="104" spans="2:5">
      <c r="B104" s="2559" t="s">
        <v>2053</v>
      </c>
      <c r="C104" s="3452" t="s">
        <v>7539</v>
      </c>
      <c r="D104" s="3452"/>
      <c r="E104" s="3452"/>
    </row>
    <row r="105" spans="2:5">
      <c r="B105" s="2559" t="s">
        <v>7540</v>
      </c>
      <c r="C105" s="3452" t="s">
        <v>7541</v>
      </c>
      <c r="D105" s="3452"/>
      <c r="E105" s="3452"/>
    </row>
    <row r="106" spans="2:5">
      <c r="B106" s="2559" t="s">
        <v>7542</v>
      </c>
      <c r="C106" s="3452" t="s">
        <v>7543</v>
      </c>
      <c r="D106" s="3452"/>
      <c r="E106" s="3452"/>
    </row>
    <row r="107" spans="2:5">
      <c r="B107" s="2559" t="s">
        <v>7544</v>
      </c>
      <c r="C107" s="3452" t="s">
        <v>7545</v>
      </c>
      <c r="D107" s="3452"/>
      <c r="E107" s="3452"/>
    </row>
    <row r="108" spans="2:5">
      <c r="B108" s="2559" t="s">
        <v>7546</v>
      </c>
      <c r="C108" s="3452" t="s">
        <v>7547</v>
      </c>
      <c r="D108" s="3452"/>
      <c r="E108" s="3452"/>
    </row>
    <row r="109" spans="2:5">
      <c r="B109" s="2559" t="s">
        <v>7548</v>
      </c>
      <c r="C109" s="3452" t="s">
        <v>7549</v>
      </c>
      <c r="D109" s="3452"/>
      <c r="E109" s="3452"/>
    </row>
    <row r="110" spans="2:5">
      <c r="B110" s="2559" t="s">
        <v>7550</v>
      </c>
      <c r="C110" s="3452" t="s">
        <v>7551</v>
      </c>
      <c r="D110" s="3452"/>
      <c r="E110" s="3452"/>
    </row>
    <row r="111" spans="2:5">
      <c r="B111" s="2559" t="s">
        <v>2057</v>
      </c>
      <c r="C111" s="3452" t="s">
        <v>7552</v>
      </c>
      <c r="D111" s="3452"/>
      <c r="E111" s="3452"/>
    </row>
    <row r="112" spans="2:5">
      <c r="B112" s="2559" t="s">
        <v>7553</v>
      </c>
      <c r="C112" s="3452" t="s">
        <v>7554</v>
      </c>
      <c r="D112" s="3452"/>
      <c r="E112" s="3452"/>
    </row>
    <row r="113" spans="2:5">
      <c r="B113" s="2559" t="s">
        <v>7555</v>
      </c>
      <c r="C113" s="3452" t="s">
        <v>7556</v>
      </c>
      <c r="D113" s="3452"/>
      <c r="E113" s="3452"/>
    </row>
    <row r="114" spans="2:5">
      <c r="B114" s="2559" t="s">
        <v>7557</v>
      </c>
      <c r="C114" s="3452" t="s">
        <v>7558</v>
      </c>
      <c r="D114" s="3452"/>
      <c r="E114" s="3452"/>
    </row>
    <row r="115" spans="2:5">
      <c r="B115" s="2559" t="s">
        <v>2059</v>
      </c>
      <c r="C115" s="3452" t="s">
        <v>7559</v>
      </c>
      <c r="D115" s="3452"/>
      <c r="E115" s="3452"/>
    </row>
    <row r="116" spans="2:5">
      <c r="B116" s="2559" t="s">
        <v>7560</v>
      </c>
      <c r="C116" s="3452" t="s">
        <v>7561</v>
      </c>
      <c r="D116" s="3452"/>
      <c r="E116" s="3452"/>
    </row>
    <row r="117" spans="2:5">
      <c r="B117" s="2559" t="s">
        <v>7562</v>
      </c>
      <c r="C117" s="3452" t="s">
        <v>7563</v>
      </c>
      <c r="D117" s="3452"/>
      <c r="E117" s="3452"/>
    </row>
    <row r="118" spans="2:5">
      <c r="B118" s="2559" t="s">
        <v>2061</v>
      </c>
      <c r="C118" s="3452" t="s">
        <v>7564</v>
      </c>
      <c r="D118" s="3452"/>
      <c r="E118" s="3452"/>
    </row>
    <row r="119" spans="2:5">
      <c r="B119" s="2559" t="s">
        <v>7565</v>
      </c>
      <c r="C119" s="3452" t="s">
        <v>7566</v>
      </c>
      <c r="D119" s="3452"/>
      <c r="E119" s="3452"/>
    </row>
    <row r="120" spans="2:5">
      <c r="B120" s="2559" t="s">
        <v>7567</v>
      </c>
      <c r="C120" s="3452" t="s">
        <v>7568</v>
      </c>
      <c r="D120" s="3452"/>
      <c r="E120" s="3452"/>
    </row>
    <row r="121" spans="2:5">
      <c r="B121" s="2559" t="s">
        <v>7569</v>
      </c>
      <c r="C121" s="3452" t="s">
        <v>7570</v>
      </c>
      <c r="D121" s="3452"/>
      <c r="E121" s="3452"/>
    </row>
    <row r="122" spans="2:5">
      <c r="B122" s="2559" t="s">
        <v>2063</v>
      </c>
      <c r="C122" s="3452" t="s">
        <v>7571</v>
      </c>
      <c r="D122" s="3452"/>
      <c r="E122" s="3452"/>
    </row>
    <row r="123" spans="2:5">
      <c r="B123" s="2559" t="s">
        <v>7572</v>
      </c>
      <c r="C123" s="3452" t="s">
        <v>7573</v>
      </c>
      <c r="D123" s="3452"/>
      <c r="E123" s="3452"/>
    </row>
    <row r="124" spans="2:5">
      <c r="B124" s="2559" t="s">
        <v>7574</v>
      </c>
      <c r="C124" s="3452" t="s">
        <v>7575</v>
      </c>
      <c r="D124" s="3452"/>
      <c r="E124" s="3452"/>
    </row>
    <row r="125" spans="2:5">
      <c r="B125" s="2559" t="s">
        <v>7576</v>
      </c>
      <c r="C125" s="3452" t="s">
        <v>7577</v>
      </c>
      <c r="D125" s="3452"/>
      <c r="E125" s="3452"/>
    </row>
    <row r="126" spans="2:5">
      <c r="B126" s="2559" t="s">
        <v>7578</v>
      </c>
      <c r="C126" s="3452" t="s">
        <v>7579</v>
      </c>
      <c r="D126" s="3452"/>
      <c r="E126" s="3452"/>
    </row>
    <row r="127" spans="2:5">
      <c r="B127" s="2559" t="s">
        <v>7580</v>
      </c>
      <c r="C127" s="3452" t="s">
        <v>7581</v>
      </c>
      <c r="D127" s="3452"/>
      <c r="E127" s="3452"/>
    </row>
    <row r="128" spans="2:5">
      <c r="B128" s="2559" t="s">
        <v>7582</v>
      </c>
      <c r="C128" s="3452" t="s">
        <v>7583</v>
      </c>
      <c r="D128" s="3452"/>
      <c r="E128" s="3452"/>
    </row>
    <row r="129" spans="2:5">
      <c r="B129" s="2559" t="s">
        <v>2067</v>
      </c>
      <c r="C129" s="3452" t="s">
        <v>7584</v>
      </c>
      <c r="D129" s="3452"/>
      <c r="E129" s="3452"/>
    </row>
    <row r="130" spans="2:5">
      <c r="B130" s="2559" t="s">
        <v>7585</v>
      </c>
      <c r="C130" s="3452" t="s">
        <v>7586</v>
      </c>
      <c r="D130" s="3452"/>
      <c r="E130" s="3452"/>
    </row>
    <row r="131" spans="2:5">
      <c r="B131" s="2559" t="s">
        <v>7587</v>
      </c>
      <c r="C131" s="3452" t="s">
        <v>7588</v>
      </c>
      <c r="D131" s="3452"/>
      <c r="E131" s="3452"/>
    </row>
    <row r="132" spans="2:5">
      <c r="B132" s="2559" t="s">
        <v>7589</v>
      </c>
      <c r="C132" s="3452" t="s">
        <v>7590</v>
      </c>
      <c r="D132" s="3452"/>
      <c r="E132" s="3452"/>
    </row>
    <row r="133" spans="2:5">
      <c r="B133" s="2559" t="s">
        <v>2071</v>
      </c>
      <c r="C133" s="3452" t="s">
        <v>7591</v>
      </c>
      <c r="D133" s="3452"/>
      <c r="E133" s="3452"/>
    </row>
    <row r="134" spans="2:5">
      <c r="B134" s="2559" t="s">
        <v>7592</v>
      </c>
      <c r="C134" s="3452" t="s">
        <v>7593</v>
      </c>
      <c r="D134" s="3452"/>
      <c r="E134" s="3452"/>
    </row>
    <row r="135" spans="2:5">
      <c r="B135" s="2559" t="s">
        <v>2073</v>
      </c>
      <c r="C135" s="3452" t="s">
        <v>7594</v>
      </c>
      <c r="D135" s="3452"/>
      <c r="E135" s="3452"/>
    </row>
    <row r="136" spans="2:5">
      <c r="B136" s="2559" t="s">
        <v>7595</v>
      </c>
      <c r="C136" s="3452" t="s">
        <v>7596</v>
      </c>
      <c r="D136" s="3452"/>
      <c r="E136" s="3452"/>
    </row>
    <row r="137" spans="2:5">
      <c r="B137" s="2559" t="s">
        <v>2075</v>
      </c>
      <c r="C137" s="3452" t="s">
        <v>7597</v>
      </c>
      <c r="D137" s="3452"/>
      <c r="E137" s="3452"/>
    </row>
    <row r="138" spans="2:5">
      <c r="B138" s="2559" t="s">
        <v>7598</v>
      </c>
      <c r="C138" s="3452" t="s">
        <v>7599</v>
      </c>
      <c r="D138" s="3452"/>
      <c r="E138" s="3452"/>
    </row>
    <row r="139" spans="2:5">
      <c r="B139" s="2559" t="s">
        <v>7600</v>
      </c>
      <c r="C139" s="3452" t="s">
        <v>7601</v>
      </c>
      <c r="D139" s="3452"/>
      <c r="E139" s="3452"/>
    </row>
    <row r="140" spans="2:5">
      <c r="B140" s="2559" t="s">
        <v>7602</v>
      </c>
      <c r="C140" s="3452" t="s">
        <v>7603</v>
      </c>
      <c r="D140" s="3452"/>
      <c r="E140" s="3452"/>
    </row>
    <row r="141" spans="2:5">
      <c r="B141" s="2559" t="s">
        <v>7604</v>
      </c>
      <c r="C141" s="3452" t="s">
        <v>7605</v>
      </c>
      <c r="D141" s="3452"/>
      <c r="E141" s="3452"/>
    </row>
    <row r="142" spans="2:5">
      <c r="B142" s="2559" t="s">
        <v>7606</v>
      </c>
      <c r="C142" s="3452" t="s">
        <v>7607</v>
      </c>
      <c r="D142" s="3452"/>
      <c r="E142" s="3452"/>
    </row>
    <row r="143" spans="2:5">
      <c r="B143" s="2559" t="s">
        <v>2079</v>
      </c>
      <c r="C143" s="3452" t="s">
        <v>7608</v>
      </c>
      <c r="D143" s="3452"/>
      <c r="E143" s="3452"/>
    </row>
    <row r="144" spans="2:5">
      <c r="B144" s="2559" t="s">
        <v>7609</v>
      </c>
      <c r="C144" s="3452" t="s">
        <v>7610</v>
      </c>
      <c r="D144" s="3452"/>
      <c r="E144" s="3452"/>
    </row>
    <row r="145" spans="2:5">
      <c r="B145" s="2559" t="s">
        <v>7611</v>
      </c>
      <c r="C145" s="3452" t="s">
        <v>7612</v>
      </c>
      <c r="D145" s="3452"/>
      <c r="E145" s="3452"/>
    </row>
    <row r="146" spans="2:5">
      <c r="B146" s="2559" t="s">
        <v>7613</v>
      </c>
      <c r="C146" s="3452" t="s">
        <v>7614</v>
      </c>
      <c r="D146" s="3452"/>
      <c r="E146" s="3452"/>
    </row>
    <row r="147" spans="2:5">
      <c r="B147" s="2559" t="s">
        <v>7615</v>
      </c>
      <c r="C147" s="3452" t="s">
        <v>7616</v>
      </c>
      <c r="D147" s="3452"/>
      <c r="E147" s="3452"/>
    </row>
    <row r="148" spans="2:5">
      <c r="B148" s="2559" t="s">
        <v>7617</v>
      </c>
      <c r="C148" s="3452" t="s">
        <v>7618</v>
      </c>
      <c r="D148" s="3452"/>
      <c r="E148" s="3452"/>
    </row>
    <row r="149" spans="2:5">
      <c r="B149" s="2559" t="s">
        <v>2083</v>
      </c>
      <c r="C149" s="3452" t="s">
        <v>7619</v>
      </c>
      <c r="D149" s="3452"/>
      <c r="E149" s="3452"/>
    </row>
    <row r="150" spans="2:5">
      <c r="B150" s="2559" t="s">
        <v>7620</v>
      </c>
      <c r="C150" s="3452" t="s">
        <v>7621</v>
      </c>
      <c r="D150" s="3452"/>
      <c r="E150" s="3452"/>
    </row>
    <row r="151" spans="2:5">
      <c r="B151" s="2559" t="s">
        <v>7622</v>
      </c>
      <c r="C151" s="3452" t="s">
        <v>7623</v>
      </c>
      <c r="D151" s="3452"/>
      <c r="E151" s="3452"/>
    </row>
    <row r="152" spans="2:5">
      <c r="B152" s="2559" t="s">
        <v>7624</v>
      </c>
      <c r="C152" s="3452" t="s">
        <v>7625</v>
      </c>
      <c r="D152" s="3452"/>
      <c r="E152" s="3452"/>
    </row>
    <row r="153" spans="2:5">
      <c r="B153" s="2559" t="s">
        <v>7626</v>
      </c>
      <c r="C153" s="3452" t="s">
        <v>7627</v>
      </c>
      <c r="D153" s="3452"/>
      <c r="E153" s="3452"/>
    </row>
    <row r="154" spans="2:5">
      <c r="B154" s="2559" t="s">
        <v>7628</v>
      </c>
      <c r="C154" s="3452" t="s">
        <v>7629</v>
      </c>
      <c r="D154" s="3452"/>
      <c r="E154" s="3452"/>
    </row>
    <row r="155" spans="2:5">
      <c r="B155" s="2559" t="s">
        <v>7630</v>
      </c>
      <c r="C155" s="3452" t="s">
        <v>7631</v>
      </c>
      <c r="D155" s="3452"/>
      <c r="E155" s="3452"/>
    </row>
    <row r="156" spans="2:5">
      <c r="B156" s="2559" t="s">
        <v>7632</v>
      </c>
      <c r="C156" s="3452" t="s">
        <v>7633</v>
      </c>
      <c r="D156" s="3452"/>
      <c r="E156" s="3452"/>
    </row>
    <row r="157" spans="2:5">
      <c r="B157" s="2559" t="s">
        <v>7634</v>
      </c>
      <c r="C157" s="3452" t="s">
        <v>7635</v>
      </c>
      <c r="D157" s="3452"/>
      <c r="E157" s="3452"/>
    </row>
    <row r="158" spans="2:5">
      <c r="B158" s="2559" t="s">
        <v>7636</v>
      </c>
      <c r="C158" s="3452" t="s">
        <v>7637</v>
      </c>
      <c r="D158" s="3452"/>
      <c r="E158" s="3452"/>
    </row>
    <row r="159" spans="2:5">
      <c r="B159" s="2559" t="s">
        <v>2089</v>
      </c>
      <c r="C159" s="3452" t="s">
        <v>7638</v>
      </c>
      <c r="D159" s="3452"/>
      <c r="E159" s="3452"/>
    </row>
    <row r="160" spans="2:5">
      <c r="B160" s="2559" t="s">
        <v>7639</v>
      </c>
      <c r="C160" s="3452" t="s">
        <v>7640</v>
      </c>
      <c r="D160" s="3452"/>
      <c r="E160" s="3452"/>
    </row>
    <row r="161" spans="2:5">
      <c r="B161" s="2559" t="s">
        <v>7641</v>
      </c>
      <c r="C161" s="3452" t="s">
        <v>7642</v>
      </c>
      <c r="D161" s="3452"/>
      <c r="E161" s="3452"/>
    </row>
    <row r="162" spans="2:5">
      <c r="B162" s="2559" t="s">
        <v>7643</v>
      </c>
      <c r="C162" s="3452" t="s">
        <v>7644</v>
      </c>
      <c r="D162" s="3452"/>
      <c r="E162" s="3452"/>
    </row>
    <row r="163" spans="2:5">
      <c r="B163" s="2559" t="s">
        <v>7645</v>
      </c>
      <c r="C163" s="3452" t="s">
        <v>7646</v>
      </c>
      <c r="D163" s="3452"/>
      <c r="E163" s="3452"/>
    </row>
    <row r="164" spans="2:5">
      <c r="B164" s="2559" t="s">
        <v>7647</v>
      </c>
      <c r="C164" s="3452" t="s">
        <v>7648</v>
      </c>
      <c r="D164" s="3452"/>
      <c r="E164" s="3452"/>
    </row>
    <row r="165" spans="2:5">
      <c r="B165" s="2559" t="s">
        <v>2221</v>
      </c>
      <c r="C165" s="3452" t="s">
        <v>7649</v>
      </c>
      <c r="D165" s="3452"/>
      <c r="E165" s="3452"/>
    </row>
    <row r="166" spans="2:5">
      <c r="B166" s="2559" t="s">
        <v>7650</v>
      </c>
      <c r="C166" s="3452" t="s">
        <v>7651</v>
      </c>
      <c r="D166" s="3452"/>
      <c r="E166" s="3452"/>
    </row>
    <row r="167" spans="2:5">
      <c r="B167" s="2559" t="s">
        <v>7652</v>
      </c>
      <c r="C167" s="3452" t="s">
        <v>7653</v>
      </c>
      <c r="D167" s="3452"/>
      <c r="E167" s="3452"/>
    </row>
    <row r="168" spans="2:5">
      <c r="B168" s="2559" t="s">
        <v>2976</v>
      </c>
      <c r="C168" s="3452" t="s">
        <v>7654</v>
      </c>
      <c r="D168" s="3452"/>
      <c r="E168" s="3452"/>
    </row>
    <row r="169" spans="2:5">
      <c r="B169" s="2559" t="s">
        <v>7655</v>
      </c>
      <c r="C169" s="3452" t="s">
        <v>7656</v>
      </c>
      <c r="D169" s="3452"/>
      <c r="E169" s="3452"/>
    </row>
    <row r="170" spans="2:5">
      <c r="B170" s="2559" t="s">
        <v>2227</v>
      </c>
      <c r="C170" s="3452" t="s">
        <v>7657</v>
      </c>
      <c r="D170" s="3452"/>
      <c r="E170" s="3452"/>
    </row>
    <row r="171" spans="2:5">
      <c r="B171" s="2559" t="s">
        <v>7658</v>
      </c>
      <c r="C171" s="3452" t="s">
        <v>7659</v>
      </c>
      <c r="D171" s="3452"/>
      <c r="E171" s="3452"/>
    </row>
    <row r="172" spans="2:5">
      <c r="B172" s="2559" t="s">
        <v>2229</v>
      </c>
      <c r="C172" s="3452" t="s">
        <v>7660</v>
      </c>
      <c r="D172" s="3452"/>
      <c r="E172" s="3452"/>
    </row>
  </sheetData>
  <mergeCells count="186">
    <mergeCell ref="C171:E171"/>
    <mergeCell ref="C172:E172"/>
    <mergeCell ref="C166:E166"/>
    <mergeCell ref="C167:E167"/>
    <mergeCell ref="C168:E168"/>
    <mergeCell ref="C169:E169"/>
    <mergeCell ref="C170:E170"/>
    <mergeCell ref="C161:E161"/>
    <mergeCell ref="C162:E162"/>
    <mergeCell ref="C163:E163"/>
    <mergeCell ref="C164:E164"/>
    <mergeCell ref="C165:E165"/>
    <mergeCell ref="C156:E156"/>
    <mergeCell ref="C157:E157"/>
    <mergeCell ref="C158:E158"/>
    <mergeCell ref="C159:E159"/>
    <mergeCell ref="C160:E160"/>
    <mergeCell ref="C151:E151"/>
    <mergeCell ref="C152:E152"/>
    <mergeCell ref="C153:E153"/>
    <mergeCell ref="C154:E154"/>
    <mergeCell ref="C155:E155"/>
    <mergeCell ref="C146:E146"/>
    <mergeCell ref="C147:E147"/>
    <mergeCell ref="C148:E148"/>
    <mergeCell ref="C149:E149"/>
    <mergeCell ref="C150:E150"/>
    <mergeCell ref="C141:E141"/>
    <mergeCell ref="C142:E142"/>
    <mergeCell ref="C143:E143"/>
    <mergeCell ref="C144:E144"/>
    <mergeCell ref="C145:E145"/>
    <mergeCell ref="C136:E136"/>
    <mergeCell ref="C137:E137"/>
    <mergeCell ref="C138:E138"/>
    <mergeCell ref="C139:E139"/>
    <mergeCell ref="C140:E140"/>
    <mergeCell ref="C131:E131"/>
    <mergeCell ref="C132:E132"/>
    <mergeCell ref="C133:E133"/>
    <mergeCell ref="C134:E134"/>
    <mergeCell ref="C135:E135"/>
    <mergeCell ref="C126:E126"/>
    <mergeCell ref="C127:E127"/>
    <mergeCell ref="C128:E128"/>
    <mergeCell ref="C129:E129"/>
    <mergeCell ref="C130:E130"/>
    <mergeCell ref="C121:E121"/>
    <mergeCell ref="C122:E122"/>
    <mergeCell ref="C123:E123"/>
    <mergeCell ref="C124:E124"/>
    <mergeCell ref="C125:E125"/>
    <mergeCell ref="C116:E116"/>
    <mergeCell ref="C117:E117"/>
    <mergeCell ref="C118:E118"/>
    <mergeCell ref="C119:E119"/>
    <mergeCell ref="C120:E120"/>
    <mergeCell ref="C111:E111"/>
    <mergeCell ref="C112:E112"/>
    <mergeCell ref="C113:E113"/>
    <mergeCell ref="C114:E114"/>
    <mergeCell ref="C115:E115"/>
    <mergeCell ref="C106:E106"/>
    <mergeCell ref="C107:E107"/>
    <mergeCell ref="C108:E108"/>
    <mergeCell ref="C109:E109"/>
    <mergeCell ref="C110:E110"/>
    <mergeCell ref="C101:E101"/>
    <mergeCell ref="C102:E102"/>
    <mergeCell ref="C103:E103"/>
    <mergeCell ref="C104:E104"/>
    <mergeCell ref="C105:E105"/>
    <mergeCell ref="C96:E96"/>
    <mergeCell ref="C97:E97"/>
    <mergeCell ref="C98:E98"/>
    <mergeCell ref="C99:E99"/>
    <mergeCell ref="C100:E100"/>
    <mergeCell ref="C91:E91"/>
    <mergeCell ref="C92:E92"/>
    <mergeCell ref="C93:E93"/>
    <mergeCell ref="C94:E94"/>
    <mergeCell ref="C95:E95"/>
    <mergeCell ref="C86:E86"/>
    <mergeCell ref="C87:E87"/>
    <mergeCell ref="C88:E88"/>
    <mergeCell ref="C89:E89"/>
    <mergeCell ref="C90:E90"/>
    <mergeCell ref="C81:E81"/>
    <mergeCell ref="C82:E82"/>
    <mergeCell ref="C83:E83"/>
    <mergeCell ref="C84:E84"/>
    <mergeCell ref="C85:E85"/>
    <mergeCell ref="C76:E76"/>
    <mergeCell ref="C77:E77"/>
    <mergeCell ref="C78:E78"/>
    <mergeCell ref="C79:E79"/>
    <mergeCell ref="C80:E80"/>
    <mergeCell ref="C71:E71"/>
    <mergeCell ref="C72:E72"/>
    <mergeCell ref="C73:E73"/>
    <mergeCell ref="C74:E74"/>
    <mergeCell ref="C75:E75"/>
    <mergeCell ref="C66:E66"/>
    <mergeCell ref="C67:E67"/>
    <mergeCell ref="C68:E68"/>
    <mergeCell ref="C69:E69"/>
    <mergeCell ref="C70:E70"/>
    <mergeCell ref="C61:E61"/>
    <mergeCell ref="C62:E62"/>
    <mergeCell ref="C63:E63"/>
    <mergeCell ref="C64:E64"/>
    <mergeCell ref="C65:E65"/>
    <mergeCell ref="C56:E56"/>
    <mergeCell ref="C57:E57"/>
    <mergeCell ref="C58:E58"/>
    <mergeCell ref="C59:E59"/>
    <mergeCell ref="C60:E60"/>
    <mergeCell ref="C51:E51"/>
    <mergeCell ref="C52:E52"/>
    <mergeCell ref="C53:E53"/>
    <mergeCell ref="C54:E54"/>
    <mergeCell ref="C55:E55"/>
    <mergeCell ref="C46:E46"/>
    <mergeCell ref="C47:E47"/>
    <mergeCell ref="C48:E48"/>
    <mergeCell ref="C49:E49"/>
    <mergeCell ref="C50:E50"/>
    <mergeCell ref="C41:E41"/>
    <mergeCell ref="C42:E42"/>
    <mergeCell ref="C43:E43"/>
    <mergeCell ref="C44:E44"/>
    <mergeCell ref="C45:E45"/>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B17:C17"/>
    <mergeCell ref="B18:B19"/>
    <mergeCell ref="B20:C20"/>
    <mergeCell ref="B21:U21"/>
    <mergeCell ref="B22:C22"/>
    <mergeCell ref="B23:B24"/>
    <mergeCell ref="B25:C25"/>
    <mergeCell ref="B26:B27"/>
    <mergeCell ref="B34:C34"/>
    <mergeCell ref="B28:C28"/>
    <mergeCell ref="B29:B30"/>
    <mergeCell ref="B31:C31"/>
    <mergeCell ref="B32:B33"/>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5.6"/>
  <cols>
    <col min="1" max="1" width="5.19921875" style="1558" customWidth="1"/>
    <col min="2" max="2" width="46.5" style="1558" customWidth="1"/>
    <col min="3" max="5" width="12.3984375" style="1558" customWidth="1"/>
    <col min="6" max="6" width="23.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c r="B1" s="3460"/>
      <c r="C1" s="3460"/>
      <c r="D1" s="3460"/>
      <c r="E1" s="3460"/>
      <c r="F1" s="1992" t="str">
        <f>"索引号："&amp;档案索引!A40</f>
        <v>索引号：2A-20</v>
      </c>
    </row>
    <row r="2" spans="1:9" s="1567" customFormat="1" ht="25.5" customHeight="1">
      <c r="A2" s="3401" t="s">
        <v>5927</v>
      </c>
      <c r="B2" s="3401"/>
      <c r="C2" s="3401"/>
      <c r="D2" s="3401"/>
      <c r="E2" s="3461"/>
      <c r="F2" s="1822"/>
    </row>
    <row r="3" spans="1:9" s="1560" customFormat="1" ht="14.25" customHeight="1">
      <c r="A3" s="3399" t="s">
        <v>1853</v>
      </c>
      <c r="B3" s="3399" t="s">
        <v>5358</v>
      </c>
      <c r="C3" s="1815" t="s">
        <v>1850</v>
      </c>
      <c r="D3" s="1815" t="s">
        <v>1851</v>
      </c>
      <c r="E3" s="1808" t="s">
        <v>5150</v>
      </c>
      <c r="F3" s="3399" t="s">
        <v>5151</v>
      </c>
    </row>
    <row r="4" spans="1:9" s="1560" customFormat="1" ht="14.25" customHeight="1">
      <c r="A4" s="3399"/>
      <c r="B4" s="3399"/>
      <c r="C4" s="1808">
        <v>1</v>
      </c>
      <c r="D4" s="1808" t="s">
        <v>5359</v>
      </c>
      <c r="E4" s="1823" t="s">
        <v>5360</v>
      </c>
      <c r="F4" s="3399"/>
    </row>
    <row r="5" spans="1:9" s="1560" customFormat="1" ht="14.25" customHeight="1">
      <c r="A5" s="1824">
        <v>1</v>
      </c>
      <c r="B5" s="1819" t="s">
        <v>5361</v>
      </c>
      <c r="C5" s="2075">
        <f>SUM(C6:C12)</f>
        <v>0</v>
      </c>
      <c r="D5" s="2075">
        <f t="shared" ref="D5:E5" si="0">SUM(D6:D12)</f>
        <v>0</v>
      </c>
      <c r="E5" s="2075">
        <f t="shared" si="0"/>
        <v>0</v>
      </c>
      <c r="F5" s="1971"/>
    </row>
    <row r="6" spans="1:9" s="1560" customFormat="1" ht="26.25" customHeight="1">
      <c r="A6" s="1825">
        <v>2</v>
      </c>
      <c r="B6" s="1813" t="s">
        <v>5362</v>
      </c>
      <c r="C6" s="2086"/>
      <c r="D6" s="2086"/>
      <c r="E6" s="2078">
        <f>C6-D6</f>
        <v>0</v>
      </c>
      <c r="F6" s="1971"/>
      <c r="I6" s="1568" t="s">
        <v>5363</v>
      </c>
    </row>
    <row r="7" spans="1:9" s="1560" customFormat="1" ht="14.25" customHeight="1">
      <c r="A7" s="1824">
        <v>3</v>
      </c>
      <c r="B7" s="1819" t="s">
        <v>5364</v>
      </c>
      <c r="C7" s="2077"/>
      <c r="D7" s="2077"/>
      <c r="E7" s="2078">
        <f t="shared" ref="E7:E12" si="1">C7-D7</f>
        <v>0</v>
      </c>
      <c r="F7" s="1972"/>
    </row>
    <row r="8" spans="1:9" s="1560" customFormat="1" ht="14.25" customHeight="1">
      <c r="A8" s="1824">
        <v>4</v>
      </c>
      <c r="B8" s="1819" t="s">
        <v>5365</v>
      </c>
      <c r="C8" s="2077"/>
      <c r="D8" s="2077"/>
      <c r="E8" s="2078">
        <f t="shared" si="1"/>
        <v>0</v>
      </c>
      <c r="F8" s="1971"/>
    </row>
    <row r="9" spans="1:9" s="1560" customFormat="1" ht="27" customHeight="1">
      <c r="A9" s="1825">
        <v>5</v>
      </c>
      <c r="B9" s="1813" t="s">
        <v>5366</v>
      </c>
      <c r="C9" s="2086"/>
      <c r="D9" s="2086"/>
      <c r="E9" s="2078">
        <f t="shared" si="1"/>
        <v>0</v>
      </c>
      <c r="F9" s="1971"/>
    </row>
    <row r="10" spans="1:9" s="1560" customFormat="1" ht="27" customHeight="1">
      <c r="A10" s="1825">
        <v>6</v>
      </c>
      <c r="B10" s="1813" t="s">
        <v>5367</v>
      </c>
      <c r="C10" s="2086"/>
      <c r="D10" s="2086"/>
      <c r="E10" s="2078">
        <f t="shared" si="1"/>
        <v>0</v>
      </c>
      <c r="F10" s="1971"/>
      <c r="G10" s="1675" t="s">
        <v>6444</v>
      </c>
    </row>
    <row r="11" spans="1:9" s="1560" customFormat="1" ht="14.25" customHeight="1">
      <c r="A11" s="1824">
        <v>7</v>
      </c>
      <c r="B11" s="1819" t="s">
        <v>5368</v>
      </c>
      <c r="C11" s="2076"/>
      <c r="D11" s="2076"/>
      <c r="E11" s="2078">
        <f t="shared" si="1"/>
        <v>0</v>
      </c>
      <c r="F11" s="1971"/>
    </row>
    <row r="12" spans="1:9" s="1560" customFormat="1" ht="14.25" customHeight="1">
      <c r="A12" s="1824">
        <v>8</v>
      </c>
      <c r="B12" s="1819" t="s">
        <v>5369</v>
      </c>
      <c r="C12" s="2076"/>
      <c r="D12" s="2076"/>
      <c r="E12" s="2078">
        <f t="shared" si="1"/>
        <v>0</v>
      </c>
      <c r="F12" s="1971"/>
      <c r="G12" s="1769" t="s">
        <v>6448</v>
      </c>
    </row>
    <row r="13" spans="1:9" s="1560" customFormat="1" ht="89.25" customHeight="1">
      <c r="A13" s="1824">
        <v>9</v>
      </c>
      <c r="B13" s="1819" t="s">
        <v>5370</v>
      </c>
      <c r="C13" s="2072">
        <f>'资产损失（专项申报）税前扣除审核表'!C25</f>
        <v>0</v>
      </c>
      <c r="D13" s="2072">
        <f>'资产损失（专项申报）税前扣除审核表'!G25</f>
        <v>0</v>
      </c>
      <c r="E13" s="2072">
        <f>'资产损失（专项申报）税前扣除审核表'!H25</f>
        <v>0</v>
      </c>
      <c r="F13" s="1973" t="s">
        <v>5371</v>
      </c>
      <c r="I13" s="1568"/>
    </row>
    <row r="14" spans="1:9" s="1560" customFormat="1" ht="93" customHeight="1">
      <c r="A14" s="1815">
        <v>10</v>
      </c>
      <c r="B14" s="1818" t="s">
        <v>5372</v>
      </c>
      <c r="C14" s="2072">
        <f>'资产损失（专项申报）税前扣除审核表'!C6</f>
        <v>0</v>
      </c>
      <c r="D14" s="2072">
        <f>'资产损失（专项申报）税前扣除审核表'!G6</f>
        <v>0</v>
      </c>
      <c r="E14" s="2072">
        <f>'资产损失（专项申报）税前扣除审核表'!H6</f>
        <v>0</v>
      </c>
      <c r="F14" s="1973" t="s">
        <v>5373</v>
      </c>
      <c r="I14" s="1568"/>
    </row>
    <row r="15" spans="1:9" s="1560" customFormat="1" ht="82.5" customHeight="1">
      <c r="A15" s="1815">
        <v>11</v>
      </c>
      <c r="B15" s="1809" t="s">
        <v>5374</v>
      </c>
      <c r="C15" s="2072">
        <f>'资产损失（专项申报）税前扣除审核表'!C11</f>
        <v>0</v>
      </c>
      <c r="D15" s="2072">
        <f>'资产损失（专项申报）税前扣除审核表'!G11</f>
        <v>0</v>
      </c>
      <c r="E15" s="2072">
        <f>'资产损失（专项申报）税前扣除审核表'!H11</f>
        <v>0</v>
      </c>
      <c r="F15" s="1973" t="s">
        <v>5375</v>
      </c>
      <c r="I15" s="1568"/>
    </row>
    <row r="16" spans="1:9" s="1560" customFormat="1" ht="29.4" customHeight="1">
      <c r="A16" s="1815">
        <v>12</v>
      </c>
      <c r="B16" s="1818" t="s">
        <v>5376</v>
      </c>
      <c r="C16" s="2072">
        <f>'资产损失（专项申报）税前扣除审核表'!C16</f>
        <v>0</v>
      </c>
      <c r="D16" s="2072">
        <f>'资产损失（专项申报）税前扣除审核表'!G16</f>
        <v>0</v>
      </c>
      <c r="E16" s="2072">
        <f>'资产损失（专项申报）税前扣除审核表'!H16</f>
        <v>0</v>
      </c>
      <c r="F16" s="1973" t="s">
        <v>5377</v>
      </c>
      <c r="I16" s="1568"/>
    </row>
    <row r="17" spans="1:9" s="1560" customFormat="1" ht="49.2" customHeight="1">
      <c r="A17" s="1815">
        <v>13</v>
      </c>
      <c r="B17" s="1818" t="s">
        <v>5378</v>
      </c>
      <c r="C17" s="2072">
        <f>'资产损失（专项申报）税前扣除审核表'!C21</f>
        <v>0</v>
      </c>
      <c r="D17" s="2072">
        <f>'资产损失（专项申报）税前扣除审核表'!G21</f>
        <v>0</v>
      </c>
      <c r="E17" s="2072">
        <f>'资产损失（专项申报）税前扣除审核表'!H21</f>
        <v>0</v>
      </c>
      <c r="F17" s="1973" t="s">
        <v>5379</v>
      </c>
      <c r="I17" s="1568"/>
    </row>
    <row r="18" spans="1:9" s="1560" customFormat="1" ht="110.25" customHeight="1">
      <c r="A18" s="1824">
        <v>14</v>
      </c>
      <c r="B18" s="1818" t="s">
        <v>5380</v>
      </c>
      <c r="C18" s="2075">
        <f>C5+C13</f>
        <v>0</v>
      </c>
      <c r="D18" s="2075">
        <f t="shared" ref="D18:E18" si="2">D5+D13</f>
        <v>0</v>
      </c>
      <c r="E18" s="2075">
        <f t="shared" si="2"/>
        <v>0</v>
      </c>
      <c r="F18" s="1973" t="s">
        <v>5381</v>
      </c>
      <c r="I18" s="1568"/>
    </row>
    <row r="19" spans="1:9" ht="12.75" customHeight="1">
      <c r="A19" s="1992"/>
      <c r="B19" s="1992"/>
      <c r="C19" s="1992"/>
      <c r="D19" s="1992"/>
      <c r="E19" s="1992"/>
      <c r="F19" s="1992"/>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c r="B1" s="3400"/>
      <c r="C1" s="3400"/>
      <c r="D1" s="3400"/>
      <c r="E1" s="3400"/>
      <c r="F1" s="3400"/>
      <c r="G1" s="3400"/>
      <c r="H1" s="3400"/>
      <c r="I1" s="2172" t="str">
        <f>"索引号："&amp;档案索引!A41</f>
        <v>索引号：2A-21</v>
      </c>
    </row>
    <row r="2" spans="1:10" ht="25.5" customHeight="1">
      <c r="A2" s="3401" t="s">
        <v>5928</v>
      </c>
      <c r="B2" s="3401"/>
      <c r="C2" s="3401"/>
      <c r="D2" s="3401"/>
      <c r="E2" s="3401"/>
      <c r="F2" s="3401"/>
      <c r="G2" s="3401"/>
      <c r="H2" s="3401"/>
      <c r="I2" s="1826"/>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27">
        <v>1</v>
      </c>
      <c r="C5" s="1827">
        <v>2</v>
      </c>
      <c r="D5" s="1827">
        <v>3</v>
      </c>
      <c r="E5" s="1827">
        <v>4</v>
      </c>
      <c r="F5" s="1827">
        <v>5</v>
      </c>
      <c r="G5" s="1828" t="s">
        <v>5389</v>
      </c>
      <c r="H5" s="1828" t="s">
        <v>5390</v>
      </c>
      <c r="I5" s="1974"/>
    </row>
    <row r="6" spans="1:10" ht="50.25" customHeight="1">
      <c r="A6" s="1827">
        <v>1</v>
      </c>
      <c r="B6" s="1829" t="s">
        <v>5391</v>
      </c>
      <c r="C6" s="2075">
        <f>SUM(C7:C10)</f>
        <v>0</v>
      </c>
      <c r="D6" s="2075">
        <f t="shared" ref="D6:F6" si="0">SUM(D7:D10)</f>
        <v>0</v>
      </c>
      <c r="E6" s="2075">
        <f t="shared" si="0"/>
        <v>0</v>
      </c>
      <c r="F6" s="2075">
        <f t="shared" si="0"/>
        <v>0</v>
      </c>
      <c r="G6" s="2075">
        <f>F6-D6-E6</f>
        <v>0</v>
      </c>
      <c r="H6" s="2075">
        <f>C6-G6</f>
        <v>0</v>
      </c>
      <c r="I6" s="1970" t="s">
        <v>5392</v>
      </c>
      <c r="J6" s="1653"/>
    </row>
    <row r="7" spans="1:10" ht="14.25" customHeight="1">
      <c r="A7" s="1827">
        <v>2</v>
      </c>
      <c r="B7" s="1573"/>
      <c r="C7" s="2077"/>
      <c r="D7" s="2077"/>
      <c r="E7" s="2077"/>
      <c r="F7" s="2077"/>
      <c r="G7" s="2075">
        <f t="shared" ref="G7:G24" si="1">F7-D7-E7</f>
        <v>0</v>
      </c>
      <c r="H7" s="2075">
        <f t="shared" ref="H7:H24" si="2">C7-G7</f>
        <v>0</v>
      </c>
      <c r="I7" s="1970"/>
      <c r="J7" s="1675" t="s">
        <v>6444</v>
      </c>
    </row>
    <row r="8" spans="1:10" ht="14.25" customHeight="1">
      <c r="A8" s="1827">
        <v>3</v>
      </c>
      <c r="B8" s="1573"/>
      <c r="C8" s="2077"/>
      <c r="D8" s="2077"/>
      <c r="E8" s="2077"/>
      <c r="F8" s="2077"/>
      <c r="G8" s="2075">
        <f t="shared" si="1"/>
        <v>0</v>
      </c>
      <c r="H8" s="2075">
        <f t="shared" si="2"/>
        <v>0</v>
      </c>
      <c r="I8" s="1970"/>
    </row>
    <row r="9" spans="1:10" ht="14.25" customHeight="1">
      <c r="A9" s="1827">
        <v>4</v>
      </c>
      <c r="B9" s="1573"/>
      <c r="C9" s="2077"/>
      <c r="D9" s="2077"/>
      <c r="E9" s="2077"/>
      <c r="F9" s="2077"/>
      <c r="G9" s="2075">
        <f t="shared" si="1"/>
        <v>0</v>
      </c>
      <c r="H9" s="2075">
        <f t="shared" si="2"/>
        <v>0</v>
      </c>
      <c r="I9" s="1970"/>
      <c r="J9" s="1769" t="s">
        <v>6446</v>
      </c>
    </row>
    <row r="10" spans="1:10" ht="14.25" customHeight="1">
      <c r="A10" s="1827">
        <v>5</v>
      </c>
      <c r="B10" s="1574"/>
      <c r="C10" s="2077"/>
      <c r="D10" s="2077"/>
      <c r="E10" s="2077"/>
      <c r="F10" s="2077"/>
      <c r="G10" s="2075">
        <f t="shared" si="1"/>
        <v>0</v>
      </c>
      <c r="H10" s="2075">
        <f t="shared" si="2"/>
        <v>0</v>
      </c>
      <c r="I10" s="1970"/>
    </row>
    <row r="11" spans="1:10" ht="88.5" customHeight="1">
      <c r="A11" s="1827">
        <v>6</v>
      </c>
      <c r="B11" s="1829" t="s">
        <v>5393</v>
      </c>
      <c r="C11" s="2075">
        <f>SUM(C12:C15)</f>
        <v>0</v>
      </c>
      <c r="D11" s="2075">
        <f t="shared" ref="D11" si="3">SUM(D12:D15)</f>
        <v>0</v>
      </c>
      <c r="E11" s="2075">
        <f t="shared" ref="E11" si="4">SUM(E12:E15)</f>
        <v>0</v>
      </c>
      <c r="F11" s="2075">
        <f t="shared" ref="F11" si="5">SUM(F12:F15)</f>
        <v>0</v>
      </c>
      <c r="G11" s="2075">
        <f t="shared" si="1"/>
        <v>0</v>
      </c>
      <c r="H11" s="2075">
        <f t="shared" si="2"/>
        <v>0</v>
      </c>
      <c r="I11" s="1970" t="s">
        <v>5394</v>
      </c>
      <c r="J11" s="1575"/>
    </row>
    <row r="12" spans="1:10" ht="14.25" customHeight="1">
      <c r="A12" s="1827">
        <v>7</v>
      </c>
      <c r="B12" s="1573"/>
      <c r="C12" s="2077"/>
      <c r="D12" s="2077"/>
      <c r="E12" s="2077"/>
      <c r="F12" s="2077"/>
      <c r="G12" s="2075">
        <f t="shared" si="1"/>
        <v>0</v>
      </c>
      <c r="H12" s="2075">
        <f t="shared" si="2"/>
        <v>0</v>
      </c>
      <c r="I12" s="1970"/>
    </row>
    <row r="13" spans="1:10" ht="14.25" customHeight="1">
      <c r="A13" s="1827">
        <v>8</v>
      </c>
      <c r="B13" s="1573"/>
      <c r="C13" s="2077"/>
      <c r="D13" s="2077"/>
      <c r="E13" s="2077"/>
      <c r="F13" s="2077"/>
      <c r="G13" s="2075">
        <f t="shared" si="1"/>
        <v>0</v>
      </c>
      <c r="H13" s="2075">
        <f t="shared" si="2"/>
        <v>0</v>
      </c>
      <c r="I13" s="1970"/>
    </row>
    <row r="14" spans="1:10" ht="14.25" customHeight="1">
      <c r="A14" s="1827">
        <v>9</v>
      </c>
      <c r="B14" s="1573"/>
      <c r="C14" s="2077"/>
      <c r="D14" s="2077"/>
      <c r="E14" s="2077"/>
      <c r="F14" s="2077"/>
      <c r="G14" s="2075">
        <f t="shared" si="1"/>
        <v>0</v>
      </c>
      <c r="H14" s="2075">
        <f t="shared" si="2"/>
        <v>0</v>
      </c>
      <c r="I14" s="1970"/>
    </row>
    <row r="15" spans="1:10" ht="14.25" customHeight="1">
      <c r="A15" s="1827">
        <v>10</v>
      </c>
      <c r="B15" s="1574"/>
      <c r="C15" s="2077"/>
      <c r="D15" s="2077"/>
      <c r="E15" s="2077"/>
      <c r="F15" s="2077"/>
      <c r="G15" s="2075">
        <f t="shared" si="1"/>
        <v>0</v>
      </c>
      <c r="H15" s="2075">
        <f t="shared" si="2"/>
        <v>0</v>
      </c>
      <c r="I15" s="1970"/>
    </row>
    <row r="16" spans="1:10" ht="91.5" customHeight="1">
      <c r="A16" s="1827">
        <v>11</v>
      </c>
      <c r="B16" s="1829" t="s">
        <v>5395</v>
      </c>
      <c r="C16" s="2075">
        <f>SUM(C17:C20)</f>
        <v>0</v>
      </c>
      <c r="D16" s="2075">
        <f t="shared" ref="D16" si="6">SUM(D17:D20)</f>
        <v>0</v>
      </c>
      <c r="E16" s="2075">
        <f t="shared" ref="E16" si="7">SUM(E17:E20)</f>
        <v>0</v>
      </c>
      <c r="F16" s="2075">
        <f t="shared" ref="F16" si="8">SUM(F17:F20)</f>
        <v>0</v>
      </c>
      <c r="G16" s="2075">
        <f t="shared" si="1"/>
        <v>0</v>
      </c>
      <c r="H16" s="2075">
        <f t="shared" si="2"/>
        <v>0</v>
      </c>
      <c r="I16" s="1970" t="s">
        <v>5396</v>
      </c>
      <c r="J16" s="1575"/>
    </row>
    <row r="17" spans="1:10" ht="14.25" customHeight="1">
      <c r="A17" s="1827">
        <v>12</v>
      </c>
      <c r="B17" s="1573"/>
      <c r="C17" s="2077"/>
      <c r="D17" s="2077"/>
      <c r="E17" s="2077"/>
      <c r="F17" s="2077"/>
      <c r="G17" s="2075">
        <f t="shared" si="1"/>
        <v>0</v>
      </c>
      <c r="H17" s="2075">
        <f t="shared" si="2"/>
        <v>0</v>
      </c>
      <c r="I17" s="1970"/>
    </row>
    <row r="18" spans="1:10" ht="14.25" customHeight="1">
      <c r="A18" s="1827">
        <v>13</v>
      </c>
      <c r="B18" s="1573"/>
      <c r="C18" s="2077"/>
      <c r="D18" s="2077"/>
      <c r="E18" s="2077"/>
      <c r="F18" s="2077"/>
      <c r="G18" s="2075">
        <f t="shared" si="1"/>
        <v>0</v>
      </c>
      <c r="H18" s="2075">
        <f t="shared" si="2"/>
        <v>0</v>
      </c>
      <c r="I18" s="1970"/>
    </row>
    <row r="19" spans="1:10" ht="14.25" customHeight="1">
      <c r="A19" s="1827">
        <v>14</v>
      </c>
      <c r="B19" s="1573"/>
      <c r="C19" s="2077"/>
      <c r="D19" s="2077"/>
      <c r="E19" s="2077"/>
      <c r="F19" s="2077"/>
      <c r="G19" s="2075">
        <f t="shared" si="1"/>
        <v>0</v>
      </c>
      <c r="H19" s="2075">
        <f t="shared" si="2"/>
        <v>0</v>
      </c>
      <c r="I19" s="1970"/>
    </row>
    <row r="20" spans="1:10" ht="14.25" customHeight="1">
      <c r="A20" s="1827">
        <v>15</v>
      </c>
      <c r="B20" s="1574"/>
      <c r="C20" s="2077"/>
      <c r="D20" s="2077"/>
      <c r="E20" s="2077"/>
      <c r="F20" s="2077"/>
      <c r="G20" s="2075">
        <f t="shared" si="1"/>
        <v>0</v>
      </c>
      <c r="H20" s="2075">
        <f t="shared" si="2"/>
        <v>0</v>
      </c>
      <c r="I20" s="1970"/>
    </row>
    <row r="21" spans="1:10" ht="86.25" customHeight="1">
      <c r="A21" s="1827">
        <v>16</v>
      </c>
      <c r="B21" s="1829" t="s">
        <v>5397</v>
      </c>
      <c r="C21" s="2075">
        <f>SUM(C22:C24)</f>
        <v>0</v>
      </c>
      <c r="D21" s="2075">
        <f t="shared" ref="D21:F21" si="9">SUM(D22:D24)</f>
        <v>0</v>
      </c>
      <c r="E21" s="2075">
        <f t="shared" si="9"/>
        <v>0</v>
      </c>
      <c r="F21" s="2075">
        <f t="shared" si="9"/>
        <v>0</v>
      </c>
      <c r="G21" s="2075">
        <f t="shared" si="1"/>
        <v>0</v>
      </c>
      <c r="H21" s="2075">
        <f t="shared" si="2"/>
        <v>0</v>
      </c>
      <c r="I21" s="1970" t="s">
        <v>5398</v>
      </c>
      <c r="J21" s="1575"/>
    </row>
    <row r="22" spans="1:10" ht="14.25" customHeight="1">
      <c r="A22" s="1827">
        <v>17</v>
      </c>
      <c r="B22" s="1573"/>
      <c r="C22" s="2077"/>
      <c r="D22" s="2077"/>
      <c r="E22" s="2077"/>
      <c r="F22" s="2077"/>
      <c r="G22" s="2075">
        <f t="shared" si="1"/>
        <v>0</v>
      </c>
      <c r="H22" s="2075">
        <f t="shared" si="2"/>
        <v>0</v>
      </c>
      <c r="I22" s="1970"/>
    </row>
    <row r="23" spans="1:10" ht="14.25" customHeight="1">
      <c r="A23" s="1827">
        <v>18</v>
      </c>
      <c r="B23" s="1573"/>
      <c r="C23" s="2077"/>
      <c r="D23" s="2077"/>
      <c r="E23" s="2077"/>
      <c r="F23" s="2077"/>
      <c r="G23" s="2075">
        <f t="shared" si="1"/>
        <v>0</v>
      </c>
      <c r="H23" s="2075">
        <f t="shared" si="2"/>
        <v>0</v>
      </c>
      <c r="I23" s="1970"/>
    </row>
    <row r="24" spans="1:10" ht="14.25" customHeight="1">
      <c r="A24" s="1827">
        <v>19</v>
      </c>
      <c r="B24" s="1574"/>
      <c r="C24" s="2077"/>
      <c r="D24" s="2077"/>
      <c r="E24" s="2077"/>
      <c r="F24" s="2077"/>
      <c r="G24" s="2075">
        <f t="shared" si="1"/>
        <v>0</v>
      </c>
      <c r="H24" s="2075">
        <f t="shared" si="2"/>
        <v>0</v>
      </c>
      <c r="I24" s="1970"/>
    </row>
    <row r="25" spans="1:10" ht="87.75" customHeight="1">
      <c r="A25" s="1827">
        <v>20</v>
      </c>
      <c r="B25" s="1829" t="s">
        <v>5399</v>
      </c>
      <c r="C25" s="2075">
        <f>C6+C11+C16+C21</f>
        <v>0</v>
      </c>
      <c r="D25" s="2075">
        <f t="shared" ref="D25:H25" si="10">D6+D11+D16+D21</f>
        <v>0</v>
      </c>
      <c r="E25" s="2075">
        <f t="shared" si="10"/>
        <v>0</v>
      </c>
      <c r="F25" s="2075">
        <f t="shared" si="10"/>
        <v>0</v>
      </c>
      <c r="G25" s="2075">
        <f t="shared" si="10"/>
        <v>0</v>
      </c>
      <c r="H25" s="2075">
        <f t="shared" si="10"/>
        <v>0</v>
      </c>
      <c r="I25" s="1970" t="s">
        <v>5400</v>
      </c>
      <c r="J25" s="1575"/>
    </row>
    <row r="26" spans="1:10">
      <c r="A26" s="2015"/>
      <c r="B26" s="2016"/>
      <c r="C26" s="2015"/>
      <c r="D26" s="2015"/>
      <c r="E26" s="2015"/>
      <c r="F26" s="2015"/>
      <c r="G26" s="2015"/>
      <c r="H26" s="2015"/>
      <c r="I26" s="201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5.6"/>
  <cols>
    <col min="1" max="1" width="5.19921875" style="1558" customWidth="1"/>
    <col min="2" max="2" width="27.09765625" style="1558" customWidth="1"/>
    <col min="3" max="9" width="11.5" style="1558" customWidth="1"/>
    <col min="10" max="10" width="14.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2"/>
      <c r="B1" s="3462"/>
      <c r="C1" s="3462"/>
      <c r="D1" s="3462"/>
      <c r="E1" s="3462"/>
      <c r="F1" s="3462"/>
      <c r="G1" s="3462"/>
      <c r="H1" s="3462"/>
      <c r="I1" s="3462"/>
      <c r="J1" s="1992" t="str">
        <f>"索引号："&amp;档案索引!A42</f>
        <v>索引号：2A-22</v>
      </c>
    </row>
    <row r="2" spans="1:11" ht="25.5" customHeight="1">
      <c r="A2" s="3401" t="s">
        <v>5929</v>
      </c>
      <c r="B2" s="3401"/>
      <c r="C2" s="3401"/>
      <c r="D2" s="3401"/>
      <c r="E2" s="3401"/>
      <c r="F2" s="3401"/>
      <c r="G2" s="3401"/>
      <c r="H2" s="3401"/>
      <c r="I2" s="3401"/>
      <c r="J2" s="1830"/>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08" t="s">
        <v>2342</v>
      </c>
      <c r="D4" s="1808" t="s">
        <v>1851</v>
      </c>
      <c r="E4" s="1808" t="s">
        <v>5150</v>
      </c>
      <c r="F4" s="1808" t="s">
        <v>2342</v>
      </c>
      <c r="G4" s="1808" t="s">
        <v>1851</v>
      </c>
      <c r="H4" s="1808" t="s">
        <v>5150</v>
      </c>
      <c r="I4" s="3406"/>
      <c r="J4" s="3406"/>
    </row>
    <row r="5" spans="1:11" ht="14.25" customHeight="1">
      <c r="A5" s="3404"/>
      <c r="B5" s="3404"/>
      <c r="C5" s="1808">
        <v>1</v>
      </c>
      <c r="D5" s="1808">
        <v>2</v>
      </c>
      <c r="E5" s="1808" t="s">
        <v>5405</v>
      </c>
      <c r="F5" s="1808">
        <v>4</v>
      </c>
      <c r="G5" s="1808">
        <v>5</v>
      </c>
      <c r="H5" s="1808" t="s">
        <v>5406</v>
      </c>
      <c r="I5" s="1808" t="s">
        <v>5407</v>
      </c>
      <c r="J5" s="1969"/>
    </row>
    <row r="6" spans="1:11" ht="14.25" customHeight="1">
      <c r="A6" s="1808">
        <v>1</v>
      </c>
      <c r="B6" s="1819" t="s">
        <v>5408</v>
      </c>
      <c r="C6" s="2076"/>
      <c r="D6" s="2076"/>
      <c r="E6" s="2075">
        <f>D6-C6</f>
        <v>0</v>
      </c>
      <c r="F6" s="2076"/>
      <c r="G6" s="2076"/>
      <c r="H6" s="2075">
        <f>G6-F6</f>
        <v>0</v>
      </c>
      <c r="I6" s="2075">
        <f>E6+H6</f>
        <v>0</v>
      </c>
      <c r="J6" s="1969"/>
    </row>
    <row r="7" spans="1:11" ht="14.25" customHeight="1">
      <c r="A7" s="1808">
        <v>2</v>
      </c>
      <c r="B7" s="1819" t="s">
        <v>5409</v>
      </c>
      <c r="C7" s="2076"/>
      <c r="D7" s="2076"/>
      <c r="E7" s="2075">
        <f t="shared" ref="E7:E18" si="0">D7-C7</f>
        <v>0</v>
      </c>
      <c r="F7" s="2076"/>
      <c r="G7" s="2076"/>
      <c r="H7" s="2075">
        <f t="shared" ref="H7:H18" si="1">G7-F7</f>
        <v>0</v>
      </c>
      <c r="I7" s="2075">
        <f t="shared" ref="I7:I18" si="2">E7+H7</f>
        <v>0</v>
      </c>
      <c r="J7" s="1969"/>
    </row>
    <row r="8" spans="1:11" ht="14.25" customHeight="1">
      <c r="A8" s="1808">
        <v>3</v>
      </c>
      <c r="B8" s="1819" t="s">
        <v>5410</v>
      </c>
      <c r="C8" s="2076"/>
      <c r="D8" s="2076"/>
      <c r="E8" s="2075">
        <f t="shared" si="0"/>
        <v>0</v>
      </c>
      <c r="F8" s="2076"/>
      <c r="G8" s="2076"/>
      <c r="H8" s="2075">
        <f t="shared" si="1"/>
        <v>0</v>
      </c>
      <c r="I8" s="2075">
        <f t="shared" si="2"/>
        <v>0</v>
      </c>
      <c r="J8" s="1969"/>
    </row>
    <row r="9" spans="1:11" ht="14.25" customHeight="1">
      <c r="A9" s="1808">
        <v>4</v>
      </c>
      <c r="B9" s="1819" t="s">
        <v>5411</v>
      </c>
      <c r="C9" s="2076"/>
      <c r="D9" s="2076"/>
      <c r="E9" s="2075">
        <f t="shared" si="0"/>
        <v>0</v>
      </c>
      <c r="F9" s="2076"/>
      <c r="G9" s="2076"/>
      <c r="H9" s="2075">
        <f t="shared" si="1"/>
        <v>0</v>
      </c>
      <c r="I9" s="2075">
        <f t="shared" si="2"/>
        <v>0</v>
      </c>
      <c r="J9" s="1969"/>
    </row>
    <row r="10" spans="1:11" ht="14.25" customHeight="1">
      <c r="A10" s="1808">
        <v>5</v>
      </c>
      <c r="B10" s="1819" t="s">
        <v>5412</v>
      </c>
      <c r="C10" s="2076"/>
      <c r="D10" s="2076"/>
      <c r="E10" s="2075">
        <f t="shared" si="0"/>
        <v>0</v>
      </c>
      <c r="F10" s="2076"/>
      <c r="G10" s="2076"/>
      <c r="H10" s="2075">
        <f t="shared" si="1"/>
        <v>0</v>
      </c>
      <c r="I10" s="2075">
        <f t="shared" si="2"/>
        <v>0</v>
      </c>
      <c r="J10" s="1969"/>
    </row>
    <row r="11" spans="1:11" ht="14.25" customHeight="1">
      <c r="A11" s="1808">
        <v>6</v>
      </c>
      <c r="B11" s="1819" t="s">
        <v>5413</v>
      </c>
      <c r="C11" s="2076"/>
      <c r="D11" s="2076"/>
      <c r="E11" s="2075">
        <f t="shared" si="0"/>
        <v>0</v>
      </c>
      <c r="F11" s="2076"/>
      <c r="G11" s="2076"/>
      <c r="H11" s="2075">
        <f t="shared" si="1"/>
        <v>0</v>
      </c>
      <c r="I11" s="2075">
        <f t="shared" si="2"/>
        <v>0</v>
      </c>
      <c r="J11" s="1969"/>
    </row>
    <row r="12" spans="1:11" ht="14.25" customHeight="1">
      <c r="A12" s="1808">
        <v>7</v>
      </c>
      <c r="B12" s="1819" t="s">
        <v>5414</v>
      </c>
      <c r="C12" s="2076"/>
      <c r="D12" s="2076"/>
      <c r="E12" s="2075">
        <f t="shared" si="0"/>
        <v>0</v>
      </c>
      <c r="F12" s="2076"/>
      <c r="G12" s="2076"/>
      <c r="H12" s="2075">
        <f t="shared" si="1"/>
        <v>0</v>
      </c>
      <c r="I12" s="2075">
        <f t="shared" si="2"/>
        <v>0</v>
      </c>
      <c r="J12" s="1969"/>
      <c r="K12" s="1675" t="s">
        <v>6449</v>
      </c>
    </row>
    <row r="13" spans="1:11" ht="14.25" customHeight="1">
      <c r="A13" s="1808">
        <v>8</v>
      </c>
      <c r="B13" s="1819" t="s">
        <v>5415</v>
      </c>
      <c r="C13" s="2076"/>
      <c r="D13" s="2076"/>
      <c r="E13" s="2075">
        <f t="shared" si="0"/>
        <v>0</v>
      </c>
      <c r="F13" s="2076"/>
      <c r="G13" s="2076"/>
      <c r="H13" s="2075">
        <f t="shared" si="1"/>
        <v>0</v>
      </c>
      <c r="I13" s="2075">
        <f t="shared" si="2"/>
        <v>0</v>
      </c>
      <c r="J13" s="1969"/>
    </row>
    <row r="14" spans="1:11" ht="14.25" customHeight="1">
      <c r="A14" s="1808">
        <v>9</v>
      </c>
      <c r="B14" s="1819" t="s">
        <v>5416</v>
      </c>
      <c r="C14" s="2076"/>
      <c r="D14" s="2076"/>
      <c r="E14" s="2075">
        <f t="shared" si="0"/>
        <v>0</v>
      </c>
      <c r="F14" s="2076"/>
      <c r="G14" s="2076"/>
      <c r="H14" s="2075">
        <f t="shared" si="1"/>
        <v>0</v>
      </c>
      <c r="I14" s="2075">
        <f t="shared" si="2"/>
        <v>0</v>
      </c>
      <c r="J14" s="1969"/>
    </row>
    <row r="15" spans="1:11" ht="14.25" customHeight="1">
      <c r="A15" s="1808">
        <v>10</v>
      </c>
      <c r="B15" s="1819" t="s">
        <v>5417</v>
      </c>
      <c r="C15" s="2076"/>
      <c r="D15" s="2076"/>
      <c r="E15" s="2075">
        <f t="shared" si="0"/>
        <v>0</v>
      </c>
      <c r="F15" s="2076"/>
      <c r="G15" s="2076"/>
      <c r="H15" s="2075">
        <f t="shared" si="1"/>
        <v>0</v>
      </c>
      <c r="I15" s="2075">
        <f t="shared" si="2"/>
        <v>0</v>
      </c>
      <c r="J15" s="1969"/>
    </row>
    <row r="16" spans="1:11" ht="14.25" customHeight="1">
      <c r="A16" s="1808">
        <v>11</v>
      </c>
      <c r="B16" s="1819" t="s">
        <v>5418</v>
      </c>
      <c r="C16" s="2076"/>
      <c r="D16" s="2076"/>
      <c r="E16" s="2075">
        <f t="shared" si="0"/>
        <v>0</v>
      </c>
      <c r="F16" s="2076"/>
      <c r="G16" s="2076"/>
      <c r="H16" s="2075">
        <f t="shared" si="1"/>
        <v>0</v>
      </c>
      <c r="I16" s="2075">
        <f t="shared" si="2"/>
        <v>0</v>
      </c>
      <c r="J16" s="1969"/>
    </row>
    <row r="17" spans="1:11" ht="14.25" customHeight="1">
      <c r="A17" s="1808">
        <v>12</v>
      </c>
      <c r="B17" s="1819" t="s">
        <v>5419</v>
      </c>
      <c r="C17" s="2076"/>
      <c r="D17" s="2076"/>
      <c r="E17" s="2075">
        <f t="shared" si="0"/>
        <v>0</v>
      </c>
      <c r="F17" s="2076"/>
      <c r="G17" s="2076"/>
      <c r="H17" s="2075">
        <f t="shared" si="1"/>
        <v>0</v>
      </c>
      <c r="I17" s="2075">
        <f t="shared" si="2"/>
        <v>0</v>
      </c>
      <c r="J17" s="1969"/>
    </row>
    <row r="18" spans="1:11" s="1569" customFormat="1" ht="14.25" customHeight="1">
      <c r="A18" s="1808">
        <v>13</v>
      </c>
      <c r="B18" s="1819" t="s">
        <v>5420</v>
      </c>
      <c r="C18" s="2076"/>
      <c r="D18" s="2076"/>
      <c r="E18" s="2075">
        <f t="shared" si="0"/>
        <v>0</v>
      </c>
      <c r="F18" s="2076"/>
      <c r="G18" s="2076"/>
      <c r="H18" s="2075">
        <f t="shared" si="1"/>
        <v>0</v>
      </c>
      <c r="I18" s="2075">
        <f t="shared" si="2"/>
        <v>0</v>
      </c>
      <c r="J18" s="1975"/>
    </row>
    <row r="19" spans="1:11" ht="42" customHeight="1">
      <c r="A19" s="1808">
        <v>14</v>
      </c>
      <c r="B19" s="1819" t="s">
        <v>5421</v>
      </c>
      <c r="C19" s="2075">
        <f>C6+C9+C11+C13+C16+C17</f>
        <v>0</v>
      </c>
      <c r="D19" s="2075">
        <f t="shared" ref="D19:I19" si="3">D6+D9+D11+D13+D16+D17</f>
        <v>0</v>
      </c>
      <c r="E19" s="2075">
        <f t="shared" si="3"/>
        <v>0</v>
      </c>
      <c r="F19" s="2075">
        <f t="shared" si="3"/>
        <v>0</v>
      </c>
      <c r="G19" s="2075">
        <f t="shared" si="3"/>
        <v>0</v>
      </c>
      <c r="H19" s="2075">
        <f t="shared" si="3"/>
        <v>0</v>
      </c>
      <c r="I19" s="2075">
        <f t="shared" si="3"/>
        <v>0</v>
      </c>
      <c r="J19" s="1819" t="s">
        <v>5422</v>
      </c>
      <c r="K19" s="1568"/>
    </row>
    <row r="20" spans="1:11">
      <c r="A20" s="2161"/>
      <c r="B20" s="2161"/>
      <c r="C20" s="2161"/>
      <c r="D20" s="2161"/>
      <c r="E20" s="2161"/>
      <c r="F20" s="2161"/>
      <c r="G20" s="2161"/>
      <c r="H20" s="2161"/>
      <c r="I20" s="2161"/>
      <c r="J20" s="2161"/>
    </row>
    <row r="21" spans="1:11">
      <c r="A21" s="2161"/>
      <c r="B21" s="2161"/>
      <c r="C21" s="2161"/>
      <c r="D21" s="2161"/>
      <c r="E21" s="2161"/>
      <c r="F21" s="2161"/>
      <c r="G21" s="2161"/>
      <c r="H21" s="2161"/>
      <c r="I21" s="2161"/>
      <c r="J21" s="2161"/>
    </row>
    <row r="22" spans="1:11">
      <c r="A22" s="3463"/>
      <c r="B22" s="3463"/>
      <c r="C22" s="3463"/>
      <c r="D22" s="3463"/>
      <c r="E22" s="3463"/>
      <c r="F22" s="3463"/>
      <c r="G22" s="3463"/>
      <c r="H22" s="3463"/>
      <c r="I22" s="3463"/>
      <c r="J22" s="3463"/>
    </row>
    <row r="23" spans="1:11">
      <c r="A23" s="3463"/>
      <c r="B23" s="3463"/>
      <c r="C23" s="3463"/>
      <c r="D23" s="3463"/>
      <c r="E23" s="3463"/>
      <c r="F23" s="3463"/>
      <c r="G23" s="3463"/>
      <c r="H23" s="3463"/>
      <c r="I23" s="3463"/>
      <c r="J23" s="3463"/>
    </row>
    <row r="24" spans="1:11">
      <c r="A24" s="3463"/>
      <c r="B24" s="3463"/>
      <c r="C24" s="3463"/>
      <c r="D24" s="3463"/>
      <c r="E24" s="3463"/>
      <c r="F24" s="3463"/>
      <c r="G24" s="3463"/>
      <c r="H24" s="3463"/>
      <c r="I24" s="3463"/>
      <c r="J24" s="3463"/>
    </row>
    <row r="25" spans="1:11">
      <c r="A25" s="3463"/>
      <c r="B25" s="3463"/>
      <c r="C25" s="3463"/>
      <c r="D25" s="3463"/>
      <c r="E25" s="3463"/>
      <c r="F25" s="3463"/>
      <c r="G25" s="3463"/>
      <c r="H25" s="3463"/>
      <c r="I25" s="3463"/>
      <c r="J25" s="3463"/>
    </row>
    <row r="26" spans="1:11">
      <c r="A26" s="3463"/>
      <c r="B26" s="3463"/>
      <c r="C26" s="3463"/>
      <c r="D26" s="3463"/>
      <c r="E26" s="3463"/>
      <c r="F26" s="3463"/>
      <c r="G26" s="3463"/>
      <c r="H26" s="3463"/>
      <c r="I26" s="3463"/>
      <c r="J26" s="3463"/>
    </row>
    <row r="27" spans="1:11">
      <c r="A27" s="3463"/>
      <c r="B27" s="3463"/>
      <c r="C27" s="3463"/>
      <c r="D27" s="3463"/>
      <c r="E27" s="3463"/>
      <c r="F27" s="3463"/>
      <c r="G27" s="3463"/>
      <c r="H27" s="3463"/>
      <c r="I27" s="3463"/>
      <c r="J27" s="3463"/>
    </row>
    <row r="28" spans="1:11">
      <c r="A28" s="3463"/>
      <c r="B28" s="3463"/>
      <c r="C28" s="3463"/>
      <c r="D28" s="3463"/>
      <c r="E28" s="3463"/>
      <c r="F28" s="3463"/>
      <c r="G28" s="3463"/>
      <c r="H28" s="3463"/>
      <c r="I28" s="3463"/>
      <c r="J28" s="3463"/>
    </row>
    <row r="29" spans="1:11">
      <c r="A29" s="3463"/>
      <c r="B29" s="3463"/>
      <c r="C29" s="3463"/>
      <c r="D29" s="3463"/>
      <c r="E29" s="3463"/>
      <c r="F29" s="3463"/>
      <c r="G29" s="3463"/>
      <c r="H29" s="3463"/>
      <c r="I29" s="3463"/>
      <c r="J29" s="3463"/>
    </row>
    <row r="30" spans="1:11">
      <c r="A30" s="3463"/>
      <c r="B30" s="3463"/>
      <c r="C30" s="3463"/>
      <c r="D30" s="3463"/>
      <c r="E30" s="3463"/>
      <c r="F30" s="3463"/>
      <c r="G30" s="3463"/>
      <c r="H30" s="3463"/>
      <c r="I30" s="3463"/>
      <c r="J30" s="3463"/>
    </row>
    <row r="31" spans="1:11">
      <c r="A31" s="3463"/>
      <c r="B31" s="3463"/>
      <c r="C31" s="3463"/>
      <c r="D31" s="3463"/>
      <c r="E31" s="3463"/>
      <c r="F31" s="3463"/>
      <c r="G31" s="3463"/>
      <c r="H31" s="3463"/>
      <c r="I31" s="3463"/>
      <c r="J31" s="3463"/>
    </row>
    <row r="32" spans="1:11">
      <c r="A32" s="3463"/>
      <c r="B32" s="3463"/>
      <c r="C32" s="3463"/>
      <c r="D32" s="3463"/>
      <c r="E32" s="3463"/>
      <c r="F32" s="3463"/>
      <c r="G32" s="3463"/>
      <c r="H32" s="3463"/>
      <c r="I32" s="3463"/>
      <c r="J32" s="3463"/>
    </row>
  </sheetData>
  <mergeCells count="19">
    <mergeCell ref="J3:J4"/>
    <mergeCell ref="A32:J32"/>
    <mergeCell ref="A22:J22"/>
    <mergeCell ref="A23:J23"/>
    <mergeCell ref="A24:J24"/>
    <mergeCell ref="A25:J25"/>
    <mergeCell ref="A26:J26"/>
    <mergeCell ref="A27:J27"/>
    <mergeCell ref="A28:J28"/>
    <mergeCell ref="A29:J29"/>
    <mergeCell ref="A30:J30"/>
    <mergeCell ref="A31:J31"/>
    <mergeCell ref="A1:I1"/>
    <mergeCell ref="A2:I2"/>
    <mergeCell ref="A3:A5"/>
    <mergeCell ref="B3:B5"/>
    <mergeCell ref="C3:E3"/>
    <mergeCell ref="F3:H3"/>
    <mergeCell ref="I3:I4"/>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5.6"/>
  <cols>
    <col min="1" max="1" width="5.19921875" style="1555" customWidth="1"/>
    <col min="2" max="2" width="47.59765625" style="1650"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650" customFormat="1" ht="20.100000000000001" customHeight="1">
      <c r="A1" s="3400"/>
      <c r="B1" s="3400"/>
      <c r="C1" s="3400"/>
      <c r="D1" s="2181" t="str">
        <f>"索引号："&amp;档案索引!A43</f>
        <v>索引号：2A-23</v>
      </c>
    </row>
    <row r="2" spans="1:6" ht="25.5" customHeight="1">
      <c r="A2" s="3464" t="s">
        <v>5930</v>
      </c>
      <c r="B2" s="3464"/>
      <c r="C2" s="3464"/>
      <c r="D2" s="1831"/>
    </row>
    <row r="3" spans="1:6" ht="14.25" customHeight="1">
      <c r="A3" s="1812" t="s">
        <v>1853</v>
      </c>
      <c r="B3" s="1812" t="s">
        <v>5425</v>
      </c>
      <c r="C3" s="1808" t="s">
        <v>557</v>
      </c>
      <c r="D3" s="1850" t="s">
        <v>5151</v>
      </c>
    </row>
    <row r="4" spans="1:6" ht="14.25" customHeight="1">
      <c r="A4" s="1808">
        <v>1</v>
      </c>
      <c r="B4" s="1818" t="s">
        <v>5426</v>
      </c>
      <c r="C4" s="2075">
        <f>C5+C11</f>
        <v>0</v>
      </c>
      <c r="D4" s="1921"/>
    </row>
    <row r="5" spans="1:6" ht="14.25" customHeight="1">
      <c r="A5" s="1808">
        <v>2</v>
      </c>
      <c r="B5" s="1818" t="s">
        <v>5427</v>
      </c>
      <c r="C5" s="2075">
        <f>SUM(C6:C10)</f>
        <v>0</v>
      </c>
      <c r="D5" s="1921"/>
      <c r="F5" s="1578"/>
    </row>
    <row r="6" spans="1:6" ht="14.25" customHeight="1">
      <c r="A6" s="1808">
        <v>3</v>
      </c>
      <c r="B6" s="1818" t="s">
        <v>5428</v>
      </c>
      <c r="C6" s="2077"/>
      <c r="D6" s="1921"/>
    </row>
    <row r="7" spans="1:6" ht="14.25" customHeight="1">
      <c r="A7" s="1808">
        <v>4</v>
      </c>
      <c r="B7" s="1818" t="s">
        <v>5429</v>
      </c>
      <c r="C7" s="2077"/>
      <c r="D7" s="1921"/>
    </row>
    <row r="8" spans="1:6" ht="14.25" customHeight="1">
      <c r="A8" s="1808">
        <v>5</v>
      </c>
      <c r="B8" s="1818" t="s">
        <v>5430</v>
      </c>
      <c r="C8" s="2077"/>
      <c r="D8" s="1921"/>
    </row>
    <row r="9" spans="1:6" ht="14.25" customHeight="1">
      <c r="A9" s="1808">
        <v>6</v>
      </c>
      <c r="B9" s="1818" t="s">
        <v>5431</v>
      </c>
      <c r="C9" s="2077"/>
      <c r="D9" s="1921"/>
    </row>
    <row r="10" spans="1:6" ht="14.25" customHeight="1">
      <c r="A10" s="1808">
        <v>7</v>
      </c>
      <c r="B10" s="1818" t="s">
        <v>5432</v>
      </c>
      <c r="C10" s="2077"/>
      <c r="D10" s="1921"/>
    </row>
    <row r="11" spans="1:6" ht="14.25" customHeight="1">
      <c r="A11" s="1808">
        <v>8</v>
      </c>
      <c r="B11" s="1818" t="s">
        <v>5433</v>
      </c>
      <c r="C11" s="2077"/>
      <c r="D11" s="1921"/>
    </row>
    <row r="12" spans="1:6" ht="14.25" customHeight="1">
      <c r="A12" s="1808">
        <v>9</v>
      </c>
      <c r="B12" s="1818" t="s">
        <v>5434</v>
      </c>
      <c r="C12" s="2075">
        <f>C13+C19</f>
        <v>0</v>
      </c>
      <c r="D12" s="1921"/>
    </row>
    <row r="13" spans="1:6" ht="14.25" customHeight="1">
      <c r="A13" s="1808">
        <v>10</v>
      </c>
      <c r="B13" s="1818" t="s">
        <v>5435</v>
      </c>
      <c r="C13" s="2075">
        <f>SUM(C14:C18)</f>
        <v>0</v>
      </c>
      <c r="D13" s="1921"/>
      <c r="E13" s="1675" t="s">
        <v>6451</v>
      </c>
    </row>
    <row r="14" spans="1:6" ht="14.25" customHeight="1">
      <c r="A14" s="1808">
        <v>11</v>
      </c>
      <c r="B14" s="1818" t="s">
        <v>5436</v>
      </c>
      <c r="C14" s="2077"/>
      <c r="D14" s="1921"/>
    </row>
    <row r="15" spans="1:6" ht="14.25" customHeight="1">
      <c r="A15" s="1808">
        <v>12</v>
      </c>
      <c r="B15" s="1818" t="s">
        <v>5437</v>
      </c>
      <c r="C15" s="2077"/>
      <c r="D15" s="1921"/>
    </row>
    <row r="16" spans="1:6" ht="14.25" customHeight="1">
      <c r="A16" s="1808">
        <v>13</v>
      </c>
      <c r="B16" s="1818" t="s">
        <v>5438</v>
      </c>
      <c r="C16" s="2077"/>
      <c r="D16" s="1921"/>
    </row>
    <row r="17" spans="1:9" ht="14.25" customHeight="1">
      <c r="A17" s="1808">
        <v>14</v>
      </c>
      <c r="B17" s="1818" t="s">
        <v>5439</v>
      </c>
      <c r="C17" s="2077"/>
      <c r="D17" s="1921"/>
    </row>
    <row r="18" spans="1:9" ht="14.25" customHeight="1">
      <c r="A18" s="1808">
        <v>15</v>
      </c>
      <c r="B18" s="1818" t="s">
        <v>5440</v>
      </c>
      <c r="C18" s="2077"/>
      <c r="D18" s="1921"/>
    </row>
    <row r="19" spans="1:9" ht="14.25" customHeight="1">
      <c r="A19" s="1808">
        <v>16</v>
      </c>
      <c r="B19" s="1818" t="s">
        <v>5441</v>
      </c>
      <c r="C19" s="2077"/>
      <c r="D19" s="1921"/>
    </row>
    <row r="20" spans="1:9" ht="14.25" customHeight="1">
      <c r="A20" s="1808">
        <v>17</v>
      </c>
      <c r="B20" s="1818" t="s">
        <v>5442</v>
      </c>
      <c r="C20" s="2075">
        <f>C4-C12</f>
        <v>0</v>
      </c>
      <c r="D20" s="1921"/>
    </row>
    <row r="21" spans="1:9" ht="14.25" customHeight="1">
      <c r="A21" s="1808">
        <v>18</v>
      </c>
      <c r="B21" s="1818" t="s">
        <v>5443</v>
      </c>
      <c r="C21" s="2075">
        <f>C22+C23+C24</f>
        <v>0</v>
      </c>
      <c r="D21" s="1921"/>
    </row>
    <row r="22" spans="1:9" s="1579" customFormat="1" ht="14.25" customHeight="1">
      <c r="A22" s="1808">
        <v>19</v>
      </c>
      <c r="B22" s="1818" t="s">
        <v>5444</v>
      </c>
      <c r="C22" s="2076"/>
      <c r="D22" s="1921"/>
    </row>
    <row r="23" spans="1:9" s="1579" customFormat="1" ht="14.25" customHeight="1">
      <c r="A23" s="1808">
        <v>20</v>
      </c>
      <c r="B23" s="1819" t="s">
        <v>5445</v>
      </c>
      <c r="C23" s="2076"/>
      <c r="D23" s="1921"/>
    </row>
    <row r="24" spans="1:9" s="1579" customFormat="1" ht="14.25" customHeight="1">
      <c r="A24" s="1808">
        <v>21</v>
      </c>
      <c r="B24" s="1819" t="s">
        <v>5446</v>
      </c>
      <c r="C24" s="2076"/>
      <c r="D24" s="1921"/>
    </row>
    <row r="25" spans="1:9" s="1579" customFormat="1" ht="14.25" customHeight="1">
      <c r="A25" s="1808">
        <v>22</v>
      </c>
      <c r="B25" s="1818" t="s">
        <v>5447</v>
      </c>
      <c r="C25" s="2076"/>
      <c r="D25" s="1921"/>
    </row>
    <row r="26" spans="1:9" s="1579" customFormat="1" ht="14.25" customHeight="1">
      <c r="A26" s="1808">
        <v>23</v>
      </c>
      <c r="B26" s="1818" t="s">
        <v>5448</v>
      </c>
      <c r="C26" s="2076"/>
      <c r="D26" s="1921"/>
    </row>
    <row r="27" spans="1:9" s="1579" customFormat="1" ht="55.5" customHeight="1">
      <c r="A27" s="1808">
        <v>24</v>
      </c>
      <c r="B27" s="1818" t="s">
        <v>5449</v>
      </c>
      <c r="C27" s="2075">
        <f>C21-C25-C26</f>
        <v>0</v>
      </c>
      <c r="D27" s="1819" t="s">
        <v>5450</v>
      </c>
      <c r="E27" s="1580"/>
    </row>
    <row r="28" spans="1:9" s="1552" customFormat="1" ht="14.25" customHeight="1">
      <c r="A28" s="2179"/>
      <c r="B28" s="2179"/>
      <c r="C28" s="2179"/>
      <c r="D28" s="2180"/>
      <c r="E28" s="1541"/>
      <c r="F28" s="1651"/>
      <c r="G28" s="1651"/>
      <c r="H28" s="1651"/>
      <c r="I28" s="1651"/>
    </row>
    <row r="29" spans="1:9">
      <c r="A29" s="2163"/>
      <c r="B29" s="2163"/>
      <c r="C29" s="2163"/>
      <c r="D29" s="2163"/>
    </row>
    <row r="30" spans="1:9">
      <c r="A30" s="3465"/>
      <c r="B30" s="3465"/>
      <c r="C30" s="3465"/>
      <c r="D30" s="3465"/>
    </row>
    <row r="31" spans="1:9">
      <c r="A31" s="3465"/>
      <c r="B31" s="3465"/>
      <c r="C31" s="3465"/>
      <c r="D31" s="3465"/>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5.6"/>
  <cols>
    <col min="1" max="1" width="5.19921875" style="1651" customWidth="1"/>
    <col min="2" max="2" width="34.09765625" style="1651" customWidth="1"/>
    <col min="3" max="5" width="12.3984375" style="1651" customWidth="1"/>
    <col min="6" max="6" width="13.09765625" style="1651" customWidth="1"/>
    <col min="7" max="256" width="9" style="1651"/>
    <col min="257" max="257" width="5.19921875" style="1651" customWidth="1"/>
    <col min="258" max="258" width="34.09765625" style="1651" customWidth="1"/>
    <col min="259" max="259" width="8.59765625" style="1651" customWidth="1"/>
    <col min="260" max="260" width="8.5" style="1651" customWidth="1"/>
    <col min="261" max="261" width="8.69921875" style="1651" customWidth="1"/>
    <col min="262" max="262" width="13.09765625" style="1651" customWidth="1"/>
    <col min="263" max="512" width="9" style="1651"/>
    <col min="513" max="513" width="5.19921875" style="1651" customWidth="1"/>
    <col min="514" max="514" width="34.09765625" style="1651" customWidth="1"/>
    <col min="515" max="515" width="8.59765625" style="1651" customWidth="1"/>
    <col min="516" max="516" width="8.5" style="1651" customWidth="1"/>
    <col min="517" max="517" width="8.69921875" style="1651" customWidth="1"/>
    <col min="518" max="518" width="13.09765625" style="1651" customWidth="1"/>
    <col min="519" max="768" width="9" style="1651"/>
    <col min="769" max="769" width="5.19921875" style="1651" customWidth="1"/>
    <col min="770" max="770" width="34.09765625" style="1651" customWidth="1"/>
    <col min="771" max="771" width="8.59765625" style="1651" customWidth="1"/>
    <col min="772" max="772" width="8.5" style="1651" customWidth="1"/>
    <col min="773" max="773" width="8.69921875" style="1651" customWidth="1"/>
    <col min="774" max="774" width="13.09765625" style="1651" customWidth="1"/>
    <col min="775" max="1024" width="9" style="1651"/>
    <col min="1025" max="1025" width="5.19921875" style="1651" customWidth="1"/>
    <col min="1026" max="1026" width="34.09765625" style="1651" customWidth="1"/>
    <col min="1027" max="1027" width="8.59765625" style="1651" customWidth="1"/>
    <col min="1028" max="1028" width="8.5" style="1651" customWidth="1"/>
    <col min="1029" max="1029" width="8.69921875" style="1651" customWidth="1"/>
    <col min="1030" max="1030" width="13.09765625" style="1651" customWidth="1"/>
    <col min="1031" max="1280" width="9" style="1651"/>
    <col min="1281" max="1281" width="5.19921875" style="1651" customWidth="1"/>
    <col min="1282" max="1282" width="34.09765625" style="1651" customWidth="1"/>
    <col min="1283" max="1283" width="8.59765625" style="1651" customWidth="1"/>
    <col min="1284" max="1284" width="8.5" style="1651" customWidth="1"/>
    <col min="1285" max="1285" width="8.69921875" style="1651" customWidth="1"/>
    <col min="1286" max="1286" width="13.09765625" style="1651" customWidth="1"/>
    <col min="1287" max="1536" width="9" style="1651"/>
    <col min="1537" max="1537" width="5.19921875" style="1651" customWidth="1"/>
    <col min="1538" max="1538" width="34.09765625" style="1651" customWidth="1"/>
    <col min="1539" max="1539" width="8.59765625" style="1651" customWidth="1"/>
    <col min="1540" max="1540" width="8.5" style="1651" customWidth="1"/>
    <col min="1541" max="1541" width="8.69921875" style="1651" customWidth="1"/>
    <col min="1542" max="1542" width="13.09765625" style="1651" customWidth="1"/>
    <col min="1543" max="1792" width="9" style="1651"/>
    <col min="1793" max="1793" width="5.19921875" style="1651" customWidth="1"/>
    <col min="1794" max="1794" width="34.09765625" style="1651" customWidth="1"/>
    <col min="1795" max="1795" width="8.59765625" style="1651" customWidth="1"/>
    <col min="1796" max="1796" width="8.5" style="1651" customWidth="1"/>
    <col min="1797" max="1797" width="8.69921875" style="1651" customWidth="1"/>
    <col min="1798" max="1798" width="13.09765625" style="1651" customWidth="1"/>
    <col min="1799" max="2048" width="9" style="1651"/>
    <col min="2049" max="2049" width="5.19921875" style="1651" customWidth="1"/>
    <col min="2050" max="2050" width="34.09765625" style="1651" customWidth="1"/>
    <col min="2051" max="2051" width="8.59765625" style="1651" customWidth="1"/>
    <col min="2052" max="2052" width="8.5" style="1651" customWidth="1"/>
    <col min="2053" max="2053" width="8.69921875" style="1651" customWidth="1"/>
    <col min="2054" max="2054" width="13.09765625" style="1651" customWidth="1"/>
    <col min="2055" max="2304" width="9" style="1651"/>
    <col min="2305" max="2305" width="5.19921875" style="1651" customWidth="1"/>
    <col min="2306" max="2306" width="34.09765625" style="1651" customWidth="1"/>
    <col min="2307" max="2307" width="8.59765625" style="1651" customWidth="1"/>
    <col min="2308" max="2308" width="8.5" style="1651" customWidth="1"/>
    <col min="2309" max="2309" width="8.69921875" style="1651" customWidth="1"/>
    <col min="2310" max="2310" width="13.09765625" style="1651" customWidth="1"/>
    <col min="2311" max="2560" width="9" style="1651"/>
    <col min="2561" max="2561" width="5.19921875" style="1651" customWidth="1"/>
    <col min="2562" max="2562" width="34.09765625" style="1651" customWidth="1"/>
    <col min="2563" max="2563" width="8.59765625" style="1651" customWidth="1"/>
    <col min="2564" max="2564" width="8.5" style="1651" customWidth="1"/>
    <col min="2565" max="2565" width="8.69921875" style="1651" customWidth="1"/>
    <col min="2566" max="2566" width="13.09765625" style="1651" customWidth="1"/>
    <col min="2567" max="2816" width="9" style="1651"/>
    <col min="2817" max="2817" width="5.19921875" style="1651" customWidth="1"/>
    <col min="2818" max="2818" width="34.09765625" style="1651" customWidth="1"/>
    <col min="2819" max="2819" width="8.59765625" style="1651" customWidth="1"/>
    <col min="2820" max="2820" width="8.5" style="1651" customWidth="1"/>
    <col min="2821" max="2821" width="8.69921875" style="1651" customWidth="1"/>
    <col min="2822" max="2822" width="13.09765625" style="1651" customWidth="1"/>
    <col min="2823" max="3072" width="9" style="1651"/>
    <col min="3073" max="3073" width="5.19921875" style="1651" customWidth="1"/>
    <col min="3074" max="3074" width="34.09765625" style="1651" customWidth="1"/>
    <col min="3075" max="3075" width="8.59765625" style="1651" customWidth="1"/>
    <col min="3076" max="3076" width="8.5" style="1651" customWidth="1"/>
    <col min="3077" max="3077" width="8.69921875" style="1651" customWidth="1"/>
    <col min="3078" max="3078" width="13.09765625" style="1651" customWidth="1"/>
    <col min="3079" max="3328" width="9" style="1651"/>
    <col min="3329" max="3329" width="5.19921875" style="1651" customWidth="1"/>
    <col min="3330" max="3330" width="34.09765625" style="1651" customWidth="1"/>
    <col min="3331" max="3331" width="8.59765625" style="1651" customWidth="1"/>
    <col min="3332" max="3332" width="8.5" style="1651" customWidth="1"/>
    <col min="3333" max="3333" width="8.69921875" style="1651" customWidth="1"/>
    <col min="3334" max="3334" width="13.09765625" style="1651" customWidth="1"/>
    <col min="3335" max="3584" width="9" style="1651"/>
    <col min="3585" max="3585" width="5.19921875" style="1651" customWidth="1"/>
    <col min="3586" max="3586" width="34.09765625" style="1651" customWidth="1"/>
    <col min="3587" max="3587" width="8.59765625" style="1651" customWidth="1"/>
    <col min="3588" max="3588" width="8.5" style="1651" customWidth="1"/>
    <col min="3589" max="3589" width="8.69921875" style="1651" customWidth="1"/>
    <col min="3590" max="3590" width="13.09765625" style="1651" customWidth="1"/>
    <col min="3591" max="3840" width="9" style="1651"/>
    <col min="3841" max="3841" width="5.19921875" style="1651" customWidth="1"/>
    <col min="3842" max="3842" width="34.09765625" style="1651" customWidth="1"/>
    <col min="3843" max="3843" width="8.59765625" style="1651" customWidth="1"/>
    <col min="3844" max="3844" width="8.5" style="1651" customWidth="1"/>
    <col min="3845" max="3845" width="8.69921875" style="1651" customWidth="1"/>
    <col min="3846" max="3846" width="13.09765625" style="1651" customWidth="1"/>
    <col min="3847" max="4096" width="9" style="1651"/>
    <col min="4097" max="4097" width="5.19921875" style="1651" customWidth="1"/>
    <col min="4098" max="4098" width="34.09765625" style="1651" customWidth="1"/>
    <col min="4099" max="4099" width="8.59765625" style="1651" customWidth="1"/>
    <col min="4100" max="4100" width="8.5" style="1651" customWidth="1"/>
    <col min="4101" max="4101" width="8.69921875" style="1651" customWidth="1"/>
    <col min="4102" max="4102" width="13.09765625" style="1651" customWidth="1"/>
    <col min="4103" max="4352" width="9" style="1651"/>
    <col min="4353" max="4353" width="5.19921875" style="1651" customWidth="1"/>
    <col min="4354" max="4354" width="34.09765625" style="1651" customWidth="1"/>
    <col min="4355" max="4355" width="8.59765625" style="1651" customWidth="1"/>
    <col min="4356" max="4356" width="8.5" style="1651" customWidth="1"/>
    <col min="4357" max="4357" width="8.69921875" style="1651" customWidth="1"/>
    <col min="4358" max="4358" width="13.09765625" style="1651" customWidth="1"/>
    <col min="4359" max="4608" width="9" style="1651"/>
    <col min="4609" max="4609" width="5.19921875" style="1651" customWidth="1"/>
    <col min="4610" max="4610" width="34.09765625" style="1651" customWidth="1"/>
    <col min="4611" max="4611" width="8.59765625" style="1651" customWidth="1"/>
    <col min="4612" max="4612" width="8.5" style="1651" customWidth="1"/>
    <col min="4613" max="4613" width="8.69921875" style="1651" customWidth="1"/>
    <col min="4614" max="4614" width="13.09765625" style="1651" customWidth="1"/>
    <col min="4615" max="4864" width="9" style="1651"/>
    <col min="4865" max="4865" width="5.19921875" style="1651" customWidth="1"/>
    <col min="4866" max="4866" width="34.09765625" style="1651" customWidth="1"/>
    <col min="4867" max="4867" width="8.59765625" style="1651" customWidth="1"/>
    <col min="4868" max="4868" width="8.5" style="1651" customWidth="1"/>
    <col min="4869" max="4869" width="8.69921875" style="1651" customWidth="1"/>
    <col min="4870" max="4870" width="13.09765625" style="1651" customWidth="1"/>
    <col min="4871" max="5120" width="9" style="1651"/>
    <col min="5121" max="5121" width="5.19921875" style="1651" customWidth="1"/>
    <col min="5122" max="5122" width="34.09765625" style="1651" customWidth="1"/>
    <col min="5123" max="5123" width="8.59765625" style="1651" customWidth="1"/>
    <col min="5124" max="5124" width="8.5" style="1651" customWidth="1"/>
    <col min="5125" max="5125" width="8.69921875" style="1651" customWidth="1"/>
    <col min="5126" max="5126" width="13.09765625" style="1651" customWidth="1"/>
    <col min="5127" max="5376" width="9" style="1651"/>
    <col min="5377" max="5377" width="5.19921875" style="1651" customWidth="1"/>
    <col min="5378" max="5378" width="34.09765625" style="1651" customWidth="1"/>
    <col min="5379" max="5379" width="8.59765625" style="1651" customWidth="1"/>
    <col min="5380" max="5380" width="8.5" style="1651" customWidth="1"/>
    <col min="5381" max="5381" width="8.69921875" style="1651" customWidth="1"/>
    <col min="5382" max="5382" width="13.09765625" style="1651" customWidth="1"/>
    <col min="5383" max="5632" width="9" style="1651"/>
    <col min="5633" max="5633" width="5.19921875" style="1651" customWidth="1"/>
    <col min="5634" max="5634" width="34.09765625" style="1651" customWidth="1"/>
    <col min="5635" max="5635" width="8.59765625" style="1651" customWidth="1"/>
    <col min="5636" max="5636" width="8.5" style="1651" customWidth="1"/>
    <col min="5637" max="5637" width="8.69921875" style="1651" customWidth="1"/>
    <col min="5638" max="5638" width="13.09765625" style="1651" customWidth="1"/>
    <col min="5639" max="5888" width="9" style="1651"/>
    <col min="5889" max="5889" width="5.19921875" style="1651" customWidth="1"/>
    <col min="5890" max="5890" width="34.09765625" style="1651" customWidth="1"/>
    <col min="5891" max="5891" width="8.59765625" style="1651" customWidth="1"/>
    <col min="5892" max="5892" width="8.5" style="1651" customWidth="1"/>
    <col min="5893" max="5893" width="8.69921875" style="1651" customWidth="1"/>
    <col min="5894" max="5894" width="13.09765625" style="1651" customWidth="1"/>
    <col min="5895" max="6144" width="9" style="1651"/>
    <col min="6145" max="6145" width="5.19921875" style="1651" customWidth="1"/>
    <col min="6146" max="6146" width="34.09765625" style="1651" customWidth="1"/>
    <col min="6147" max="6147" width="8.59765625" style="1651" customWidth="1"/>
    <col min="6148" max="6148" width="8.5" style="1651" customWidth="1"/>
    <col min="6149" max="6149" width="8.69921875" style="1651" customWidth="1"/>
    <col min="6150" max="6150" width="13.09765625" style="1651" customWidth="1"/>
    <col min="6151" max="6400" width="9" style="1651"/>
    <col min="6401" max="6401" width="5.19921875" style="1651" customWidth="1"/>
    <col min="6402" max="6402" width="34.09765625" style="1651" customWidth="1"/>
    <col min="6403" max="6403" width="8.59765625" style="1651" customWidth="1"/>
    <col min="6404" max="6404" width="8.5" style="1651" customWidth="1"/>
    <col min="6405" max="6405" width="8.69921875" style="1651" customWidth="1"/>
    <col min="6406" max="6406" width="13.09765625" style="1651" customWidth="1"/>
    <col min="6407" max="6656" width="9" style="1651"/>
    <col min="6657" max="6657" width="5.19921875" style="1651" customWidth="1"/>
    <col min="6658" max="6658" width="34.09765625" style="1651" customWidth="1"/>
    <col min="6659" max="6659" width="8.59765625" style="1651" customWidth="1"/>
    <col min="6660" max="6660" width="8.5" style="1651" customWidth="1"/>
    <col min="6661" max="6661" width="8.69921875" style="1651" customWidth="1"/>
    <col min="6662" max="6662" width="13.09765625" style="1651" customWidth="1"/>
    <col min="6663" max="6912" width="9" style="1651"/>
    <col min="6913" max="6913" width="5.19921875" style="1651" customWidth="1"/>
    <col min="6914" max="6914" width="34.09765625" style="1651" customWidth="1"/>
    <col min="6915" max="6915" width="8.59765625" style="1651" customWidth="1"/>
    <col min="6916" max="6916" width="8.5" style="1651" customWidth="1"/>
    <col min="6917" max="6917" width="8.69921875" style="1651" customWidth="1"/>
    <col min="6918" max="6918" width="13.09765625" style="1651" customWidth="1"/>
    <col min="6919" max="7168" width="9" style="1651"/>
    <col min="7169" max="7169" width="5.19921875" style="1651" customWidth="1"/>
    <col min="7170" max="7170" width="34.09765625" style="1651" customWidth="1"/>
    <col min="7171" max="7171" width="8.59765625" style="1651" customWidth="1"/>
    <col min="7172" max="7172" width="8.5" style="1651" customWidth="1"/>
    <col min="7173" max="7173" width="8.69921875" style="1651" customWidth="1"/>
    <col min="7174" max="7174" width="13.09765625" style="1651" customWidth="1"/>
    <col min="7175" max="7424" width="9" style="1651"/>
    <col min="7425" max="7425" width="5.19921875" style="1651" customWidth="1"/>
    <col min="7426" max="7426" width="34.09765625" style="1651" customWidth="1"/>
    <col min="7427" max="7427" width="8.59765625" style="1651" customWidth="1"/>
    <col min="7428" max="7428" width="8.5" style="1651" customWidth="1"/>
    <col min="7429" max="7429" width="8.69921875" style="1651" customWidth="1"/>
    <col min="7430" max="7430" width="13.09765625" style="1651" customWidth="1"/>
    <col min="7431" max="7680" width="9" style="1651"/>
    <col min="7681" max="7681" width="5.19921875" style="1651" customWidth="1"/>
    <col min="7682" max="7682" width="34.09765625" style="1651" customWidth="1"/>
    <col min="7683" max="7683" width="8.59765625" style="1651" customWidth="1"/>
    <col min="7684" max="7684" width="8.5" style="1651" customWidth="1"/>
    <col min="7685" max="7685" width="8.69921875" style="1651" customWidth="1"/>
    <col min="7686" max="7686" width="13.09765625" style="1651" customWidth="1"/>
    <col min="7687" max="7936" width="9" style="1651"/>
    <col min="7937" max="7937" width="5.19921875" style="1651" customWidth="1"/>
    <col min="7938" max="7938" width="34.09765625" style="1651" customWidth="1"/>
    <col min="7939" max="7939" width="8.59765625" style="1651" customWidth="1"/>
    <col min="7940" max="7940" width="8.5" style="1651" customWidth="1"/>
    <col min="7941" max="7941" width="8.69921875" style="1651" customWidth="1"/>
    <col min="7942" max="7942" width="13.09765625" style="1651" customWidth="1"/>
    <col min="7943" max="8192" width="9" style="1651"/>
    <col min="8193" max="8193" width="5.19921875" style="1651" customWidth="1"/>
    <col min="8194" max="8194" width="34.09765625" style="1651" customWidth="1"/>
    <col min="8195" max="8195" width="8.59765625" style="1651" customWidth="1"/>
    <col min="8196" max="8196" width="8.5" style="1651" customWidth="1"/>
    <col min="8197" max="8197" width="8.69921875" style="1651" customWidth="1"/>
    <col min="8198" max="8198" width="13.09765625" style="1651" customWidth="1"/>
    <col min="8199" max="8448" width="9" style="1651"/>
    <col min="8449" max="8449" width="5.19921875" style="1651" customWidth="1"/>
    <col min="8450" max="8450" width="34.09765625" style="1651" customWidth="1"/>
    <col min="8451" max="8451" width="8.59765625" style="1651" customWidth="1"/>
    <col min="8452" max="8452" width="8.5" style="1651" customWidth="1"/>
    <col min="8453" max="8453" width="8.69921875" style="1651" customWidth="1"/>
    <col min="8454" max="8454" width="13.09765625" style="1651" customWidth="1"/>
    <col min="8455" max="8704" width="9" style="1651"/>
    <col min="8705" max="8705" width="5.19921875" style="1651" customWidth="1"/>
    <col min="8706" max="8706" width="34.09765625" style="1651" customWidth="1"/>
    <col min="8707" max="8707" width="8.59765625" style="1651" customWidth="1"/>
    <col min="8708" max="8708" width="8.5" style="1651" customWidth="1"/>
    <col min="8709" max="8709" width="8.69921875" style="1651" customWidth="1"/>
    <col min="8710" max="8710" width="13.09765625" style="1651" customWidth="1"/>
    <col min="8711" max="8960" width="9" style="1651"/>
    <col min="8961" max="8961" width="5.19921875" style="1651" customWidth="1"/>
    <col min="8962" max="8962" width="34.09765625" style="1651" customWidth="1"/>
    <col min="8963" max="8963" width="8.59765625" style="1651" customWidth="1"/>
    <col min="8964" max="8964" width="8.5" style="1651" customWidth="1"/>
    <col min="8965" max="8965" width="8.69921875" style="1651" customWidth="1"/>
    <col min="8966" max="8966" width="13.09765625" style="1651" customWidth="1"/>
    <col min="8967" max="9216" width="9" style="1651"/>
    <col min="9217" max="9217" width="5.19921875" style="1651" customWidth="1"/>
    <col min="9218" max="9218" width="34.09765625" style="1651" customWidth="1"/>
    <col min="9219" max="9219" width="8.59765625" style="1651" customWidth="1"/>
    <col min="9220" max="9220" width="8.5" style="1651" customWidth="1"/>
    <col min="9221" max="9221" width="8.69921875" style="1651" customWidth="1"/>
    <col min="9222" max="9222" width="13.09765625" style="1651" customWidth="1"/>
    <col min="9223" max="9472" width="9" style="1651"/>
    <col min="9473" max="9473" width="5.19921875" style="1651" customWidth="1"/>
    <col min="9474" max="9474" width="34.09765625" style="1651" customWidth="1"/>
    <col min="9475" max="9475" width="8.59765625" style="1651" customWidth="1"/>
    <col min="9476" max="9476" width="8.5" style="1651" customWidth="1"/>
    <col min="9477" max="9477" width="8.69921875" style="1651" customWidth="1"/>
    <col min="9478" max="9478" width="13.09765625" style="1651" customWidth="1"/>
    <col min="9479" max="9728" width="9" style="1651"/>
    <col min="9729" max="9729" width="5.19921875" style="1651" customWidth="1"/>
    <col min="9730" max="9730" width="34.09765625" style="1651" customWidth="1"/>
    <col min="9731" max="9731" width="8.59765625" style="1651" customWidth="1"/>
    <col min="9732" max="9732" width="8.5" style="1651" customWidth="1"/>
    <col min="9733" max="9733" width="8.69921875" style="1651" customWidth="1"/>
    <col min="9734" max="9734" width="13.09765625" style="1651" customWidth="1"/>
    <col min="9735" max="9984" width="9" style="1651"/>
    <col min="9985" max="9985" width="5.19921875" style="1651" customWidth="1"/>
    <col min="9986" max="9986" width="34.09765625" style="1651" customWidth="1"/>
    <col min="9987" max="9987" width="8.59765625" style="1651" customWidth="1"/>
    <col min="9988" max="9988" width="8.5" style="1651" customWidth="1"/>
    <col min="9989" max="9989" width="8.69921875" style="1651" customWidth="1"/>
    <col min="9990" max="9990" width="13.09765625" style="1651" customWidth="1"/>
    <col min="9991" max="10240" width="9" style="1651"/>
    <col min="10241" max="10241" width="5.19921875" style="1651" customWidth="1"/>
    <col min="10242" max="10242" width="34.09765625" style="1651" customWidth="1"/>
    <col min="10243" max="10243" width="8.59765625" style="1651" customWidth="1"/>
    <col min="10244" max="10244" width="8.5" style="1651" customWidth="1"/>
    <col min="10245" max="10245" width="8.69921875" style="1651" customWidth="1"/>
    <col min="10246" max="10246" width="13.09765625" style="1651" customWidth="1"/>
    <col min="10247" max="10496" width="9" style="1651"/>
    <col min="10497" max="10497" width="5.19921875" style="1651" customWidth="1"/>
    <col min="10498" max="10498" width="34.09765625" style="1651" customWidth="1"/>
    <col min="10499" max="10499" width="8.59765625" style="1651" customWidth="1"/>
    <col min="10500" max="10500" width="8.5" style="1651" customWidth="1"/>
    <col min="10501" max="10501" width="8.69921875" style="1651" customWidth="1"/>
    <col min="10502" max="10502" width="13.09765625" style="1651" customWidth="1"/>
    <col min="10503" max="10752" width="9" style="1651"/>
    <col min="10753" max="10753" width="5.19921875" style="1651" customWidth="1"/>
    <col min="10754" max="10754" width="34.09765625" style="1651" customWidth="1"/>
    <col min="10755" max="10755" width="8.59765625" style="1651" customWidth="1"/>
    <col min="10756" max="10756" width="8.5" style="1651" customWidth="1"/>
    <col min="10757" max="10757" width="8.69921875" style="1651" customWidth="1"/>
    <col min="10758" max="10758" width="13.09765625" style="1651" customWidth="1"/>
    <col min="10759" max="11008" width="9" style="1651"/>
    <col min="11009" max="11009" width="5.19921875" style="1651" customWidth="1"/>
    <col min="11010" max="11010" width="34.09765625" style="1651" customWidth="1"/>
    <col min="11011" max="11011" width="8.59765625" style="1651" customWidth="1"/>
    <col min="11012" max="11012" width="8.5" style="1651" customWidth="1"/>
    <col min="11013" max="11013" width="8.69921875" style="1651" customWidth="1"/>
    <col min="11014" max="11014" width="13.09765625" style="1651" customWidth="1"/>
    <col min="11015" max="11264" width="9" style="1651"/>
    <col min="11265" max="11265" width="5.19921875" style="1651" customWidth="1"/>
    <col min="11266" max="11266" width="34.09765625" style="1651" customWidth="1"/>
    <col min="11267" max="11267" width="8.59765625" style="1651" customWidth="1"/>
    <col min="11268" max="11268" width="8.5" style="1651" customWidth="1"/>
    <col min="11269" max="11269" width="8.69921875" style="1651" customWidth="1"/>
    <col min="11270" max="11270" width="13.09765625" style="1651" customWidth="1"/>
    <col min="11271" max="11520" width="9" style="1651"/>
    <col min="11521" max="11521" width="5.19921875" style="1651" customWidth="1"/>
    <col min="11522" max="11522" width="34.09765625" style="1651" customWidth="1"/>
    <col min="11523" max="11523" width="8.59765625" style="1651" customWidth="1"/>
    <col min="11524" max="11524" width="8.5" style="1651" customWidth="1"/>
    <col min="11525" max="11525" width="8.69921875" style="1651" customWidth="1"/>
    <col min="11526" max="11526" width="13.09765625" style="1651" customWidth="1"/>
    <col min="11527" max="11776" width="9" style="1651"/>
    <col min="11777" max="11777" width="5.19921875" style="1651" customWidth="1"/>
    <col min="11778" max="11778" width="34.09765625" style="1651" customWidth="1"/>
    <col min="11779" max="11779" width="8.59765625" style="1651" customWidth="1"/>
    <col min="11780" max="11780" width="8.5" style="1651" customWidth="1"/>
    <col min="11781" max="11781" width="8.69921875" style="1651" customWidth="1"/>
    <col min="11782" max="11782" width="13.09765625" style="1651" customWidth="1"/>
    <col min="11783" max="12032" width="9" style="1651"/>
    <col min="12033" max="12033" width="5.19921875" style="1651" customWidth="1"/>
    <col min="12034" max="12034" width="34.09765625" style="1651" customWidth="1"/>
    <col min="12035" max="12035" width="8.59765625" style="1651" customWidth="1"/>
    <col min="12036" max="12036" width="8.5" style="1651" customWidth="1"/>
    <col min="12037" max="12037" width="8.69921875" style="1651" customWidth="1"/>
    <col min="12038" max="12038" width="13.09765625" style="1651" customWidth="1"/>
    <col min="12039" max="12288" width="9" style="1651"/>
    <col min="12289" max="12289" width="5.19921875" style="1651" customWidth="1"/>
    <col min="12290" max="12290" width="34.09765625" style="1651" customWidth="1"/>
    <col min="12291" max="12291" width="8.59765625" style="1651" customWidth="1"/>
    <col min="12292" max="12292" width="8.5" style="1651" customWidth="1"/>
    <col min="12293" max="12293" width="8.69921875" style="1651" customWidth="1"/>
    <col min="12294" max="12294" width="13.09765625" style="1651" customWidth="1"/>
    <col min="12295" max="12544" width="9" style="1651"/>
    <col min="12545" max="12545" width="5.19921875" style="1651" customWidth="1"/>
    <col min="12546" max="12546" width="34.09765625" style="1651" customWidth="1"/>
    <col min="12547" max="12547" width="8.59765625" style="1651" customWidth="1"/>
    <col min="12548" max="12548" width="8.5" style="1651" customWidth="1"/>
    <col min="12549" max="12549" width="8.69921875" style="1651" customWidth="1"/>
    <col min="12550" max="12550" width="13.09765625" style="1651" customWidth="1"/>
    <col min="12551" max="12800" width="9" style="1651"/>
    <col min="12801" max="12801" width="5.19921875" style="1651" customWidth="1"/>
    <col min="12802" max="12802" width="34.09765625" style="1651" customWidth="1"/>
    <col min="12803" max="12803" width="8.59765625" style="1651" customWidth="1"/>
    <col min="12804" max="12804" width="8.5" style="1651" customWidth="1"/>
    <col min="12805" max="12805" width="8.69921875" style="1651" customWidth="1"/>
    <col min="12806" max="12806" width="13.09765625" style="1651" customWidth="1"/>
    <col min="12807" max="13056" width="9" style="1651"/>
    <col min="13057" max="13057" width="5.19921875" style="1651" customWidth="1"/>
    <col min="13058" max="13058" width="34.09765625" style="1651" customWidth="1"/>
    <col min="13059" max="13059" width="8.59765625" style="1651" customWidth="1"/>
    <col min="13060" max="13060" width="8.5" style="1651" customWidth="1"/>
    <col min="13061" max="13061" width="8.69921875" style="1651" customWidth="1"/>
    <col min="13062" max="13062" width="13.09765625" style="1651" customWidth="1"/>
    <col min="13063" max="13312" width="9" style="1651"/>
    <col min="13313" max="13313" width="5.19921875" style="1651" customWidth="1"/>
    <col min="13314" max="13314" width="34.09765625" style="1651" customWidth="1"/>
    <col min="13315" max="13315" width="8.59765625" style="1651" customWidth="1"/>
    <col min="13316" max="13316" width="8.5" style="1651" customWidth="1"/>
    <col min="13317" max="13317" width="8.69921875" style="1651" customWidth="1"/>
    <col min="13318" max="13318" width="13.09765625" style="1651" customWidth="1"/>
    <col min="13319" max="13568" width="9" style="1651"/>
    <col min="13569" max="13569" width="5.19921875" style="1651" customWidth="1"/>
    <col min="13570" max="13570" width="34.09765625" style="1651" customWidth="1"/>
    <col min="13571" max="13571" width="8.59765625" style="1651" customWidth="1"/>
    <col min="13572" max="13572" width="8.5" style="1651" customWidth="1"/>
    <col min="13573" max="13573" width="8.69921875" style="1651" customWidth="1"/>
    <col min="13574" max="13574" width="13.09765625" style="1651" customWidth="1"/>
    <col min="13575" max="13824" width="9" style="1651"/>
    <col min="13825" max="13825" width="5.19921875" style="1651" customWidth="1"/>
    <col min="13826" max="13826" width="34.09765625" style="1651" customWidth="1"/>
    <col min="13827" max="13827" width="8.59765625" style="1651" customWidth="1"/>
    <col min="13828" max="13828" width="8.5" style="1651" customWidth="1"/>
    <col min="13829" max="13829" width="8.69921875" style="1651" customWidth="1"/>
    <col min="13830" max="13830" width="13.09765625" style="1651" customWidth="1"/>
    <col min="13831" max="14080" width="9" style="1651"/>
    <col min="14081" max="14081" width="5.19921875" style="1651" customWidth="1"/>
    <col min="14082" max="14082" width="34.09765625" style="1651" customWidth="1"/>
    <col min="14083" max="14083" width="8.59765625" style="1651" customWidth="1"/>
    <col min="14084" max="14084" width="8.5" style="1651" customWidth="1"/>
    <col min="14085" max="14085" width="8.69921875" style="1651" customWidth="1"/>
    <col min="14086" max="14086" width="13.09765625" style="1651" customWidth="1"/>
    <col min="14087" max="14336" width="9" style="1651"/>
    <col min="14337" max="14337" width="5.19921875" style="1651" customWidth="1"/>
    <col min="14338" max="14338" width="34.09765625" style="1651" customWidth="1"/>
    <col min="14339" max="14339" width="8.59765625" style="1651" customWidth="1"/>
    <col min="14340" max="14340" width="8.5" style="1651" customWidth="1"/>
    <col min="14341" max="14341" width="8.69921875" style="1651" customWidth="1"/>
    <col min="14342" max="14342" width="13.09765625" style="1651" customWidth="1"/>
    <col min="14343" max="14592" width="9" style="1651"/>
    <col min="14593" max="14593" width="5.19921875" style="1651" customWidth="1"/>
    <col min="14594" max="14594" width="34.09765625" style="1651" customWidth="1"/>
    <col min="14595" max="14595" width="8.59765625" style="1651" customWidth="1"/>
    <col min="14596" max="14596" width="8.5" style="1651" customWidth="1"/>
    <col min="14597" max="14597" width="8.69921875" style="1651" customWidth="1"/>
    <col min="14598" max="14598" width="13.09765625" style="1651" customWidth="1"/>
    <col min="14599" max="14848" width="9" style="1651"/>
    <col min="14849" max="14849" width="5.19921875" style="1651" customWidth="1"/>
    <col min="14850" max="14850" width="34.09765625" style="1651" customWidth="1"/>
    <col min="14851" max="14851" width="8.59765625" style="1651" customWidth="1"/>
    <col min="14852" max="14852" width="8.5" style="1651" customWidth="1"/>
    <col min="14853" max="14853" width="8.69921875" style="1651" customWidth="1"/>
    <col min="14854" max="14854" width="13.09765625" style="1651" customWidth="1"/>
    <col min="14855" max="15104" width="9" style="1651"/>
    <col min="15105" max="15105" width="5.19921875" style="1651" customWidth="1"/>
    <col min="15106" max="15106" width="34.09765625" style="1651" customWidth="1"/>
    <col min="15107" max="15107" width="8.59765625" style="1651" customWidth="1"/>
    <col min="15108" max="15108" width="8.5" style="1651" customWidth="1"/>
    <col min="15109" max="15109" width="8.69921875" style="1651" customWidth="1"/>
    <col min="15110" max="15110" width="13.09765625" style="1651" customWidth="1"/>
    <col min="15111" max="15360" width="9" style="1651"/>
    <col min="15361" max="15361" width="5.19921875" style="1651" customWidth="1"/>
    <col min="15362" max="15362" width="34.09765625" style="1651" customWidth="1"/>
    <col min="15363" max="15363" width="8.59765625" style="1651" customWidth="1"/>
    <col min="15364" max="15364" width="8.5" style="1651" customWidth="1"/>
    <col min="15365" max="15365" width="8.69921875" style="1651" customWidth="1"/>
    <col min="15366" max="15366" width="13.09765625" style="1651" customWidth="1"/>
    <col min="15367" max="15616" width="9" style="1651"/>
    <col min="15617" max="15617" width="5.19921875" style="1651" customWidth="1"/>
    <col min="15618" max="15618" width="34.09765625" style="1651" customWidth="1"/>
    <col min="15619" max="15619" width="8.59765625" style="1651" customWidth="1"/>
    <col min="15620" max="15620" width="8.5" style="1651" customWidth="1"/>
    <col min="15621" max="15621" width="8.69921875" style="1651" customWidth="1"/>
    <col min="15622" max="15622" width="13.09765625" style="1651" customWidth="1"/>
    <col min="15623" max="15872" width="9" style="1651"/>
    <col min="15873" max="15873" width="5.19921875" style="1651" customWidth="1"/>
    <col min="15874" max="15874" width="34.09765625" style="1651" customWidth="1"/>
    <col min="15875" max="15875" width="8.59765625" style="1651" customWidth="1"/>
    <col min="15876" max="15876" width="8.5" style="1651" customWidth="1"/>
    <col min="15877" max="15877" width="8.69921875" style="1651" customWidth="1"/>
    <col min="15878" max="15878" width="13.09765625" style="1651" customWidth="1"/>
    <col min="15879" max="16128" width="9" style="1651"/>
    <col min="16129" max="16129" width="5.19921875" style="1651" customWidth="1"/>
    <col min="16130" max="16130" width="34.09765625" style="1651" customWidth="1"/>
    <col min="16131" max="16131" width="8.59765625" style="1651" customWidth="1"/>
    <col min="16132" max="16132" width="8.5" style="1651" customWidth="1"/>
    <col min="16133" max="16133" width="8.69921875" style="1651" customWidth="1"/>
    <col min="16134" max="16134" width="13.09765625" style="1651" customWidth="1"/>
    <col min="16135" max="16384" width="9" style="1651"/>
  </cols>
  <sheetData>
    <row r="1" spans="1:10" ht="20.100000000000001" customHeight="1">
      <c r="A1" s="3400"/>
      <c r="B1" s="3400"/>
      <c r="C1" s="3400"/>
      <c r="D1" s="3400"/>
      <c r="E1" s="3400"/>
      <c r="F1" s="2070" t="str">
        <f>"索引号："&amp;档案索引!A44</f>
        <v>索引号：2A-24</v>
      </c>
    </row>
    <row r="2" spans="1:10" ht="25.5" customHeight="1">
      <c r="A2" s="3401" t="s">
        <v>5931</v>
      </c>
      <c r="B2" s="3401"/>
      <c r="C2" s="3401"/>
      <c r="D2" s="3401"/>
      <c r="E2" s="3401"/>
      <c r="F2" s="1833"/>
    </row>
    <row r="3" spans="1:10" ht="14.25" customHeight="1">
      <c r="A3" s="3405" t="s">
        <v>2359</v>
      </c>
      <c r="B3" s="3402" t="s">
        <v>5079</v>
      </c>
      <c r="C3" s="1814" t="s">
        <v>1850</v>
      </c>
      <c r="D3" s="1814" t="s">
        <v>1851</v>
      </c>
      <c r="E3" s="1814" t="s">
        <v>5259</v>
      </c>
      <c r="F3" s="3399" t="s">
        <v>5151</v>
      </c>
    </row>
    <row r="4" spans="1:10" ht="14.25" customHeight="1">
      <c r="A4" s="3466"/>
      <c r="B4" s="3467"/>
      <c r="C4" s="1808">
        <v>1</v>
      </c>
      <c r="D4" s="1832">
        <v>2</v>
      </c>
      <c r="E4" s="1832" t="s">
        <v>5360</v>
      </c>
      <c r="F4" s="3399"/>
      <c r="J4" s="1581"/>
    </row>
    <row r="5" spans="1:10" ht="14.25" customHeight="1">
      <c r="A5" s="1808">
        <v>1</v>
      </c>
      <c r="B5" s="1803" t="s">
        <v>5453</v>
      </c>
      <c r="C5" s="2075">
        <f>C6+C7+C10+C11+C12+C13+C14</f>
        <v>0</v>
      </c>
      <c r="D5" s="2075">
        <f>D6+D7+D10+D11+D12+D13+D14</f>
        <v>0</v>
      </c>
      <c r="E5" s="2075">
        <f>C5-D5</f>
        <v>0</v>
      </c>
      <c r="F5" s="1968"/>
    </row>
    <row r="6" spans="1:10" ht="14.25" customHeight="1">
      <c r="A6" s="1808">
        <v>2</v>
      </c>
      <c r="B6" s="1817" t="s">
        <v>5454</v>
      </c>
      <c r="C6" s="2077"/>
      <c r="D6" s="2077"/>
      <c r="E6" s="2075">
        <f t="shared" ref="E6:E33" si="0">C6-D6</f>
        <v>0</v>
      </c>
      <c r="F6" s="1968"/>
    </row>
    <row r="7" spans="1:10" ht="14.25" customHeight="1">
      <c r="A7" s="1808">
        <v>3</v>
      </c>
      <c r="B7" s="1809" t="s">
        <v>5455</v>
      </c>
      <c r="C7" s="2075">
        <f>C8+C9</f>
        <v>0</v>
      </c>
      <c r="D7" s="2075">
        <f>D8+D9</f>
        <v>0</v>
      </c>
      <c r="E7" s="2075">
        <f t="shared" si="0"/>
        <v>0</v>
      </c>
      <c r="F7" s="1968"/>
    </row>
    <row r="8" spans="1:10" ht="14.25" customHeight="1">
      <c r="A8" s="1808">
        <v>4</v>
      </c>
      <c r="B8" s="1809" t="s">
        <v>5456</v>
      </c>
      <c r="C8" s="2077"/>
      <c r="D8" s="2076"/>
      <c r="E8" s="2075">
        <f t="shared" si="0"/>
        <v>0</v>
      </c>
      <c r="F8" s="1968"/>
    </row>
    <row r="9" spans="1:10" ht="14.25" customHeight="1">
      <c r="A9" s="1808">
        <v>5</v>
      </c>
      <c r="B9" s="1809" t="s">
        <v>5457</v>
      </c>
      <c r="C9" s="2077"/>
      <c r="D9" s="2076"/>
      <c r="E9" s="2075">
        <f t="shared" si="0"/>
        <v>0</v>
      </c>
      <c r="F9" s="1968"/>
    </row>
    <row r="10" spans="1:10" ht="14.25" customHeight="1">
      <c r="A10" s="1808">
        <v>6</v>
      </c>
      <c r="B10" s="1809" t="s">
        <v>5458</v>
      </c>
      <c r="C10" s="2077"/>
      <c r="D10" s="2076"/>
      <c r="E10" s="2075">
        <f t="shared" si="0"/>
        <v>0</v>
      </c>
      <c r="F10" s="1968"/>
    </row>
    <row r="11" spans="1:10" ht="14.25" customHeight="1">
      <c r="A11" s="1808">
        <v>7</v>
      </c>
      <c r="B11" s="1809" t="s">
        <v>5459</v>
      </c>
      <c r="C11" s="2077"/>
      <c r="D11" s="2076"/>
      <c r="E11" s="2075">
        <f t="shared" si="0"/>
        <v>0</v>
      </c>
      <c r="F11" s="1968"/>
    </row>
    <row r="12" spans="1:10" ht="14.25" customHeight="1">
      <c r="A12" s="1808">
        <v>8</v>
      </c>
      <c r="B12" s="1809" t="s">
        <v>5460</v>
      </c>
      <c r="C12" s="2077"/>
      <c r="D12" s="2076"/>
      <c r="E12" s="2075">
        <f t="shared" si="0"/>
        <v>0</v>
      </c>
      <c r="F12" s="1968"/>
    </row>
    <row r="13" spans="1:10" ht="14.25" customHeight="1">
      <c r="A13" s="1808">
        <v>9</v>
      </c>
      <c r="B13" s="1809" t="s">
        <v>5461</v>
      </c>
      <c r="C13" s="2077"/>
      <c r="D13" s="2076"/>
      <c r="E13" s="2075">
        <f t="shared" si="0"/>
        <v>0</v>
      </c>
      <c r="F13" s="1968"/>
    </row>
    <row r="14" spans="1:10" ht="14.25" customHeight="1">
      <c r="A14" s="1808">
        <v>10</v>
      </c>
      <c r="B14" s="1809" t="s">
        <v>5369</v>
      </c>
      <c r="C14" s="2077"/>
      <c r="D14" s="2076"/>
      <c r="E14" s="2075">
        <f t="shared" si="0"/>
        <v>0</v>
      </c>
      <c r="F14" s="1968"/>
      <c r="G14" s="1675" t="s">
        <v>6448</v>
      </c>
    </row>
    <row r="15" spans="1:10" ht="14.25" customHeight="1">
      <c r="A15" s="1808">
        <v>11</v>
      </c>
      <c r="B15" s="1809" t="s">
        <v>5462</v>
      </c>
      <c r="C15" s="2075">
        <f>SUM(C16:C19)</f>
        <v>0</v>
      </c>
      <c r="D15" s="2075">
        <f>SUM(D16:D19)</f>
        <v>0</v>
      </c>
      <c r="E15" s="2075">
        <f t="shared" si="0"/>
        <v>0</v>
      </c>
      <c r="F15" s="1968"/>
    </row>
    <row r="16" spans="1:10" ht="14.25" customHeight="1">
      <c r="A16" s="1808">
        <v>12</v>
      </c>
      <c r="B16" s="1809" t="s">
        <v>5463</v>
      </c>
      <c r="C16" s="2077"/>
      <c r="D16" s="2076"/>
      <c r="E16" s="2075">
        <f t="shared" si="0"/>
        <v>0</v>
      </c>
      <c r="F16" s="1968"/>
    </row>
    <row r="17" spans="1:6" ht="14.25" customHeight="1">
      <c r="A17" s="1808">
        <v>13</v>
      </c>
      <c r="B17" s="1809" t="s">
        <v>5464</v>
      </c>
      <c r="C17" s="2077"/>
      <c r="D17" s="2076"/>
      <c r="E17" s="2075">
        <f t="shared" si="0"/>
        <v>0</v>
      </c>
      <c r="F17" s="1968"/>
    </row>
    <row r="18" spans="1:6" ht="14.25" customHeight="1">
      <c r="A18" s="1808">
        <v>14</v>
      </c>
      <c r="B18" s="1809" t="s">
        <v>5465</v>
      </c>
      <c r="C18" s="2077"/>
      <c r="D18" s="2076"/>
      <c r="E18" s="2075">
        <f t="shared" si="0"/>
        <v>0</v>
      </c>
      <c r="F18" s="1968"/>
    </row>
    <row r="19" spans="1:6" ht="14.25" customHeight="1">
      <c r="A19" s="1808">
        <v>15</v>
      </c>
      <c r="B19" s="1809" t="s">
        <v>269</v>
      </c>
      <c r="C19" s="2077"/>
      <c r="D19" s="2076"/>
      <c r="E19" s="2075">
        <f t="shared" si="0"/>
        <v>0</v>
      </c>
      <c r="F19" s="1968"/>
    </row>
    <row r="20" spans="1:6" ht="14.25" customHeight="1">
      <c r="A20" s="1808">
        <v>16</v>
      </c>
      <c r="B20" s="1809" t="s">
        <v>5466</v>
      </c>
      <c r="C20" s="2075">
        <f>SUM(C21:C24)</f>
        <v>0</v>
      </c>
      <c r="D20" s="2075">
        <f>SUM(D21:D24)</f>
        <v>0</v>
      </c>
      <c r="E20" s="2075">
        <f t="shared" si="0"/>
        <v>0</v>
      </c>
      <c r="F20" s="1968"/>
    </row>
    <row r="21" spans="1:6" ht="14.25" customHeight="1">
      <c r="A21" s="1808">
        <v>17</v>
      </c>
      <c r="B21" s="1809" t="s">
        <v>5467</v>
      </c>
      <c r="C21" s="2077"/>
      <c r="D21" s="2076"/>
      <c r="E21" s="2075">
        <f t="shared" si="0"/>
        <v>0</v>
      </c>
      <c r="F21" s="1968"/>
    </row>
    <row r="22" spans="1:6" ht="14.25" customHeight="1">
      <c r="A22" s="1808">
        <v>18</v>
      </c>
      <c r="B22" s="1809" t="s">
        <v>5468</v>
      </c>
      <c r="C22" s="2077"/>
      <c r="D22" s="2076"/>
      <c r="E22" s="2075">
        <f t="shared" si="0"/>
        <v>0</v>
      </c>
      <c r="F22" s="1968"/>
    </row>
    <row r="23" spans="1:6" ht="14.25" customHeight="1">
      <c r="A23" s="1808">
        <v>19</v>
      </c>
      <c r="B23" s="1809" t="s">
        <v>5469</v>
      </c>
      <c r="C23" s="2077"/>
      <c r="D23" s="2076"/>
      <c r="E23" s="2075">
        <f t="shared" si="0"/>
        <v>0</v>
      </c>
      <c r="F23" s="1968"/>
    </row>
    <row r="24" spans="1:6" ht="14.25" customHeight="1">
      <c r="A24" s="1808">
        <v>20</v>
      </c>
      <c r="B24" s="1809" t="s">
        <v>269</v>
      </c>
      <c r="C24" s="2077"/>
      <c r="D24" s="2076"/>
      <c r="E24" s="2075">
        <f t="shared" si="0"/>
        <v>0</v>
      </c>
      <c r="F24" s="1968"/>
    </row>
    <row r="25" spans="1:6" ht="14.25" customHeight="1">
      <c r="A25" s="1808">
        <v>21</v>
      </c>
      <c r="B25" s="1809" t="s">
        <v>5470</v>
      </c>
      <c r="C25" s="2075">
        <f>SUM(C26:C28)</f>
        <v>0</v>
      </c>
      <c r="D25" s="2075">
        <f>SUM(D26:D28)</f>
        <v>0</v>
      </c>
      <c r="E25" s="2075">
        <f t="shared" si="0"/>
        <v>0</v>
      </c>
      <c r="F25" s="1968"/>
    </row>
    <row r="26" spans="1:6" ht="14.25" customHeight="1">
      <c r="A26" s="1808">
        <v>22</v>
      </c>
      <c r="B26" s="1809" t="s">
        <v>5471</v>
      </c>
      <c r="C26" s="2077"/>
      <c r="D26" s="2076"/>
      <c r="E26" s="2075">
        <f t="shared" si="0"/>
        <v>0</v>
      </c>
      <c r="F26" s="1968"/>
    </row>
    <row r="27" spans="1:6" ht="14.25" customHeight="1">
      <c r="A27" s="1808">
        <v>23</v>
      </c>
      <c r="B27" s="1809" t="s">
        <v>5472</v>
      </c>
      <c r="C27" s="2077"/>
      <c r="D27" s="2076"/>
      <c r="E27" s="2075">
        <f t="shared" si="0"/>
        <v>0</v>
      </c>
      <c r="F27" s="1968"/>
    </row>
    <row r="28" spans="1:6" ht="14.25" customHeight="1">
      <c r="A28" s="1808">
        <v>24</v>
      </c>
      <c r="B28" s="1809" t="s">
        <v>5202</v>
      </c>
      <c r="C28" s="2086"/>
      <c r="D28" s="2086"/>
      <c r="E28" s="2078">
        <f t="shared" si="0"/>
        <v>0</v>
      </c>
      <c r="F28" s="1968"/>
    </row>
    <row r="29" spans="1:6" ht="14.25" customHeight="1">
      <c r="A29" s="1808">
        <v>25</v>
      </c>
      <c r="B29" s="1809" t="s">
        <v>5473</v>
      </c>
      <c r="C29" s="2075">
        <f>SUM(C30:C32)</f>
        <v>0</v>
      </c>
      <c r="D29" s="2075">
        <f>SUM(D30:D32)</f>
        <v>0</v>
      </c>
      <c r="E29" s="2075">
        <f t="shared" si="0"/>
        <v>0</v>
      </c>
      <c r="F29" s="1968"/>
    </row>
    <row r="30" spans="1:6" ht="14.25" customHeight="1">
      <c r="A30" s="1808">
        <v>26</v>
      </c>
      <c r="B30" s="1811" t="s">
        <v>5474</v>
      </c>
      <c r="C30" s="2086"/>
      <c r="D30" s="2077"/>
      <c r="E30" s="2075">
        <f t="shared" si="0"/>
        <v>0</v>
      </c>
      <c r="F30" s="1968"/>
    </row>
    <row r="31" spans="1:6" ht="14.25" customHeight="1">
      <c r="A31" s="1808">
        <v>27</v>
      </c>
      <c r="B31" s="1809" t="s">
        <v>5475</v>
      </c>
      <c r="C31" s="2077"/>
      <c r="D31" s="2077"/>
      <c r="E31" s="2075">
        <f t="shared" si="0"/>
        <v>0</v>
      </c>
      <c r="F31" s="1968"/>
    </row>
    <row r="32" spans="1:6" ht="14.25" customHeight="1">
      <c r="A32" s="1808">
        <v>28</v>
      </c>
      <c r="B32" s="1811" t="s">
        <v>5202</v>
      </c>
      <c r="C32" s="2086"/>
      <c r="D32" s="2086"/>
      <c r="E32" s="2078">
        <f t="shared" si="0"/>
        <v>0</v>
      </c>
      <c r="F32" s="1968"/>
    </row>
    <row r="33" spans="1:8" ht="14.25" customHeight="1">
      <c r="A33" s="1808">
        <v>29</v>
      </c>
      <c r="B33" s="1809" t="s">
        <v>5419</v>
      </c>
      <c r="C33" s="2077"/>
      <c r="D33" s="2077"/>
      <c r="E33" s="2075">
        <f t="shared" si="0"/>
        <v>0</v>
      </c>
      <c r="F33" s="1968"/>
    </row>
    <row r="34" spans="1:8" ht="168.75" customHeight="1">
      <c r="A34" s="1808">
        <v>30</v>
      </c>
      <c r="B34" s="1818" t="s">
        <v>5476</v>
      </c>
      <c r="C34" s="2075">
        <f>C5+C15+C20+C25+C29+C33</f>
        <v>0</v>
      </c>
      <c r="D34" s="2075">
        <f>D5+D15+D20+D25+D29+D33</f>
        <v>0</v>
      </c>
      <c r="E34" s="2075">
        <f>C34-D34</f>
        <v>0</v>
      </c>
      <c r="F34" s="1819" t="s">
        <v>5477</v>
      </c>
      <c r="H34" s="1581"/>
    </row>
    <row r="35" spans="1:8">
      <c r="A35" s="3465"/>
      <c r="B35" s="3465"/>
      <c r="C35" s="3465"/>
      <c r="D35" s="3465"/>
      <c r="E35" s="3465"/>
      <c r="F35" s="3465"/>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c r="B1" s="3400"/>
      <c r="C1" s="3400"/>
      <c r="D1" s="2172" t="str">
        <f>"索引号："&amp;档案索引!D6</f>
        <v>索引号：2B-1</v>
      </c>
    </row>
    <row r="2" spans="1:5" ht="25.5" customHeight="1">
      <c r="A2" s="3401" t="s">
        <v>5932</v>
      </c>
      <c r="B2" s="3401"/>
      <c r="C2" s="3401"/>
      <c r="D2" s="1834"/>
    </row>
    <row r="3" spans="1:5">
      <c r="A3" s="1835" t="s">
        <v>1853</v>
      </c>
      <c r="B3" s="1835" t="s">
        <v>1627</v>
      </c>
      <c r="C3" s="1835" t="s">
        <v>5014</v>
      </c>
      <c r="D3" s="1872" t="s">
        <v>5488</v>
      </c>
    </row>
    <row r="4" spans="1:5">
      <c r="A4" s="1835">
        <v>1</v>
      </c>
      <c r="B4" s="1836" t="s">
        <v>5489</v>
      </c>
      <c r="C4" s="2075">
        <f>C5+C6+C7+C8</f>
        <v>0</v>
      </c>
      <c r="D4" s="1974"/>
      <c r="E4" s="1575"/>
    </row>
    <row r="5" spans="1:5">
      <c r="A5" s="1835">
        <v>2</v>
      </c>
      <c r="B5" s="1836" t="s">
        <v>5490</v>
      </c>
      <c r="C5" s="2077"/>
      <c r="D5" s="1974"/>
      <c r="E5" s="1575"/>
    </row>
    <row r="6" spans="1:5" ht="24">
      <c r="A6" s="1837">
        <v>3</v>
      </c>
      <c r="B6" s="1838" t="s">
        <v>5491</v>
      </c>
      <c r="C6" s="2078">
        <f>A107011股息红利优惠明细表!Q15</f>
        <v>0</v>
      </c>
      <c r="D6" s="1976" t="s">
        <v>5492</v>
      </c>
    </row>
    <row r="7" spans="1:5">
      <c r="A7" s="1835">
        <v>4</v>
      </c>
      <c r="B7" s="1836" t="s">
        <v>5493</v>
      </c>
      <c r="C7" s="2077"/>
      <c r="D7" s="1977"/>
    </row>
    <row r="8" spans="1:5">
      <c r="A8" s="1835">
        <v>5</v>
      </c>
      <c r="B8" s="1836" t="s">
        <v>5494</v>
      </c>
      <c r="C8" s="2075">
        <f>SUM(C9:C17)</f>
        <v>0</v>
      </c>
      <c r="D8" s="1977"/>
    </row>
    <row r="9" spans="1:5">
      <c r="A9" s="1835">
        <v>6</v>
      </c>
      <c r="B9" s="1836" t="s">
        <v>5495</v>
      </c>
      <c r="C9" s="2087"/>
      <c r="D9" s="1977"/>
    </row>
    <row r="10" spans="1:5">
      <c r="A10" s="1835">
        <v>7</v>
      </c>
      <c r="B10" s="1836" t="s">
        <v>5496</v>
      </c>
      <c r="C10" s="2087"/>
      <c r="D10" s="1977"/>
    </row>
    <row r="11" spans="1:5">
      <c r="A11" s="1835">
        <v>8</v>
      </c>
      <c r="B11" s="1836" t="s">
        <v>5497</v>
      </c>
      <c r="C11" s="2087"/>
      <c r="D11" s="1977"/>
    </row>
    <row r="12" spans="1:5">
      <c r="A12" s="1835">
        <v>9</v>
      </c>
      <c r="B12" s="1836" t="s">
        <v>5498</v>
      </c>
      <c r="C12" s="2087"/>
      <c r="D12" s="1977"/>
      <c r="E12" s="1675" t="s">
        <v>6454</v>
      </c>
    </row>
    <row r="13" spans="1:5">
      <c r="A13" s="1835">
        <v>10</v>
      </c>
      <c r="B13" s="1836" t="s">
        <v>5499</v>
      </c>
      <c r="C13" s="2087"/>
      <c r="D13" s="1977"/>
    </row>
    <row r="14" spans="1:5">
      <c r="A14" s="1835">
        <v>11</v>
      </c>
      <c r="B14" s="1836" t="s">
        <v>5500</v>
      </c>
      <c r="C14" s="2087"/>
      <c r="D14" s="1977"/>
    </row>
    <row r="15" spans="1:5">
      <c r="A15" s="1835">
        <v>12</v>
      </c>
      <c r="B15" s="1836" t="s">
        <v>5501</v>
      </c>
      <c r="C15" s="2087"/>
      <c r="D15" s="1977"/>
    </row>
    <row r="16" spans="1:5">
      <c r="A16" s="1835">
        <v>13</v>
      </c>
      <c r="B16" s="1836" t="s">
        <v>5502</v>
      </c>
      <c r="C16" s="2087"/>
      <c r="D16" s="1977"/>
    </row>
    <row r="17" spans="1:4">
      <c r="A17" s="1835">
        <v>14</v>
      </c>
      <c r="B17" s="1836" t="s">
        <v>5503</v>
      </c>
      <c r="C17" s="2087"/>
      <c r="D17" s="1977"/>
    </row>
    <row r="18" spans="1:4">
      <c r="A18" s="1835">
        <v>15</v>
      </c>
      <c r="B18" s="1836" t="s">
        <v>5504</v>
      </c>
      <c r="C18" s="2075">
        <f>C19+C20</f>
        <v>0</v>
      </c>
      <c r="D18" s="1977"/>
    </row>
    <row r="19" spans="1:4" ht="27.75" customHeight="1">
      <c r="A19" s="1835">
        <v>16</v>
      </c>
      <c r="B19" s="1836" t="s">
        <v>5505</v>
      </c>
      <c r="C19" s="2075">
        <f>A107012综合利用资源生产产品取得的收入优惠明细表!K15</f>
        <v>0</v>
      </c>
      <c r="D19" s="1976" t="s">
        <v>5506</v>
      </c>
    </row>
    <row r="20" spans="1:4">
      <c r="A20" s="1835">
        <v>17</v>
      </c>
      <c r="B20" s="1836" t="s">
        <v>5507</v>
      </c>
      <c r="C20" s="2075">
        <f>C21+C22+C23</f>
        <v>0</v>
      </c>
      <c r="D20" s="1978"/>
    </row>
    <row r="21" spans="1:4" ht="24">
      <c r="A21" s="1835">
        <v>18</v>
      </c>
      <c r="B21" s="1836" t="s">
        <v>5508</v>
      </c>
      <c r="C21" s="2075">
        <f>A107013金融保险等机构取得涉农利息保费收入优惠明细表!C16</f>
        <v>0</v>
      </c>
      <c r="D21" s="1976" t="s">
        <v>5509</v>
      </c>
    </row>
    <row r="22" spans="1:4">
      <c r="A22" s="1835">
        <v>19</v>
      </c>
      <c r="B22" s="1836" t="s">
        <v>5510</v>
      </c>
      <c r="C22" s="2087"/>
      <c r="D22" s="1977"/>
    </row>
    <row r="23" spans="1:4">
      <c r="A23" s="1835">
        <v>20</v>
      </c>
      <c r="B23" s="1836" t="s">
        <v>5511</v>
      </c>
      <c r="C23" s="2077"/>
      <c r="D23" s="1977"/>
    </row>
    <row r="24" spans="1:4">
      <c r="A24" s="1835">
        <v>21</v>
      </c>
      <c r="B24" s="1836" t="s">
        <v>5512</v>
      </c>
      <c r="C24" s="2075">
        <f>C25+C26+C29</f>
        <v>0</v>
      </c>
      <c r="D24" s="1977"/>
    </row>
    <row r="25" spans="1:4" ht="36">
      <c r="A25" s="1837">
        <v>22</v>
      </c>
      <c r="B25" s="1838" t="s">
        <v>5513</v>
      </c>
      <c r="C25" s="2078">
        <f>A107014研发费用加计扣除优惠明细表!T15</f>
        <v>0</v>
      </c>
      <c r="D25" s="1976" t="s">
        <v>5514</v>
      </c>
    </row>
    <row r="26" spans="1:4" ht="24">
      <c r="A26" s="1835">
        <v>23</v>
      </c>
      <c r="B26" s="1839" t="s">
        <v>5515</v>
      </c>
      <c r="C26" s="2075">
        <f>C27+C28</f>
        <v>0</v>
      </c>
      <c r="D26" s="1977"/>
    </row>
    <row r="27" spans="1:4">
      <c r="A27" s="1835">
        <v>24</v>
      </c>
      <c r="B27" s="1836" t="s">
        <v>5516</v>
      </c>
      <c r="C27" s="2077"/>
      <c r="D27" s="1977"/>
    </row>
    <row r="28" spans="1:4">
      <c r="A28" s="1835">
        <v>25</v>
      </c>
      <c r="B28" s="1836" t="s">
        <v>5517</v>
      </c>
      <c r="C28" s="2077"/>
      <c r="D28" s="1977"/>
    </row>
    <row r="29" spans="1:4">
      <c r="A29" s="1835">
        <v>26</v>
      </c>
      <c r="B29" s="1836" t="s">
        <v>5518</v>
      </c>
      <c r="C29" s="2077"/>
      <c r="D29" s="1977"/>
    </row>
    <row r="30" spans="1:4" ht="24">
      <c r="A30" s="1835">
        <v>27</v>
      </c>
      <c r="B30" s="1836" t="s">
        <v>5519</v>
      </c>
      <c r="C30" s="2075">
        <f>C4+C18+C24</f>
        <v>0</v>
      </c>
      <c r="D30" s="1978" t="s">
        <v>5520</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5.6"/>
  <cols>
    <col min="1" max="1" width="4.19921875" style="1584" hidden="1" customWidth="1"/>
    <col min="2" max="2" width="16.5" style="1584" customWidth="1"/>
    <col min="3" max="3" width="5.09765625" style="1584" customWidth="1"/>
    <col min="4" max="4" width="9" style="1584" customWidth="1"/>
    <col min="5" max="5" width="5.3984375" style="1584" customWidth="1"/>
    <col min="6" max="6" width="9.5" style="1584" customWidth="1"/>
    <col min="7" max="11" width="9" style="1584" customWidth="1"/>
    <col min="12" max="12" width="6.3984375" style="1584" customWidth="1"/>
    <col min="13" max="14" width="9" style="1584" customWidth="1"/>
    <col min="15" max="15" width="9" style="1584"/>
    <col min="16" max="17" width="9"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68" t="str">
        <f>"索引号："&amp;档案索引!D7</f>
        <v>索引号：2B-2</v>
      </c>
      <c r="B1" s="3468"/>
      <c r="C1" s="3468"/>
      <c r="D1" s="3468"/>
      <c r="E1" s="3468"/>
      <c r="F1" s="3468"/>
      <c r="G1" s="3468"/>
      <c r="H1" s="3468"/>
      <c r="I1" s="3468"/>
      <c r="J1" s="3468"/>
      <c r="K1" s="3468"/>
      <c r="L1" s="3468"/>
      <c r="M1" s="3468"/>
      <c r="N1" s="3468"/>
      <c r="O1" s="3468"/>
      <c r="P1" s="3468"/>
      <c r="Q1" s="3468"/>
      <c r="R1" s="3469"/>
    </row>
    <row r="2" spans="1:19" ht="36.75" customHeight="1">
      <c r="A2" s="3401" t="s">
        <v>5933</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7688</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7689</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866"/>
      <c r="S5" s="1586"/>
    </row>
    <row r="6" spans="1:19" ht="14.25" customHeight="1">
      <c r="A6" s="1654">
        <v>1</v>
      </c>
      <c r="B6" s="1587"/>
      <c r="C6" s="2233"/>
      <c r="D6" s="2076"/>
      <c r="E6" s="2076"/>
      <c r="F6" s="2567"/>
      <c r="G6" s="2076"/>
      <c r="H6" s="2076"/>
      <c r="I6" s="2076"/>
      <c r="J6" s="2075">
        <f>MIN(H6,I6)</f>
        <v>0</v>
      </c>
      <c r="K6" s="2076"/>
      <c r="L6" s="2076"/>
      <c r="M6" s="2075">
        <f>ROUND(D6*L6,2)</f>
        <v>0</v>
      </c>
      <c r="N6" s="2075">
        <f>K6-M6</f>
        <v>0</v>
      </c>
      <c r="O6" s="2076"/>
      <c r="P6" s="2075">
        <f>MIN(N6,O6)</f>
        <v>0</v>
      </c>
      <c r="Q6" s="2075">
        <f>G6+J6+P6</f>
        <v>0</v>
      </c>
      <c r="R6" s="1979"/>
    </row>
    <row r="7" spans="1:19" ht="14.25" customHeight="1">
      <c r="A7" s="1654">
        <v>2</v>
      </c>
      <c r="B7" s="1587"/>
      <c r="C7" s="2233"/>
      <c r="D7" s="2076"/>
      <c r="E7" s="2076"/>
      <c r="F7" s="2567"/>
      <c r="G7" s="2076"/>
      <c r="H7" s="2076"/>
      <c r="I7" s="2076"/>
      <c r="J7" s="2075">
        <f t="shared" ref="J7:J14" si="0">MIN(H7,I7)</f>
        <v>0</v>
      </c>
      <c r="K7" s="2076"/>
      <c r="L7" s="2076"/>
      <c r="M7" s="2075">
        <f t="shared" ref="M7:M14" si="1">ROUND(D7*L7,2)</f>
        <v>0</v>
      </c>
      <c r="N7" s="2075">
        <f t="shared" ref="N7:N14" si="2">K7-M7</f>
        <v>0</v>
      </c>
      <c r="O7" s="2076"/>
      <c r="P7" s="2075">
        <f t="shared" ref="P7:P14" si="3">MIN(N7,O7)</f>
        <v>0</v>
      </c>
      <c r="Q7" s="2075">
        <f t="shared" ref="Q7:Q15" si="4">G7+J7+P7</f>
        <v>0</v>
      </c>
      <c r="R7" s="1979"/>
      <c r="S7" s="1770" t="s">
        <v>6456</v>
      </c>
    </row>
    <row r="8" spans="1:19" ht="14.25" customHeight="1">
      <c r="A8" s="1654">
        <v>3</v>
      </c>
      <c r="B8" s="1587"/>
      <c r="C8" s="2233"/>
      <c r="D8" s="2076"/>
      <c r="E8" s="2076"/>
      <c r="F8" s="2567"/>
      <c r="G8" s="2076"/>
      <c r="H8" s="2076"/>
      <c r="I8" s="2076"/>
      <c r="J8" s="2075">
        <f t="shared" si="0"/>
        <v>0</v>
      </c>
      <c r="K8" s="2076"/>
      <c r="L8" s="2076"/>
      <c r="M8" s="2075">
        <f t="shared" si="1"/>
        <v>0</v>
      </c>
      <c r="N8" s="2075">
        <f t="shared" si="2"/>
        <v>0</v>
      </c>
      <c r="O8" s="2076"/>
      <c r="P8" s="2075">
        <f t="shared" si="3"/>
        <v>0</v>
      </c>
      <c r="Q8" s="2075">
        <f t="shared" si="4"/>
        <v>0</v>
      </c>
      <c r="R8" s="1979"/>
    </row>
    <row r="9" spans="1:19" ht="14.25" customHeight="1">
      <c r="A9" s="1654">
        <v>4</v>
      </c>
      <c r="B9" s="1587"/>
      <c r="C9" s="2233"/>
      <c r="D9" s="2076"/>
      <c r="E9" s="2076"/>
      <c r="F9" s="2567"/>
      <c r="G9" s="2076"/>
      <c r="H9" s="2076"/>
      <c r="I9" s="2076"/>
      <c r="J9" s="2075">
        <f t="shared" si="0"/>
        <v>0</v>
      </c>
      <c r="K9" s="2076"/>
      <c r="L9" s="2076"/>
      <c r="M9" s="2075">
        <f t="shared" si="1"/>
        <v>0</v>
      </c>
      <c r="N9" s="2075">
        <f t="shared" si="2"/>
        <v>0</v>
      </c>
      <c r="O9" s="2076"/>
      <c r="P9" s="2075">
        <f t="shared" si="3"/>
        <v>0</v>
      </c>
      <c r="Q9" s="2075">
        <f t="shared" si="4"/>
        <v>0</v>
      </c>
      <c r="R9" s="1979"/>
    </row>
    <row r="10" spans="1:19" ht="14.25" customHeight="1">
      <c r="A10" s="1654">
        <v>5</v>
      </c>
      <c r="B10" s="1587"/>
      <c r="C10" s="2233"/>
      <c r="D10" s="2076"/>
      <c r="E10" s="2076"/>
      <c r="F10" s="2567"/>
      <c r="G10" s="2076"/>
      <c r="H10" s="2076"/>
      <c r="I10" s="2076"/>
      <c r="J10" s="2075">
        <f t="shared" si="0"/>
        <v>0</v>
      </c>
      <c r="K10" s="2076"/>
      <c r="L10" s="2076"/>
      <c r="M10" s="2075">
        <f t="shared" si="1"/>
        <v>0</v>
      </c>
      <c r="N10" s="2075">
        <f t="shared" si="2"/>
        <v>0</v>
      </c>
      <c r="O10" s="2076"/>
      <c r="P10" s="2075">
        <f t="shared" si="3"/>
        <v>0</v>
      </c>
      <c r="Q10" s="2075">
        <f t="shared" si="4"/>
        <v>0</v>
      </c>
      <c r="R10" s="1979"/>
    </row>
    <row r="11" spans="1:19" ht="14.25" customHeight="1">
      <c r="A11" s="1654">
        <v>6</v>
      </c>
      <c r="B11" s="1587"/>
      <c r="C11" s="2233"/>
      <c r="D11" s="2076"/>
      <c r="E11" s="2076"/>
      <c r="F11" s="2567"/>
      <c r="G11" s="2076"/>
      <c r="H11" s="2076"/>
      <c r="I11" s="2076"/>
      <c r="J11" s="2075">
        <f t="shared" si="0"/>
        <v>0</v>
      </c>
      <c r="K11" s="2076"/>
      <c r="L11" s="2076"/>
      <c r="M11" s="2075">
        <f t="shared" si="1"/>
        <v>0</v>
      </c>
      <c r="N11" s="2075">
        <f t="shared" si="2"/>
        <v>0</v>
      </c>
      <c r="O11" s="2076"/>
      <c r="P11" s="2075">
        <f t="shared" si="3"/>
        <v>0</v>
      </c>
      <c r="Q11" s="2075">
        <f t="shared" si="4"/>
        <v>0</v>
      </c>
      <c r="R11" s="1979"/>
    </row>
    <row r="12" spans="1:19" ht="14.25" customHeight="1">
      <c r="A12" s="1654">
        <v>7</v>
      </c>
      <c r="B12" s="1587"/>
      <c r="C12" s="2233"/>
      <c r="D12" s="2076"/>
      <c r="E12" s="2076"/>
      <c r="F12" s="2567"/>
      <c r="G12" s="2076"/>
      <c r="H12" s="2076"/>
      <c r="I12" s="2076"/>
      <c r="J12" s="2075">
        <f t="shared" si="0"/>
        <v>0</v>
      </c>
      <c r="K12" s="2076"/>
      <c r="L12" s="2076"/>
      <c r="M12" s="2075">
        <f t="shared" si="1"/>
        <v>0</v>
      </c>
      <c r="N12" s="2075">
        <f t="shared" si="2"/>
        <v>0</v>
      </c>
      <c r="O12" s="2076"/>
      <c r="P12" s="2075">
        <f t="shared" si="3"/>
        <v>0</v>
      </c>
      <c r="Q12" s="2075">
        <f t="shared" si="4"/>
        <v>0</v>
      </c>
      <c r="R12" s="1979"/>
    </row>
    <row r="13" spans="1:19" ht="14.25" customHeight="1">
      <c r="A13" s="1654">
        <v>8</v>
      </c>
      <c r="B13" s="1587"/>
      <c r="C13" s="2233"/>
      <c r="D13" s="2076"/>
      <c r="E13" s="2076"/>
      <c r="F13" s="2567"/>
      <c r="G13" s="2076"/>
      <c r="H13" s="2076"/>
      <c r="I13" s="2076"/>
      <c r="J13" s="2075">
        <f t="shared" si="0"/>
        <v>0</v>
      </c>
      <c r="K13" s="2076"/>
      <c r="L13" s="2076"/>
      <c r="M13" s="2075">
        <f t="shared" si="1"/>
        <v>0</v>
      </c>
      <c r="N13" s="2075">
        <f t="shared" si="2"/>
        <v>0</v>
      </c>
      <c r="O13" s="2076"/>
      <c r="P13" s="2075">
        <f t="shared" si="3"/>
        <v>0</v>
      </c>
      <c r="Q13" s="2075">
        <f t="shared" si="4"/>
        <v>0</v>
      </c>
      <c r="R13" s="1979"/>
    </row>
    <row r="14" spans="1:19" ht="14.25" customHeight="1">
      <c r="A14" s="1654">
        <v>9</v>
      </c>
      <c r="B14" s="1587"/>
      <c r="C14" s="2233"/>
      <c r="D14" s="2076"/>
      <c r="E14" s="2076"/>
      <c r="F14" s="2567"/>
      <c r="G14" s="2076"/>
      <c r="H14" s="2076"/>
      <c r="I14" s="2076"/>
      <c r="J14" s="2075">
        <f t="shared" si="0"/>
        <v>0</v>
      </c>
      <c r="K14" s="2076"/>
      <c r="L14" s="2076"/>
      <c r="M14" s="2075">
        <f t="shared" si="1"/>
        <v>0</v>
      </c>
      <c r="N14" s="2075">
        <f t="shared" si="2"/>
        <v>0</v>
      </c>
      <c r="O14" s="2076"/>
      <c r="P14" s="2075">
        <f t="shared" si="3"/>
        <v>0</v>
      </c>
      <c r="Q14" s="2075">
        <f t="shared" si="4"/>
        <v>0</v>
      </c>
      <c r="R14" s="1979"/>
    </row>
    <row r="15" spans="1:19" ht="89.25" customHeight="1">
      <c r="A15" s="1588" t="s">
        <v>5541</v>
      </c>
      <c r="B15" s="1864" t="s">
        <v>702</v>
      </c>
      <c r="C15" s="1872" t="s">
        <v>5542</v>
      </c>
      <c r="D15" s="1872" t="s">
        <v>5542</v>
      </c>
      <c r="E15" s="1872" t="s">
        <v>5542</v>
      </c>
      <c r="F15" s="1872" t="s">
        <v>5542</v>
      </c>
      <c r="G15" s="2075">
        <f>SUM(G6:G14)</f>
        <v>0</v>
      </c>
      <c r="H15" s="1872" t="s">
        <v>5542</v>
      </c>
      <c r="I15" s="1872" t="s">
        <v>5542</v>
      </c>
      <c r="J15" s="2075">
        <f>SUM(J6:J14)</f>
        <v>0</v>
      </c>
      <c r="K15" s="1872" t="s">
        <v>5542</v>
      </c>
      <c r="L15" s="1872" t="s">
        <v>5542</v>
      </c>
      <c r="M15" s="1872" t="s">
        <v>5542</v>
      </c>
      <c r="N15" s="1872" t="s">
        <v>5542</v>
      </c>
      <c r="O15" s="1872" t="s">
        <v>5542</v>
      </c>
      <c r="P15" s="2075">
        <f>SUM(P6:P14)</f>
        <v>0</v>
      </c>
      <c r="Q15" s="2075">
        <f t="shared" si="4"/>
        <v>0</v>
      </c>
      <c r="R15" s="1978" t="s">
        <v>5543</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5.6"/>
  <cols>
    <col min="1" max="1" width="3.19921875" style="1590" customWidth="1"/>
    <col min="2" max="2" width="13.59765625" style="1590" customWidth="1"/>
    <col min="3" max="5" width="11.59765625" style="1590" customWidth="1"/>
    <col min="6" max="6" width="10.69921875" style="1590" customWidth="1"/>
    <col min="7" max="7" width="14.09765625" style="1590" customWidth="1"/>
    <col min="8" max="8" width="7.19921875" style="1590" customWidth="1"/>
    <col min="9" max="9" width="12.8984375" style="1590" customWidth="1"/>
    <col min="10" max="10" width="10.8984375" style="1590" customWidth="1"/>
    <col min="11" max="11" width="10.5" style="1590" customWidth="1"/>
    <col min="12" max="12" width="11.19921875"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3" s="1583" customFormat="1" ht="20.100000000000001" customHeight="1">
      <c r="A1" s="2167"/>
      <c r="B1" s="2167"/>
      <c r="C1" s="2167"/>
      <c r="D1" s="2167"/>
      <c r="E1" s="2167"/>
      <c r="F1" s="2167"/>
      <c r="G1" s="2167"/>
      <c r="H1" s="2167"/>
      <c r="I1" s="2167"/>
      <c r="J1" s="2167"/>
      <c r="K1" s="2167"/>
      <c r="L1" s="2166" t="str">
        <f>"索引号："&amp;档案索引!D8</f>
        <v>索引号：2B-3</v>
      </c>
    </row>
    <row r="2" spans="1:13" s="1589" customFormat="1" ht="25.5" customHeight="1">
      <c r="A2" s="3401" t="s">
        <v>5934</v>
      </c>
      <c r="B2" s="3401"/>
      <c r="C2" s="3401"/>
      <c r="D2" s="3401"/>
      <c r="E2" s="3401"/>
      <c r="F2" s="3401"/>
      <c r="G2" s="3401"/>
      <c r="H2" s="3401"/>
      <c r="I2" s="3401"/>
      <c r="J2" s="3401"/>
      <c r="K2" s="3401"/>
      <c r="L2" s="1865"/>
    </row>
    <row r="3" spans="1:13" ht="29.25" customHeight="1">
      <c r="A3" s="3402" t="s">
        <v>6631</v>
      </c>
      <c r="B3" s="3405" t="s">
        <v>5546</v>
      </c>
      <c r="C3" s="3407" t="s">
        <v>5547</v>
      </c>
      <c r="D3" s="3407"/>
      <c r="E3" s="3407"/>
      <c r="F3" s="3407" t="s">
        <v>5548</v>
      </c>
      <c r="G3" s="3407" t="s">
        <v>5549</v>
      </c>
      <c r="H3" s="3407" t="s">
        <v>7692</v>
      </c>
      <c r="I3" s="3407" t="s">
        <v>5551</v>
      </c>
      <c r="J3" s="3407" t="s">
        <v>5552</v>
      </c>
      <c r="K3" s="3407" t="s">
        <v>5553</v>
      </c>
      <c r="L3" s="3407" t="s">
        <v>4899</v>
      </c>
    </row>
    <row r="4" spans="1:13" ht="42" customHeight="1">
      <c r="A4" s="3403"/>
      <c r="B4" s="3409"/>
      <c r="C4" s="1864" t="s">
        <v>5554</v>
      </c>
      <c r="D4" s="1864" t="s">
        <v>5555</v>
      </c>
      <c r="E4" s="1864" t="s">
        <v>5556</v>
      </c>
      <c r="F4" s="3407"/>
      <c r="G4" s="3407"/>
      <c r="H4" s="3407"/>
      <c r="I4" s="3407"/>
      <c r="J4" s="3407"/>
      <c r="K4" s="3407"/>
      <c r="L4" s="3407"/>
    </row>
    <row r="5" spans="1:13" ht="14.25" customHeight="1">
      <c r="A5" s="3404"/>
      <c r="B5" s="1835">
        <v>1</v>
      </c>
      <c r="C5" s="1835">
        <v>2</v>
      </c>
      <c r="D5" s="1835">
        <v>3</v>
      </c>
      <c r="E5" s="1835">
        <v>4</v>
      </c>
      <c r="F5" s="1835">
        <v>5</v>
      </c>
      <c r="G5" s="1835">
        <v>6</v>
      </c>
      <c r="H5" s="1835">
        <v>7</v>
      </c>
      <c r="I5" s="1835">
        <v>8</v>
      </c>
      <c r="J5" s="1835">
        <v>9</v>
      </c>
      <c r="K5" s="1835" t="s">
        <v>5557</v>
      </c>
      <c r="L5" s="1980"/>
    </row>
    <row r="6" spans="1:13" ht="14.25" customHeight="1">
      <c r="A6" s="1835">
        <v>1</v>
      </c>
      <c r="B6" s="1587"/>
      <c r="C6" s="1587"/>
      <c r="D6" s="1587"/>
      <c r="E6" s="1587"/>
      <c r="F6" s="1587"/>
      <c r="G6" s="1587"/>
      <c r="H6" s="1587"/>
      <c r="I6" s="1587"/>
      <c r="J6" s="2076"/>
      <c r="K6" s="2075">
        <f t="shared" ref="K6:K14" si="0">ROUND(J6*0.1,2)</f>
        <v>0</v>
      </c>
      <c r="L6" s="1980"/>
    </row>
    <row r="7" spans="1:13" ht="14.25" customHeight="1">
      <c r="A7" s="1835">
        <v>2</v>
      </c>
      <c r="B7" s="1587"/>
      <c r="C7" s="1587"/>
      <c r="D7" s="1587"/>
      <c r="E7" s="1587"/>
      <c r="F7" s="1587"/>
      <c r="G7" s="1587"/>
      <c r="H7" s="1587"/>
      <c r="I7" s="1587"/>
      <c r="J7" s="2076"/>
      <c r="K7" s="2075">
        <f t="shared" si="0"/>
        <v>0</v>
      </c>
      <c r="L7" s="1980"/>
    </row>
    <row r="8" spans="1:13" ht="14.25" customHeight="1">
      <c r="A8" s="1835">
        <v>3</v>
      </c>
      <c r="B8" s="1587"/>
      <c r="C8" s="1587"/>
      <c r="D8" s="1587"/>
      <c r="E8" s="1587"/>
      <c r="F8" s="1587"/>
      <c r="G8" s="1587"/>
      <c r="H8" s="1587"/>
      <c r="I8" s="1587"/>
      <c r="J8" s="2076"/>
      <c r="K8" s="2075">
        <f t="shared" si="0"/>
        <v>0</v>
      </c>
      <c r="L8" s="1980"/>
    </row>
    <row r="9" spans="1:13" ht="14.25" customHeight="1">
      <c r="A9" s="1835">
        <v>4</v>
      </c>
      <c r="B9" s="1587"/>
      <c r="C9" s="1587"/>
      <c r="D9" s="1587"/>
      <c r="E9" s="1587"/>
      <c r="F9" s="1587"/>
      <c r="G9" s="1587"/>
      <c r="H9" s="1587"/>
      <c r="I9" s="1591"/>
      <c r="J9" s="2076"/>
      <c r="K9" s="2075">
        <f t="shared" si="0"/>
        <v>0</v>
      </c>
      <c r="L9" s="1980"/>
      <c r="M9" s="1770" t="s">
        <v>6458</v>
      </c>
    </row>
    <row r="10" spans="1:13" ht="14.25" customHeight="1">
      <c r="A10" s="1835">
        <v>5</v>
      </c>
      <c r="B10" s="1587"/>
      <c r="C10" s="1587"/>
      <c r="D10" s="1587"/>
      <c r="E10" s="1587"/>
      <c r="F10" s="1587"/>
      <c r="G10" s="1587"/>
      <c r="H10" s="1587"/>
      <c r="I10" s="1587"/>
      <c r="J10" s="2076"/>
      <c r="K10" s="2075">
        <f t="shared" si="0"/>
        <v>0</v>
      </c>
      <c r="L10" s="1980"/>
    </row>
    <row r="11" spans="1:13" ht="14.25" customHeight="1">
      <c r="A11" s="1835">
        <v>6</v>
      </c>
      <c r="B11" s="1587"/>
      <c r="C11" s="1587"/>
      <c r="D11" s="1587"/>
      <c r="E11" s="1587"/>
      <c r="F11" s="1587"/>
      <c r="G11" s="1587"/>
      <c r="H11" s="1587"/>
      <c r="I11" s="1587"/>
      <c r="J11" s="2076"/>
      <c r="K11" s="2075">
        <f t="shared" si="0"/>
        <v>0</v>
      </c>
      <c r="L11" s="1980"/>
    </row>
    <row r="12" spans="1:13" ht="14.25" customHeight="1">
      <c r="A12" s="1835">
        <v>7</v>
      </c>
      <c r="B12" s="1587"/>
      <c r="C12" s="1587"/>
      <c r="D12" s="1587"/>
      <c r="E12" s="1587"/>
      <c r="F12" s="1587"/>
      <c r="G12" s="1587"/>
      <c r="H12" s="1587"/>
      <c r="I12" s="1587"/>
      <c r="J12" s="2076"/>
      <c r="K12" s="2075">
        <f t="shared" si="0"/>
        <v>0</v>
      </c>
      <c r="L12" s="1980"/>
    </row>
    <row r="13" spans="1:13" ht="14.25" customHeight="1">
      <c r="A13" s="1835">
        <v>8</v>
      </c>
      <c r="B13" s="1587"/>
      <c r="C13" s="1587"/>
      <c r="D13" s="1587"/>
      <c r="E13" s="1587"/>
      <c r="F13" s="1587"/>
      <c r="G13" s="1587"/>
      <c r="H13" s="1587"/>
      <c r="I13" s="1587"/>
      <c r="J13" s="2076"/>
      <c r="K13" s="2075">
        <f t="shared" si="0"/>
        <v>0</v>
      </c>
      <c r="L13" s="1980"/>
    </row>
    <row r="14" spans="1:13" ht="14.25" customHeight="1">
      <c r="A14" s="1835">
        <v>9</v>
      </c>
      <c r="B14" s="1587"/>
      <c r="C14" s="1587"/>
      <c r="D14" s="1587"/>
      <c r="E14" s="1587"/>
      <c r="F14" s="1587"/>
      <c r="G14" s="1587"/>
      <c r="H14" s="1587"/>
      <c r="I14" s="1587"/>
      <c r="J14" s="2076"/>
      <c r="K14" s="2075">
        <f t="shared" si="0"/>
        <v>0</v>
      </c>
      <c r="L14" s="1980"/>
    </row>
    <row r="15" spans="1:13" ht="47.25" customHeight="1">
      <c r="A15" s="1868">
        <v>10</v>
      </c>
      <c r="B15" s="1835" t="s">
        <v>5558</v>
      </c>
      <c r="C15" s="1872" t="s">
        <v>1866</v>
      </c>
      <c r="D15" s="1872" t="s">
        <v>1866</v>
      </c>
      <c r="E15" s="1872" t="s">
        <v>1866</v>
      </c>
      <c r="F15" s="1872" t="s">
        <v>1866</v>
      </c>
      <c r="G15" s="1872" t="s">
        <v>1866</v>
      </c>
      <c r="H15" s="1872" t="s">
        <v>1866</v>
      </c>
      <c r="I15" s="1872" t="s">
        <v>1866</v>
      </c>
      <c r="J15" s="2075">
        <f>SUM(J6:J14)</f>
        <v>0</v>
      </c>
      <c r="K15" s="2075">
        <f>SUM(K6:K14)</f>
        <v>0</v>
      </c>
      <c r="L15" s="1839" t="s">
        <v>5560</v>
      </c>
    </row>
    <row r="16" spans="1:13">
      <c r="A16" s="3473"/>
      <c r="B16" s="3473"/>
      <c r="C16" s="3473"/>
      <c r="D16" s="3473"/>
      <c r="E16" s="3473"/>
      <c r="F16" s="3473"/>
      <c r="G16" s="3473"/>
      <c r="H16" s="3473"/>
      <c r="I16" s="3473"/>
      <c r="J16" s="3473"/>
      <c r="K16" s="3473"/>
      <c r="L16" s="2020" t="s">
        <v>5559</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c r="B1" s="3400"/>
      <c r="C1" s="3400"/>
      <c r="D1" s="2166" t="str">
        <f>"索引号："&amp;档案索引!D9</f>
        <v>索引号：2B-4</v>
      </c>
    </row>
    <row r="2" spans="1:8" s="1655" customFormat="1" ht="25.5" customHeight="1">
      <c r="A2" s="3401" t="s">
        <v>5935</v>
      </c>
      <c r="B2" s="3401"/>
      <c r="C2" s="3401"/>
      <c r="D2" s="1870"/>
    </row>
    <row r="3" spans="1:8" s="1595" customFormat="1" ht="14.25" customHeight="1">
      <c r="A3" s="1837" t="s">
        <v>1853</v>
      </c>
      <c r="B3" s="1837" t="s">
        <v>1627</v>
      </c>
      <c r="C3" s="1835" t="s">
        <v>5563</v>
      </c>
      <c r="D3" s="1872" t="s">
        <v>4899</v>
      </c>
      <c r="H3" s="1596"/>
    </row>
    <row r="4" spans="1:8" s="1595" customFormat="1" ht="14.25" customHeight="1">
      <c r="A4" s="1835">
        <v>1</v>
      </c>
      <c r="B4" s="1871" t="s">
        <v>5564</v>
      </c>
      <c r="C4" s="1872" t="s">
        <v>1859</v>
      </c>
      <c r="D4" s="1871"/>
    </row>
    <row r="5" spans="1:8" s="1595" customFormat="1" ht="14.25" customHeight="1">
      <c r="A5" s="1835">
        <v>2</v>
      </c>
      <c r="B5" s="1871" t="s">
        <v>5565</v>
      </c>
      <c r="C5" s="2077"/>
      <c r="D5" s="1871"/>
    </row>
    <row r="6" spans="1:8" s="1595" customFormat="1" ht="14.25" customHeight="1">
      <c r="A6" s="1835">
        <v>3</v>
      </c>
      <c r="B6" s="1839" t="s">
        <v>5566</v>
      </c>
      <c r="C6" s="2075">
        <f>ROUND(C5*0.1,2)</f>
        <v>0</v>
      </c>
      <c r="D6" s="1871"/>
    </row>
    <row r="7" spans="1:8" s="1595" customFormat="1" ht="14.25" customHeight="1">
      <c r="A7" s="1835">
        <v>4</v>
      </c>
      <c r="B7" s="1839" t="s">
        <v>5567</v>
      </c>
      <c r="C7" s="1872" t="s">
        <v>1859</v>
      </c>
      <c r="D7" s="1871"/>
    </row>
    <row r="8" spans="1:8" s="1595" customFormat="1" ht="15.75" customHeight="1">
      <c r="A8" s="1837">
        <v>5</v>
      </c>
      <c r="B8" s="1838" t="s">
        <v>5568</v>
      </c>
      <c r="C8" s="2078">
        <f>C9+C10-C11</f>
        <v>0</v>
      </c>
      <c r="D8" s="1981"/>
    </row>
    <row r="9" spans="1:8" s="1595" customFormat="1" ht="14.25" customHeight="1">
      <c r="A9" s="1835">
        <v>6</v>
      </c>
      <c r="B9" s="1839" t="s">
        <v>5569</v>
      </c>
      <c r="C9" s="2077"/>
      <c r="D9" s="1871"/>
    </row>
    <row r="10" spans="1:8" s="1595" customFormat="1" ht="14.25" customHeight="1">
      <c r="A10" s="1835">
        <v>7</v>
      </c>
      <c r="B10" s="1871" t="s">
        <v>5570</v>
      </c>
      <c r="C10" s="2077"/>
      <c r="D10" s="1871"/>
      <c r="E10" s="1675" t="s">
        <v>6460</v>
      </c>
    </row>
    <row r="11" spans="1:8" s="1595" customFormat="1" ht="14.25" customHeight="1">
      <c r="A11" s="1835">
        <v>8</v>
      </c>
      <c r="B11" s="1871" t="s">
        <v>5571</v>
      </c>
      <c r="C11" s="2077"/>
      <c r="D11" s="1871"/>
    </row>
    <row r="12" spans="1:8" s="1595" customFormat="1" ht="15.75" customHeight="1">
      <c r="A12" s="1837">
        <v>9</v>
      </c>
      <c r="B12" s="1838" t="s">
        <v>5572</v>
      </c>
      <c r="C12" s="2078">
        <f>ROUND(C8*0.1,2)</f>
        <v>0</v>
      </c>
      <c r="D12" s="1871"/>
    </row>
    <row r="13" spans="1:8" s="1595" customFormat="1" ht="14.25" customHeight="1">
      <c r="A13" s="1835">
        <v>10</v>
      </c>
      <c r="B13" s="1871" t="s">
        <v>5573</v>
      </c>
      <c r="C13" s="1872" t="s">
        <v>1859</v>
      </c>
      <c r="D13" s="1871"/>
    </row>
    <row r="14" spans="1:8" s="1595" customFormat="1" ht="14.25" customHeight="1">
      <c r="A14" s="1835">
        <v>11</v>
      </c>
      <c r="B14" s="1871" t="s">
        <v>5574</v>
      </c>
      <c r="C14" s="2077"/>
      <c r="D14" s="1871"/>
    </row>
    <row r="15" spans="1:8" s="1595" customFormat="1" ht="14.25" customHeight="1">
      <c r="A15" s="1835">
        <v>12</v>
      </c>
      <c r="B15" s="1839" t="s">
        <v>5575</v>
      </c>
      <c r="C15" s="2075">
        <f>ROUND(C14*0.1,2)</f>
        <v>0</v>
      </c>
      <c r="D15" s="1871"/>
    </row>
    <row r="16" spans="1:8" s="1595" customFormat="1" ht="14.25" customHeight="1">
      <c r="A16" s="1835">
        <v>13</v>
      </c>
      <c r="B16" s="1871" t="s">
        <v>5576</v>
      </c>
      <c r="C16" s="2075">
        <f>C6+C12+C15</f>
        <v>0</v>
      </c>
      <c r="D16" s="1871" t="s">
        <v>5577</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5.6"/>
  <cols>
    <col min="1" max="1" width="5.69921875" style="1598" customWidth="1"/>
    <col min="2" max="2" width="19.59765625" style="1598" customWidth="1"/>
    <col min="3" max="20" width="10.1992187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5" t="str">
        <f>"索引号："&amp;档案索引!D10</f>
        <v>索引号：2B-5</v>
      </c>
    </row>
    <row r="2" spans="1:24" s="1599" customFormat="1" ht="25.5" customHeight="1">
      <c r="A2" s="3401" t="s">
        <v>5936</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867"/>
    </row>
    <row r="6" spans="1:24" s="1517" customFormat="1" ht="14.25" customHeight="1">
      <c r="A6" s="1835">
        <v>1</v>
      </c>
      <c r="B6" s="1571"/>
      <c r="C6" s="2076"/>
      <c r="D6" s="2076"/>
      <c r="E6" s="2076"/>
      <c r="F6" s="2076"/>
      <c r="G6" s="2076"/>
      <c r="H6" s="2076"/>
      <c r="I6" s="2076"/>
      <c r="J6" s="2076"/>
      <c r="K6" s="2075">
        <f>SUM(C6:J6)</f>
        <v>0</v>
      </c>
      <c r="L6" s="2076"/>
      <c r="M6" s="2075">
        <f>K6-L6</f>
        <v>0</v>
      </c>
      <c r="N6" s="2076"/>
      <c r="O6" s="2075">
        <f>ROUND(N6*0.5,2)</f>
        <v>0</v>
      </c>
      <c r="P6" s="2076"/>
      <c r="Q6" s="2076"/>
      <c r="R6" s="2076"/>
      <c r="S6" s="2075">
        <f>Q6+R6</f>
        <v>0</v>
      </c>
      <c r="T6" s="2075">
        <f>O6+S6</f>
        <v>0</v>
      </c>
      <c r="U6" s="1829"/>
    </row>
    <row r="7" spans="1:24" s="1517" customFormat="1" ht="14.25" customHeight="1">
      <c r="A7" s="1835">
        <v>2</v>
      </c>
      <c r="B7" s="1601"/>
      <c r="C7" s="2076"/>
      <c r="D7" s="2076"/>
      <c r="E7" s="2076"/>
      <c r="F7" s="2076"/>
      <c r="G7" s="2076"/>
      <c r="H7" s="2076"/>
      <c r="I7" s="2076"/>
      <c r="J7" s="2076"/>
      <c r="K7" s="2075">
        <f t="shared" ref="K7:K14" si="0">SUM(C7:J7)</f>
        <v>0</v>
      </c>
      <c r="L7" s="2076"/>
      <c r="M7" s="2075">
        <f t="shared" ref="M7:M14" si="1">K7-L7</f>
        <v>0</v>
      </c>
      <c r="N7" s="2076"/>
      <c r="O7" s="2075">
        <f t="shared" ref="O7:O14" si="2">ROUND(N7*0.5,2)</f>
        <v>0</v>
      </c>
      <c r="P7" s="2076"/>
      <c r="Q7" s="2076"/>
      <c r="R7" s="2076"/>
      <c r="S7" s="2075">
        <f t="shared" ref="S7:S14" si="3">Q7+R7</f>
        <v>0</v>
      </c>
      <c r="T7" s="2075">
        <f t="shared" ref="T7:T14" si="4">O7+S7</f>
        <v>0</v>
      </c>
      <c r="U7" s="1829"/>
    </row>
    <row r="8" spans="1:24" s="1517" customFormat="1" ht="14.25" customHeight="1">
      <c r="A8" s="1835">
        <v>3</v>
      </c>
      <c r="B8" s="1602"/>
      <c r="C8" s="2076"/>
      <c r="D8" s="2076"/>
      <c r="E8" s="2076"/>
      <c r="F8" s="2076"/>
      <c r="G8" s="2076"/>
      <c r="H8" s="2076"/>
      <c r="I8" s="2076"/>
      <c r="J8" s="2076"/>
      <c r="K8" s="2075">
        <f t="shared" si="0"/>
        <v>0</v>
      </c>
      <c r="L8" s="2076"/>
      <c r="M8" s="2075">
        <f t="shared" si="1"/>
        <v>0</v>
      </c>
      <c r="N8" s="2076"/>
      <c r="O8" s="2075">
        <f t="shared" si="2"/>
        <v>0</v>
      </c>
      <c r="P8" s="2076"/>
      <c r="Q8" s="2076"/>
      <c r="R8" s="2076"/>
      <c r="S8" s="2075">
        <f t="shared" si="3"/>
        <v>0</v>
      </c>
      <c r="T8" s="2075">
        <f t="shared" si="4"/>
        <v>0</v>
      </c>
      <c r="U8" s="1829"/>
    </row>
    <row r="9" spans="1:24" s="1517" customFormat="1" ht="14.25" customHeight="1">
      <c r="A9" s="1835">
        <v>4</v>
      </c>
      <c r="B9" s="1601"/>
      <c r="C9" s="2076"/>
      <c r="D9" s="2076"/>
      <c r="E9" s="2076"/>
      <c r="F9" s="2076"/>
      <c r="G9" s="2076"/>
      <c r="H9" s="2076"/>
      <c r="I9" s="2076"/>
      <c r="J9" s="2076"/>
      <c r="K9" s="2075">
        <f t="shared" si="0"/>
        <v>0</v>
      </c>
      <c r="L9" s="2076"/>
      <c r="M9" s="2075">
        <f t="shared" si="1"/>
        <v>0</v>
      </c>
      <c r="N9" s="2076"/>
      <c r="O9" s="2075">
        <f t="shared" si="2"/>
        <v>0</v>
      </c>
      <c r="P9" s="2076"/>
      <c r="Q9" s="2076"/>
      <c r="R9" s="2076"/>
      <c r="S9" s="2075">
        <f t="shared" si="3"/>
        <v>0</v>
      </c>
      <c r="T9" s="2075">
        <f t="shared" si="4"/>
        <v>0</v>
      </c>
      <c r="U9" s="1829"/>
      <c r="V9" s="1770" t="s">
        <v>6462</v>
      </c>
    </row>
    <row r="10" spans="1:24" s="1517" customFormat="1" ht="14.25" customHeight="1">
      <c r="A10" s="1835">
        <v>5</v>
      </c>
      <c r="B10" s="1601"/>
      <c r="C10" s="2076"/>
      <c r="D10" s="2076"/>
      <c r="E10" s="2076"/>
      <c r="F10" s="2076"/>
      <c r="G10" s="2076"/>
      <c r="H10" s="2076"/>
      <c r="I10" s="2076"/>
      <c r="J10" s="2076"/>
      <c r="K10" s="2075">
        <f t="shared" si="0"/>
        <v>0</v>
      </c>
      <c r="L10" s="2076"/>
      <c r="M10" s="2075">
        <f t="shared" si="1"/>
        <v>0</v>
      </c>
      <c r="N10" s="2076"/>
      <c r="O10" s="2075">
        <f t="shared" si="2"/>
        <v>0</v>
      </c>
      <c r="P10" s="2076"/>
      <c r="Q10" s="2076"/>
      <c r="R10" s="2076"/>
      <c r="S10" s="2075">
        <f t="shared" si="3"/>
        <v>0</v>
      </c>
      <c r="T10" s="2075">
        <f t="shared" si="4"/>
        <v>0</v>
      </c>
      <c r="U10" s="1829"/>
    </row>
    <row r="11" spans="1:24" s="1517" customFormat="1" ht="14.25" customHeight="1">
      <c r="A11" s="1835">
        <v>6</v>
      </c>
      <c r="B11" s="1592"/>
      <c r="C11" s="2076"/>
      <c r="D11" s="2076"/>
      <c r="E11" s="2076"/>
      <c r="F11" s="2076"/>
      <c r="G11" s="2076"/>
      <c r="H11" s="2076"/>
      <c r="I11" s="2076"/>
      <c r="J11" s="2076"/>
      <c r="K11" s="2075">
        <f t="shared" si="0"/>
        <v>0</v>
      </c>
      <c r="L11" s="2076"/>
      <c r="M11" s="2075">
        <f t="shared" si="1"/>
        <v>0</v>
      </c>
      <c r="N11" s="2076"/>
      <c r="O11" s="2075">
        <f t="shared" si="2"/>
        <v>0</v>
      </c>
      <c r="P11" s="2076"/>
      <c r="Q11" s="2076"/>
      <c r="R11" s="2076"/>
      <c r="S11" s="2075">
        <f t="shared" si="3"/>
        <v>0</v>
      </c>
      <c r="T11" s="2075">
        <f t="shared" si="4"/>
        <v>0</v>
      </c>
      <c r="U11" s="1829"/>
    </row>
    <row r="12" spans="1:24">
      <c r="A12" s="1835">
        <v>7</v>
      </c>
      <c r="B12" s="1571"/>
      <c r="C12" s="2076"/>
      <c r="D12" s="2076"/>
      <c r="E12" s="2076"/>
      <c r="F12" s="2076"/>
      <c r="G12" s="2076"/>
      <c r="H12" s="2076"/>
      <c r="I12" s="2076"/>
      <c r="J12" s="2076"/>
      <c r="K12" s="2075">
        <f t="shared" si="0"/>
        <v>0</v>
      </c>
      <c r="L12" s="2076"/>
      <c r="M12" s="2075">
        <f t="shared" si="1"/>
        <v>0</v>
      </c>
      <c r="N12" s="2076"/>
      <c r="O12" s="2075">
        <f t="shared" si="2"/>
        <v>0</v>
      </c>
      <c r="P12" s="2076"/>
      <c r="Q12" s="2076"/>
      <c r="R12" s="2076"/>
      <c r="S12" s="2075">
        <f t="shared" si="3"/>
        <v>0</v>
      </c>
      <c r="T12" s="2075">
        <f t="shared" si="4"/>
        <v>0</v>
      </c>
      <c r="U12" s="1941"/>
    </row>
    <row r="13" spans="1:24">
      <c r="A13" s="1835">
        <v>8</v>
      </c>
      <c r="B13" s="1571"/>
      <c r="C13" s="2076"/>
      <c r="D13" s="2076"/>
      <c r="E13" s="2076"/>
      <c r="F13" s="2076"/>
      <c r="G13" s="2076"/>
      <c r="H13" s="2076"/>
      <c r="I13" s="2076"/>
      <c r="J13" s="2076"/>
      <c r="K13" s="2075">
        <f t="shared" si="0"/>
        <v>0</v>
      </c>
      <c r="L13" s="2076"/>
      <c r="M13" s="2075">
        <f t="shared" si="1"/>
        <v>0</v>
      </c>
      <c r="N13" s="2076"/>
      <c r="O13" s="2075">
        <f t="shared" si="2"/>
        <v>0</v>
      </c>
      <c r="P13" s="2076"/>
      <c r="Q13" s="2076"/>
      <c r="R13" s="2076"/>
      <c r="S13" s="2075">
        <f t="shared" si="3"/>
        <v>0</v>
      </c>
      <c r="T13" s="2075">
        <f t="shared" si="4"/>
        <v>0</v>
      </c>
      <c r="U13" s="1941"/>
    </row>
    <row r="14" spans="1:24">
      <c r="A14" s="1835">
        <v>9</v>
      </c>
      <c r="B14" s="1571"/>
      <c r="C14" s="2076"/>
      <c r="D14" s="2076"/>
      <c r="E14" s="2076"/>
      <c r="F14" s="2076"/>
      <c r="G14" s="2076"/>
      <c r="H14" s="2076"/>
      <c r="I14" s="2076"/>
      <c r="J14" s="2076"/>
      <c r="K14" s="2075">
        <f t="shared" si="0"/>
        <v>0</v>
      </c>
      <c r="L14" s="2076"/>
      <c r="M14" s="2075">
        <f t="shared" si="1"/>
        <v>0</v>
      </c>
      <c r="N14" s="2076"/>
      <c r="O14" s="2075">
        <f t="shared" si="2"/>
        <v>0</v>
      </c>
      <c r="P14" s="2076"/>
      <c r="Q14" s="2076"/>
      <c r="R14" s="2076"/>
      <c r="S14" s="2075">
        <f t="shared" si="3"/>
        <v>0</v>
      </c>
      <c r="T14" s="2075">
        <f t="shared" si="4"/>
        <v>0</v>
      </c>
      <c r="U14" s="1941"/>
    </row>
    <row r="15" spans="1:24" ht="58.5" customHeight="1">
      <c r="A15" s="1874" t="s">
        <v>5541</v>
      </c>
      <c r="B15" s="1846" t="s">
        <v>2429</v>
      </c>
      <c r="C15" s="2075">
        <f>SUM(C6:C14)</f>
        <v>0</v>
      </c>
      <c r="D15" s="2075">
        <f t="shared" ref="D15:R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2075">
        <f t="shared" si="5"/>
        <v>0</v>
      </c>
      <c r="O15" s="2075">
        <v>0</v>
      </c>
      <c r="P15" s="2075">
        <f t="shared" si="5"/>
        <v>0</v>
      </c>
      <c r="Q15" s="2075">
        <f t="shared" si="5"/>
        <v>0</v>
      </c>
      <c r="R15" s="2075">
        <f t="shared" si="5"/>
        <v>0</v>
      </c>
      <c r="S15" s="2075">
        <v>0</v>
      </c>
      <c r="T15" s="2075">
        <f>研发加计扣除归集审核表!D79</f>
        <v>0</v>
      </c>
      <c r="U15" s="1978" t="s">
        <v>5608</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984375" defaultRowHeight="24" customHeight="1"/>
  <cols>
    <col min="1" max="1" width="5.19921875" style="1605" customWidth="1"/>
    <col min="2" max="2" width="41.59765625" style="1606" customWidth="1"/>
    <col min="3" max="8" width="12.3984375" style="1607" customWidth="1"/>
    <col min="9" max="9" width="12.3984375" style="1605" customWidth="1"/>
    <col min="10" max="10" width="11.8984375"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2167"/>
      <c r="B1" s="2167"/>
      <c r="C1" s="2167"/>
      <c r="D1" s="2167"/>
      <c r="E1" s="2167"/>
      <c r="F1" s="2167"/>
      <c r="G1" s="2167"/>
      <c r="H1" s="2167"/>
      <c r="I1" s="2167"/>
      <c r="J1" s="2166" t="str">
        <f>"索引号："&amp;档案索引!D11</f>
        <v>索引号：2B-6</v>
      </c>
    </row>
    <row r="2" spans="1:12" s="1589" customFormat="1" ht="25.5" customHeight="1">
      <c r="A2" s="3401" t="s">
        <v>5937</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7"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5">
        <f>C6+C17</f>
        <v>0</v>
      </c>
      <c r="D5" s="2075">
        <f t="shared" ref="D5:I5" si="0">D6+D17</f>
        <v>0</v>
      </c>
      <c r="E5" s="2075">
        <f t="shared" si="0"/>
        <v>0</v>
      </c>
      <c r="F5" s="2075">
        <f t="shared" si="0"/>
        <v>0</v>
      </c>
      <c r="G5" s="2075">
        <f t="shared" si="0"/>
        <v>0</v>
      </c>
      <c r="H5" s="2075">
        <f t="shared" si="0"/>
        <v>0</v>
      </c>
      <c r="I5" s="2075">
        <f t="shared" si="0"/>
        <v>0</v>
      </c>
      <c r="J5" s="1836"/>
    </row>
    <row r="6" spans="1:12" s="1603" customFormat="1" ht="12.75" customHeight="1">
      <c r="A6" s="1835">
        <v>2</v>
      </c>
      <c r="B6" s="1839" t="s">
        <v>5619</v>
      </c>
      <c r="C6" s="2075">
        <f>SUM(C7:C13,C15:C16)</f>
        <v>0</v>
      </c>
      <c r="D6" s="2075">
        <f t="shared" ref="D6:I6" si="1">SUM(D7:D13,D15:D16)</f>
        <v>0</v>
      </c>
      <c r="E6" s="2075">
        <f t="shared" si="1"/>
        <v>0</v>
      </c>
      <c r="F6" s="2075">
        <f t="shared" si="1"/>
        <v>0</v>
      </c>
      <c r="G6" s="2075">
        <f t="shared" si="1"/>
        <v>0</v>
      </c>
      <c r="H6" s="2075">
        <f t="shared" si="1"/>
        <v>0</v>
      </c>
      <c r="I6" s="2075">
        <f t="shared" si="1"/>
        <v>0</v>
      </c>
      <c r="J6" s="1836"/>
    </row>
    <row r="7" spans="1:12" s="1603" customFormat="1" ht="26.25" customHeight="1">
      <c r="A7" s="1837">
        <v>3</v>
      </c>
      <c r="B7" s="1838" t="s">
        <v>5620</v>
      </c>
      <c r="C7" s="2082"/>
      <c r="D7" s="2082"/>
      <c r="E7" s="2082"/>
      <c r="F7" s="2082"/>
      <c r="G7" s="2082"/>
      <c r="H7" s="2078">
        <f>C7-D7-E7-F7+G7</f>
        <v>0</v>
      </c>
      <c r="I7" s="2082"/>
      <c r="J7" s="1981"/>
    </row>
    <row r="8" spans="1:12" s="1603" customFormat="1" ht="12.75" customHeight="1">
      <c r="A8" s="1835">
        <v>4</v>
      </c>
      <c r="B8" s="1839" t="s">
        <v>5621</v>
      </c>
      <c r="C8" s="2076"/>
      <c r="D8" s="2076"/>
      <c r="E8" s="2076"/>
      <c r="F8" s="2076"/>
      <c r="G8" s="2076"/>
      <c r="H8" s="2075">
        <f t="shared" ref="H8:H36" si="2">C8-D8-E8-F8+G8</f>
        <v>0</v>
      </c>
      <c r="I8" s="2076"/>
      <c r="J8" s="1836"/>
    </row>
    <row r="9" spans="1:12" s="1603" customFormat="1" ht="12.75" customHeight="1">
      <c r="A9" s="1835">
        <v>5</v>
      </c>
      <c r="B9" s="1839" t="s">
        <v>5622</v>
      </c>
      <c r="C9" s="2076"/>
      <c r="D9" s="2076"/>
      <c r="E9" s="2076"/>
      <c r="F9" s="2076"/>
      <c r="G9" s="2076"/>
      <c r="H9" s="2075">
        <f t="shared" si="2"/>
        <v>0</v>
      </c>
      <c r="I9" s="2076"/>
      <c r="J9" s="1836"/>
    </row>
    <row r="10" spans="1:12" s="1603" customFormat="1" ht="12.75" customHeight="1">
      <c r="A10" s="1835">
        <v>6</v>
      </c>
      <c r="B10" s="1839" t="s">
        <v>5623</v>
      </c>
      <c r="C10" s="2076"/>
      <c r="D10" s="2076"/>
      <c r="E10" s="2076"/>
      <c r="F10" s="2076"/>
      <c r="G10" s="2076"/>
      <c r="H10" s="2075">
        <f t="shared" si="2"/>
        <v>0</v>
      </c>
      <c r="I10" s="2076"/>
      <c r="J10" s="1836"/>
    </row>
    <row r="11" spans="1:12" s="1603" customFormat="1" ht="12.75" customHeight="1">
      <c r="A11" s="1835">
        <v>7</v>
      </c>
      <c r="B11" s="1839" t="s">
        <v>5624</v>
      </c>
      <c r="C11" s="2076"/>
      <c r="D11" s="2076"/>
      <c r="E11" s="2076"/>
      <c r="F11" s="2076"/>
      <c r="G11" s="2076"/>
      <c r="H11" s="2075">
        <f t="shared" si="2"/>
        <v>0</v>
      </c>
      <c r="I11" s="2076"/>
      <c r="J11" s="1836"/>
    </row>
    <row r="12" spans="1:12" s="1603" customFormat="1" ht="12.75" customHeight="1">
      <c r="A12" s="1835">
        <v>8</v>
      </c>
      <c r="B12" s="1839" t="s">
        <v>5625</v>
      </c>
      <c r="C12" s="2076"/>
      <c r="D12" s="2076"/>
      <c r="E12" s="2076"/>
      <c r="F12" s="2076"/>
      <c r="G12" s="2076"/>
      <c r="H12" s="2075">
        <f t="shared" si="2"/>
        <v>0</v>
      </c>
      <c r="I12" s="2076"/>
      <c r="J12" s="1836"/>
      <c r="K12" s="1770" t="s">
        <v>6464</v>
      </c>
    </row>
    <row r="13" spans="1:12" s="1603" customFormat="1" ht="28.5" customHeight="1">
      <c r="A13" s="1837">
        <v>9</v>
      </c>
      <c r="B13" s="1838" t="s">
        <v>5626</v>
      </c>
      <c r="C13" s="2082"/>
      <c r="D13" s="2082"/>
      <c r="E13" s="2082"/>
      <c r="F13" s="2082"/>
      <c r="G13" s="2082"/>
      <c r="H13" s="2078">
        <f t="shared" si="2"/>
        <v>0</v>
      </c>
      <c r="I13" s="2082"/>
      <c r="J13" s="1981"/>
    </row>
    <row r="14" spans="1:12" s="1603" customFormat="1" ht="12.75" customHeight="1">
      <c r="A14" s="1835">
        <v>10</v>
      </c>
      <c r="B14" s="1839" t="s">
        <v>5627</v>
      </c>
      <c r="C14" s="2076"/>
      <c r="D14" s="2076"/>
      <c r="E14" s="2076"/>
      <c r="F14" s="2076"/>
      <c r="G14" s="2076"/>
      <c r="H14" s="2075">
        <f t="shared" si="2"/>
        <v>0</v>
      </c>
      <c r="I14" s="2076"/>
      <c r="J14" s="1836"/>
    </row>
    <row r="15" spans="1:12" s="1603" customFormat="1" ht="12.75" customHeight="1">
      <c r="A15" s="1835">
        <v>11</v>
      </c>
      <c r="B15" s="1839" t="s">
        <v>5628</v>
      </c>
      <c r="C15" s="2076"/>
      <c r="D15" s="2076"/>
      <c r="E15" s="2076"/>
      <c r="F15" s="2076"/>
      <c r="G15" s="2076"/>
      <c r="H15" s="2075">
        <f t="shared" si="2"/>
        <v>0</v>
      </c>
      <c r="I15" s="2076"/>
      <c r="J15" s="1836"/>
    </row>
    <row r="16" spans="1:12" s="1603" customFormat="1" ht="12.75" customHeight="1">
      <c r="A16" s="1835">
        <v>12</v>
      </c>
      <c r="B16" s="1839" t="s">
        <v>5503</v>
      </c>
      <c r="C16" s="2076"/>
      <c r="D16" s="2076"/>
      <c r="E16" s="2076"/>
      <c r="F16" s="2076"/>
      <c r="G16" s="2076"/>
      <c r="H16" s="2075">
        <f t="shared" si="2"/>
        <v>0</v>
      </c>
      <c r="I16" s="2076"/>
      <c r="J16" s="1836"/>
    </row>
    <row r="17" spans="1:10" s="1603" customFormat="1" ht="12.75" customHeight="1">
      <c r="A17" s="1835">
        <v>13</v>
      </c>
      <c r="B17" s="1839" t="s">
        <v>5629</v>
      </c>
      <c r="C17" s="2075">
        <f>SUM(C18:C20)</f>
        <v>0</v>
      </c>
      <c r="D17" s="2075">
        <f t="shared" ref="D17:I17" si="3">SUM(D18:D20)</f>
        <v>0</v>
      </c>
      <c r="E17" s="2075">
        <f t="shared" si="3"/>
        <v>0</v>
      </c>
      <c r="F17" s="2075">
        <f t="shared" si="3"/>
        <v>0</v>
      </c>
      <c r="G17" s="2075">
        <f t="shared" si="3"/>
        <v>0</v>
      </c>
      <c r="H17" s="2075">
        <f t="shared" si="3"/>
        <v>0</v>
      </c>
      <c r="I17" s="2075">
        <f t="shared" si="3"/>
        <v>0</v>
      </c>
      <c r="J17" s="1836"/>
    </row>
    <row r="18" spans="1:10" s="1603" customFormat="1" ht="12.75" customHeight="1">
      <c r="A18" s="1835">
        <v>14</v>
      </c>
      <c r="B18" s="1839" t="s">
        <v>5630</v>
      </c>
      <c r="C18" s="2076"/>
      <c r="D18" s="2076"/>
      <c r="E18" s="2076"/>
      <c r="F18" s="2076"/>
      <c r="G18" s="2076"/>
      <c r="H18" s="2075">
        <f t="shared" si="2"/>
        <v>0</v>
      </c>
      <c r="I18" s="2076"/>
      <c r="J18" s="1836"/>
    </row>
    <row r="19" spans="1:10" s="1603" customFormat="1" ht="12.75" customHeight="1">
      <c r="A19" s="1835">
        <v>15</v>
      </c>
      <c r="B19" s="1839" t="s">
        <v>5631</v>
      </c>
      <c r="C19" s="2076"/>
      <c r="D19" s="2076"/>
      <c r="E19" s="2076"/>
      <c r="F19" s="2076"/>
      <c r="G19" s="2076"/>
      <c r="H19" s="2075">
        <f t="shared" si="2"/>
        <v>0</v>
      </c>
      <c r="I19" s="2076"/>
      <c r="J19" s="1836"/>
    </row>
    <row r="20" spans="1:10" s="1603" customFormat="1" ht="12.75" customHeight="1">
      <c r="A20" s="1835">
        <v>16</v>
      </c>
      <c r="B20" s="1839" t="s">
        <v>5511</v>
      </c>
      <c r="C20" s="2076"/>
      <c r="D20" s="2076"/>
      <c r="E20" s="2076"/>
      <c r="F20" s="2076"/>
      <c r="G20" s="2076"/>
      <c r="H20" s="2075">
        <f t="shared" si="2"/>
        <v>0</v>
      </c>
      <c r="I20" s="2076"/>
      <c r="J20" s="1836"/>
    </row>
    <row r="21" spans="1:10" s="1603" customFormat="1" ht="26.25" customHeight="1">
      <c r="A21" s="1837">
        <v>17</v>
      </c>
      <c r="B21" s="1838" t="s">
        <v>5632</v>
      </c>
      <c r="C21" s="2078">
        <f>SUM(C22:C29)</f>
        <v>0</v>
      </c>
      <c r="D21" s="2078">
        <f t="shared" ref="D21:H21" si="4">SUM(D22:D29)</f>
        <v>0</v>
      </c>
      <c r="E21" s="2078">
        <f t="shared" si="4"/>
        <v>0</v>
      </c>
      <c r="F21" s="2078">
        <f t="shared" si="4"/>
        <v>0</v>
      </c>
      <c r="G21" s="2078">
        <f t="shared" si="4"/>
        <v>0</v>
      </c>
      <c r="H21" s="2078">
        <f t="shared" si="4"/>
        <v>0</v>
      </c>
      <c r="I21" s="2078">
        <f>SUM(I22:I29)</f>
        <v>0</v>
      </c>
      <c r="J21" s="1981"/>
    </row>
    <row r="22" spans="1:10" s="1603" customFormat="1" ht="12.75" customHeight="1">
      <c r="A22" s="1835">
        <v>18</v>
      </c>
      <c r="B22" s="1839" t="s">
        <v>5633</v>
      </c>
      <c r="C22" s="2076"/>
      <c r="D22" s="2076"/>
      <c r="E22" s="2076"/>
      <c r="F22" s="2076"/>
      <c r="G22" s="2076"/>
      <c r="H22" s="2075">
        <f t="shared" si="2"/>
        <v>0</v>
      </c>
      <c r="I22" s="2076"/>
      <c r="J22" s="1836"/>
    </row>
    <row r="23" spans="1:10" s="1603" customFormat="1" ht="12.75" customHeight="1">
      <c r="A23" s="1835">
        <v>19</v>
      </c>
      <c r="B23" s="1839" t="s">
        <v>5634</v>
      </c>
      <c r="C23" s="2076"/>
      <c r="D23" s="2076"/>
      <c r="E23" s="2076"/>
      <c r="F23" s="2076"/>
      <c r="G23" s="2076"/>
      <c r="H23" s="2075">
        <f t="shared" si="2"/>
        <v>0</v>
      </c>
      <c r="I23" s="2076"/>
      <c r="J23" s="1836"/>
    </row>
    <row r="24" spans="1:10" s="1603" customFormat="1" ht="12.75" customHeight="1">
      <c r="A24" s="1835">
        <v>20</v>
      </c>
      <c r="B24" s="1839" t="s">
        <v>5635</v>
      </c>
      <c r="C24" s="2076"/>
      <c r="D24" s="2076"/>
      <c r="E24" s="2076"/>
      <c r="F24" s="2076"/>
      <c r="G24" s="2076"/>
      <c r="H24" s="2075">
        <f t="shared" si="2"/>
        <v>0</v>
      </c>
      <c r="I24" s="2076"/>
      <c r="J24" s="1836"/>
    </row>
    <row r="25" spans="1:10" s="1603" customFormat="1" ht="12.75" customHeight="1">
      <c r="A25" s="1835">
        <v>21</v>
      </c>
      <c r="B25" s="1839" t="s">
        <v>5636</v>
      </c>
      <c r="C25" s="2076"/>
      <c r="D25" s="2076"/>
      <c r="E25" s="2076"/>
      <c r="F25" s="2076"/>
      <c r="G25" s="2076"/>
      <c r="H25" s="2075">
        <f t="shared" si="2"/>
        <v>0</v>
      </c>
      <c r="I25" s="2076"/>
      <c r="J25" s="1836"/>
    </row>
    <row r="26" spans="1:10" s="1603" customFormat="1" ht="12.75" customHeight="1">
      <c r="A26" s="1835">
        <v>22</v>
      </c>
      <c r="B26" s="1839" t="s">
        <v>5637</v>
      </c>
      <c r="C26" s="2076"/>
      <c r="D26" s="2076"/>
      <c r="E26" s="2076"/>
      <c r="F26" s="2076"/>
      <c r="G26" s="2076"/>
      <c r="H26" s="2075">
        <f t="shared" si="2"/>
        <v>0</v>
      </c>
      <c r="I26" s="2076"/>
      <c r="J26" s="1836"/>
    </row>
    <row r="27" spans="1:10" s="1603" customFormat="1" ht="12.75" customHeight="1">
      <c r="A27" s="1835">
        <v>23</v>
      </c>
      <c r="B27" s="1839" t="s">
        <v>5638</v>
      </c>
      <c r="C27" s="2076"/>
      <c r="D27" s="2076"/>
      <c r="E27" s="2076"/>
      <c r="F27" s="2076"/>
      <c r="G27" s="2076"/>
      <c r="H27" s="2075">
        <f t="shared" si="2"/>
        <v>0</v>
      </c>
      <c r="I27" s="2076"/>
      <c r="J27" s="1836"/>
    </row>
    <row r="28" spans="1:10" s="1603" customFormat="1" ht="12.75" customHeight="1">
      <c r="A28" s="1835">
        <v>24</v>
      </c>
      <c r="B28" s="1839" t="s">
        <v>5639</v>
      </c>
      <c r="C28" s="2076"/>
      <c r="D28" s="2076"/>
      <c r="E28" s="2076"/>
      <c r="F28" s="2076"/>
      <c r="G28" s="2076"/>
      <c r="H28" s="2075">
        <f t="shared" si="2"/>
        <v>0</v>
      </c>
      <c r="I28" s="2076"/>
      <c r="J28" s="1836"/>
    </row>
    <row r="29" spans="1:10" s="1603" customFormat="1" ht="12.75" customHeight="1">
      <c r="A29" s="1835">
        <v>25</v>
      </c>
      <c r="B29" s="1839" t="s">
        <v>5640</v>
      </c>
      <c r="C29" s="2076"/>
      <c r="D29" s="2076"/>
      <c r="E29" s="2076"/>
      <c r="F29" s="2076"/>
      <c r="G29" s="2076"/>
      <c r="H29" s="2075">
        <f t="shared" si="2"/>
        <v>0</v>
      </c>
      <c r="I29" s="2076"/>
      <c r="J29" s="1836"/>
    </row>
    <row r="30" spans="1:10" s="1603" customFormat="1" ht="29.25" customHeight="1">
      <c r="A30" s="1835">
        <v>26</v>
      </c>
      <c r="B30" s="1839" t="s">
        <v>5641</v>
      </c>
      <c r="C30" s="2075">
        <f>SUM(C31:C36)</f>
        <v>0</v>
      </c>
      <c r="D30" s="2075">
        <f t="shared" ref="D30:I30" si="5">SUM(D31:D36)</f>
        <v>0</v>
      </c>
      <c r="E30" s="2075">
        <f t="shared" si="5"/>
        <v>0</v>
      </c>
      <c r="F30" s="2075">
        <f t="shared" si="5"/>
        <v>0</v>
      </c>
      <c r="G30" s="2075">
        <f t="shared" si="5"/>
        <v>0</v>
      </c>
      <c r="H30" s="2075">
        <f t="shared" si="5"/>
        <v>0</v>
      </c>
      <c r="I30" s="2075">
        <f t="shared" si="5"/>
        <v>0</v>
      </c>
      <c r="J30" s="1836"/>
    </row>
    <row r="31" spans="1:10" s="1603" customFormat="1" ht="12.75" customHeight="1">
      <c r="A31" s="1835">
        <v>27</v>
      </c>
      <c r="B31" s="1839" t="s">
        <v>5642</v>
      </c>
      <c r="C31" s="2076"/>
      <c r="D31" s="2076"/>
      <c r="E31" s="2076"/>
      <c r="F31" s="2076"/>
      <c r="G31" s="2076"/>
      <c r="H31" s="2075">
        <f t="shared" si="2"/>
        <v>0</v>
      </c>
      <c r="I31" s="2076"/>
      <c r="J31" s="1836"/>
    </row>
    <row r="32" spans="1:10" s="1603" customFormat="1" ht="12.75" customHeight="1">
      <c r="A32" s="1835">
        <v>28</v>
      </c>
      <c r="B32" s="1839" t="s">
        <v>5643</v>
      </c>
      <c r="C32" s="2076"/>
      <c r="D32" s="2076"/>
      <c r="E32" s="2076"/>
      <c r="F32" s="2076"/>
      <c r="G32" s="2076"/>
      <c r="H32" s="2075">
        <f t="shared" si="2"/>
        <v>0</v>
      </c>
      <c r="I32" s="2076"/>
      <c r="J32" s="1836"/>
    </row>
    <row r="33" spans="1:10" s="1603" customFormat="1" ht="12.75" customHeight="1">
      <c r="A33" s="1835">
        <v>29</v>
      </c>
      <c r="B33" s="1839" t="s">
        <v>5644</v>
      </c>
      <c r="C33" s="2076"/>
      <c r="D33" s="2076"/>
      <c r="E33" s="2076"/>
      <c r="F33" s="2076"/>
      <c r="G33" s="2076"/>
      <c r="H33" s="2075">
        <f t="shared" si="2"/>
        <v>0</v>
      </c>
      <c r="I33" s="2076"/>
      <c r="J33" s="1836"/>
    </row>
    <row r="34" spans="1:10" s="1603" customFormat="1" ht="12.75" customHeight="1">
      <c r="A34" s="1835">
        <v>30</v>
      </c>
      <c r="B34" s="1839" t="s">
        <v>5645</v>
      </c>
      <c r="C34" s="2076"/>
      <c r="D34" s="2076"/>
      <c r="E34" s="2076"/>
      <c r="F34" s="2076"/>
      <c r="G34" s="2076"/>
      <c r="H34" s="2075">
        <f t="shared" si="2"/>
        <v>0</v>
      </c>
      <c r="I34" s="2076"/>
      <c r="J34" s="1836"/>
    </row>
    <row r="35" spans="1:10" s="1603" customFormat="1" ht="12.75" customHeight="1">
      <c r="A35" s="1835">
        <v>31</v>
      </c>
      <c r="B35" s="1839" t="s">
        <v>5646</v>
      </c>
      <c r="C35" s="2076"/>
      <c r="D35" s="2076"/>
      <c r="E35" s="2076"/>
      <c r="F35" s="2076"/>
      <c r="G35" s="2076"/>
      <c r="H35" s="2075">
        <f t="shared" si="2"/>
        <v>0</v>
      </c>
      <c r="I35" s="2076"/>
      <c r="J35" s="1836"/>
    </row>
    <row r="36" spans="1:10" s="1603" customFormat="1" ht="12.75" customHeight="1">
      <c r="A36" s="1835">
        <v>32</v>
      </c>
      <c r="B36" s="1839" t="s">
        <v>5647</v>
      </c>
      <c r="C36" s="2076"/>
      <c r="D36" s="2076"/>
      <c r="E36" s="2076"/>
      <c r="F36" s="2076"/>
      <c r="G36" s="2076"/>
      <c r="H36" s="2075">
        <f t="shared" si="2"/>
        <v>0</v>
      </c>
      <c r="I36" s="2076"/>
      <c r="J36" s="1836"/>
    </row>
    <row r="37" spans="1:10" s="1603" customFormat="1" ht="12.75" customHeight="1">
      <c r="A37" s="1835">
        <v>33</v>
      </c>
      <c r="B37" s="1839" t="s">
        <v>5648</v>
      </c>
      <c r="C37" s="2076"/>
      <c r="D37" s="2076"/>
      <c r="E37" s="2076"/>
      <c r="F37" s="2076"/>
      <c r="G37" s="1982" t="s">
        <v>5542</v>
      </c>
      <c r="H37" s="2075">
        <f>C37-D37-E37-F37</f>
        <v>0</v>
      </c>
      <c r="I37" s="2075">
        <f>I38+I39</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6"/>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6"/>
      <c r="J39" s="1836"/>
    </row>
    <row r="40" spans="1:10" s="1603" customFormat="1" ht="12.75" customHeight="1">
      <c r="A40" s="1835">
        <v>36</v>
      </c>
      <c r="B40" s="1839" t="s">
        <v>5651</v>
      </c>
      <c r="C40" s="2075">
        <f>SUM(C41:C43)</f>
        <v>0</v>
      </c>
      <c r="D40" s="2075">
        <f t="shared" ref="D40:I40" si="6">SUM(D41:D43)</f>
        <v>0</v>
      </c>
      <c r="E40" s="2075">
        <f t="shared" si="6"/>
        <v>0</v>
      </c>
      <c r="F40" s="2075">
        <f t="shared" si="6"/>
        <v>0</v>
      </c>
      <c r="G40" s="2075">
        <f t="shared" si="6"/>
        <v>0</v>
      </c>
      <c r="H40" s="2075">
        <f t="shared" si="6"/>
        <v>0</v>
      </c>
      <c r="I40" s="2075">
        <f t="shared" si="6"/>
        <v>0</v>
      </c>
      <c r="J40" s="1836"/>
    </row>
    <row r="41" spans="1:10" s="1603" customFormat="1" ht="12.75" customHeight="1">
      <c r="A41" s="1835">
        <v>37</v>
      </c>
      <c r="B41" s="1839" t="s">
        <v>5652</v>
      </c>
      <c r="C41" s="2076"/>
      <c r="D41" s="2076"/>
      <c r="E41" s="2076"/>
      <c r="F41" s="2076"/>
      <c r="G41" s="2076"/>
      <c r="H41" s="2075">
        <f t="shared" ref="H41:H43" si="7">C41-D41-E41-F41+G41</f>
        <v>0</v>
      </c>
      <c r="I41" s="2076"/>
      <c r="J41" s="1836"/>
    </row>
    <row r="42" spans="1:10" s="1603" customFormat="1" ht="24" customHeight="1">
      <c r="A42" s="1835">
        <v>38</v>
      </c>
      <c r="B42" s="1839" t="s">
        <v>5653</v>
      </c>
      <c r="C42" s="2076"/>
      <c r="D42" s="2076"/>
      <c r="E42" s="2076"/>
      <c r="F42" s="2076"/>
      <c r="G42" s="2076"/>
      <c r="H42" s="2075">
        <f t="shared" si="7"/>
        <v>0</v>
      </c>
      <c r="I42" s="2076"/>
      <c r="J42" s="1836"/>
    </row>
    <row r="43" spans="1:10" s="1603" customFormat="1" ht="12.75" customHeight="1">
      <c r="A43" s="1835">
        <v>39</v>
      </c>
      <c r="B43" s="1839" t="s">
        <v>5654</v>
      </c>
      <c r="C43" s="2076"/>
      <c r="D43" s="2076"/>
      <c r="E43" s="2076"/>
      <c r="F43" s="2076"/>
      <c r="G43" s="2076"/>
      <c r="H43" s="2075">
        <f t="shared" si="7"/>
        <v>0</v>
      </c>
      <c r="I43" s="2076"/>
      <c r="J43" s="1836"/>
    </row>
    <row r="44" spans="1:10" s="1603" customFormat="1" ht="40.5" customHeight="1">
      <c r="A44" s="1835">
        <v>40</v>
      </c>
      <c r="B44" s="1839" t="s">
        <v>5655</v>
      </c>
      <c r="C44" s="2075">
        <f>C5+C21+C30+C37+C40</f>
        <v>0</v>
      </c>
      <c r="D44" s="2075">
        <f t="shared" ref="D44:I44" si="8">D5+D21+D30+D37+D40</f>
        <v>0</v>
      </c>
      <c r="E44" s="2075">
        <f t="shared" si="8"/>
        <v>0</v>
      </c>
      <c r="F44" s="2075">
        <f t="shared" si="8"/>
        <v>0</v>
      </c>
      <c r="G44" s="2075">
        <f>G5+G21+G30+G40</f>
        <v>0</v>
      </c>
      <c r="H44" s="2075">
        <f t="shared" si="8"/>
        <v>0</v>
      </c>
      <c r="I44" s="2075">
        <f t="shared" si="8"/>
        <v>0</v>
      </c>
      <c r="J44" s="1839" t="s">
        <v>5656</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2167"/>
      <c r="B1" s="2167"/>
      <c r="C1" s="2167"/>
      <c r="D1" s="2168" t="str">
        <f>"索引号："&amp;档案索引!D12</f>
        <v>索引号：2B-7</v>
      </c>
    </row>
    <row r="2" spans="1:6" s="1609" customFormat="1" ht="25.5" customHeight="1">
      <c r="A2" s="3401" t="s">
        <v>5938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1612"/>
      <c r="D5" s="1983"/>
    </row>
    <row r="6" spans="1:6" s="1610" customFormat="1" ht="14.25" customHeight="1">
      <c r="A6" s="1877">
        <v>2</v>
      </c>
      <c r="B6" s="1878" t="s">
        <v>5660</v>
      </c>
      <c r="C6" s="2283">
        <v>0.7</v>
      </c>
      <c r="D6" s="1983"/>
    </row>
    <row r="7" spans="1:6" s="1610" customFormat="1" ht="14.25" customHeight="1">
      <c r="A7" s="1877">
        <v>3</v>
      </c>
      <c r="B7" s="1878" t="s">
        <v>6830</v>
      </c>
      <c r="C7" s="2075">
        <f>ROUND(C5*C6,2)</f>
        <v>0</v>
      </c>
      <c r="D7" s="1983"/>
    </row>
    <row r="8" spans="1:6" s="1610" customFormat="1" ht="14.25" customHeight="1">
      <c r="A8" s="1877">
        <v>4</v>
      </c>
      <c r="B8" s="1878" t="s">
        <v>5661</v>
      </c>
      <c r="C8" s="2238"/>
      <c r="D8" s="1983"/>
    </row>
    <row r="9" spans="1:6" s="1610" customFormat="1" ht="14.25" customHeight="1">
      <c r="A9" s="1877">
        <v>5</v>
      </c>
      <c r="B9" s="1878" t="s">
        <v>6831</v>
      </c>
      <c r="C9" s="2075">
        <f>C7+C8</f>
        <v>0</v>
      </c>
      <c r="D9" s="1983"/>
    </row>
    <row r="10" spans="1:6" s="1610" customFormat="1" ht="14.25" customHeight="1">
      <c r="A10" s="1877">
        <v>6</v>
      </c>
      <c r="B10" s="1878" t="s">
        <v>5662</v>
      </c>
      <c r="C10" s="2075">
        <f ca="1">MAX('A100000中华人民共和国企业所得税年度纳税申报表（A类）'!$D$22-'A100000中华人民共和国企业所得税年度纳税申报表（A类）'!$D$23-$C$18,0)</f>
        <v>0</v>
      </c>
      <c r="D10" s="2284" t="s">
        <v>6844</v>
      </c>
    </row>
    <row r="11" spans="1:6" s="1610" customFormat="1" ht="14.25" customHeight="1">
      <c r="A11" s="1877">
        <v>7</v>
      </c>
      <c r="B11" s="1878" t="s">
        <v>6832</v>
      </c>
      <c r="C11" s="2075">
        <f ca="1">MIN(C9,C10)</f>
        <v>0</v>
      </c>
      <c r="D11" s="1983"/>
    </row>
    <row r="12" spans="1:6" s="1610" customFormat="1" ht="14.25" customHeight="1">
      <c r="A12" s="1877">
        <v>8</v>
      </c>
      <c r="B12" s="1878" t="s">
        <v>5665</v>
      </c>
      <c r="C12" s="2075">
        <f ca="1">C9-C11</f>
        <v>0</v>
      </c>
      <c r="D12" s="1983"/>
    </row>
    <row r="13" spans="1:6" s="1610" customFormat="1" ht="14.25" customHeight="1">
      <c r="A13" s="3476" t="s">
        <v>6833</v>
      </c>
      <c r="B13" s="3477"/>
      <c r="C13" s="3477"/>
      <c r="D13" s="3478"/>
    </row>
    <row r="14" spans="1:6" s="1610" customFormat="1" ht="14.25" customHeight="1">
      <c r="A14" s="1877">
        <v>9</v>
      </c>
      <c r="B14" s="1878" t="s">
        <v>6835</v>
      </c>
      <c r="C14" s="2238"/>
      <c r="D14" s="1983"/>
    </row>
    <row r="15" spans="1:6" s="1610" customFormat="1" ht="14.25" customHeight="1">
      <c r="A15" s="1877">
        <v>10</v>
      </c>
      <c r="B15" s="1878" t="s">
        <v>6836</v>
      </c>
      <c r="C15" s="2238"/>
      <c r="D15" s="1983"/>
    </row>
    <row r="16" spans="1:6" s="1610" customFormat="1" ht="14.25" customHeight="1">
      <c r="A16" s="1877">
        <v>11</v>
      </c>
      <c r="B16" s="1878" t="s">
        <v>6837</v>
      </c>
      <c r="C16" s="2238"/>
      <c r="D16" s="1983"/>
    </row>
    <row r="17" spans="1:5" s="1610" customFormat="1" ht="14.25" customHeight="1">
      <c r="A17" s="1877">
        <v>12</v>
      </c>
      <c r="B17" s="1878" t="s">
        <v>6838</v>
      </c>
      <c r="C17" s="2075">
        <f>C15+C16</f>
        <v>0</v>
      </c>
      <c r="D17" s="1983"/>
    </row>
    <row r="18" spans="1:5" s="1610" customFormat="1" ht="48.75" customHeight="1">
      <c r="A18" s="1877">
        <v>13</v>
      </c>
      <c r="B18" s="1878" t="s">
        <v>6839</v>
      </c>
      <c r="C18" s="2075">
        <f ca="1">MAX(0,MIN(C14,C17,'A100000中华人民共和国企业所得税年度纳税申报表（A类）'!$D$22-'A100000中华人民共和国企业所得税年度纳税申报表（A类）'!$D$23))</f>
        <v>0</v>
      </c>
      <c r="D18" s="1984" t="s">
        <v>5663</v>
      </c>
    </row>
    <row r="19" spans="1:5" s="1610" customFormat="1" ht="30" customHeight="1">
      <c r="A19" s="1877">
        <v>14</v>
      </c>
      <c r="B19" s="1878" t="s">
        <v>6840</v>
      </c>
      <c r="C19" s="2075">
        <f>MAX(C17-C14,0)</f>
        <v>0</v>
      </c>
      <c r="D19" s="1985" t="s">
        <v>5664</v>
      </c>
      <c r="E19" s="1675" t="s">
        <v>6466</v>
      </c>
    </row>
    <row r="20" spans="1:5" s="1610" customFormat="1" ht="30" customHeight="1">
      <c r="A20" s="3476" t="s">
        <v>6834</v>
      </c>
      <c r="B20" s="3477"/>
      <c r="C20" s="3477"/>
      <c r="D20" s="3478"/>
      <c r="E20" s="1675"/>
    </row>
    <row r="21" spans="1:5" s="1610" customFormat="1" ht="14.25" customHeight="1">
      <c r="A21" s="1877">
        <v>15</v>
      </c>
      <c r="B21" s="1878" t="s">
        <v>6841</v>
      </c>
      <c r="C21" s="2075">
        <f ca="1">C18+C11</f>
        <v>0</v>
      </c>
      <c r="D21" s="1983" t="s">
        <v>6842</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5.6"/>
  <cols>
    <col min="1" max="1" width="5.19921875" style="1605" customWidth="1"/>
    <col min="2" max="2" width="61.59765625" style="1605" customWidth="1"/>
    <col min="3" max="3" width="12.3984375" style="1605" customWidth="1"/>
    <col min="4" max="4" width="20.19921875" style="1605" customWidth="1"/>
    <col min="5" max="5" width="9" style="1605"/>
    <col min="6" max="6" width="17.59765625" style="1605" customWidth="1"/>
    <col min="7" max="7" width="9" style="1605"/>
    <col min="8" max="8" width="11.19921875" style="1605" customWidth="1"/>
    <col min="9" max="250" width="9" style="1605"/>
    <col min="251" max="251" width="5.19921875" style="1605" customWidth="1"/>
    <col min="252" max="252" width="48.09765625" style="1605" customWidth="1"/>
    <col min="253" max="253" width="7.8984375" style="1605" customWidth="1"/>
    <col min="254" max="254" width="20.19921875" style="1605" customWidth="1"/>
    <col min="255" max="255" width="9" style="1605"/>
    <col min="256" max="256" width="17.59765625" style="1605" customWidth="1"/>
    <col min="257" max="506" width="9" style="1605"/>
    <col min="507" max="507" width="5.19921875" style="1605" customWidth="1"/>
    <col min="508" max="508" width="48.09765625" style="1605" customWidth="1"/>
    <col min="509" max="509" width="7.8984375" style="1605" customWidth="1"/>
    <col min="510" max="510" width="20.19921875" style="1605" customWidth="1"/>
    <col min="511" max="511" width="9" style="1605"/>
    <col min="512" max="512" width="17.59765625" style="1605" customWidth="1"/>
    <col min="513" max="762" width="9" style="1605"/>
    <col min="763" max="763" width="5.19921875" style="1605" customWidth="1"/>
    <col min="764" max="764" width="48.09765625" style="1605" customWidth="1"/>
    <col min="765" max="765" width="7.8984375" style="1605" customWidth="1"/>
    <col min="766" max="766" width="20.19921875" style="1605" customWidth="1"/>
    <col min="767" max="767" width="9" style="1605"/>
    <col min="768" max="768" width="17.59765625" style="1605" customWidth="1"/>
    <col min="769" max="1018" width="9" style="1605"/>
    <col min="1019" max="1019" width="5.19921875" style="1605" customWidth="1"/>
    <col min="1020" max="1020" width="48.09765625" style="1605" customWidth="1"/>
    <col min="1021" max="1021" width="7.8984375" style="1605" customWidth="1"/>
    <col min="1022" max="1022" width="20.19921875" style="1605" customWidth="1"/>
    <col min="1023" max="1023" width="9" style="1605"/>
    <col min="1024" max="1024" width="17.59765625" style="1605" customWidth="1"/>
    <col min="1025" max="1274" width="9" style="1605"/>
    <col min="1275" max="1275" width="5.19921875" style="1605" customWidth="1"/>
    <col min="1276" max="1276" width="48.09765625" style="1605" customWidth="1"/>
    <col min="1277" max="1277" width="7.8984375" style="1605" customWidth="1"/>
    <col min="1278" max="1278" width="20.19921875" style="1605" customWidth="1"/>
    <col min="1279" max="1279" width="9" style="1605"/>
    <col min="1280" max="1280" width="17.59765625" style="1605" customWidth="1"/>
    <col min="1281" max="1530" width="9" style="1605"/>
    <col min="1531" max="1531" width="5.19921875" style="1605" customWidth="1"/>
    <col min="1532" max="1532" width="48.09765625" style="1605" customWidth="1"/>
    <col min="1533" max="1533" width="7.8984375" style="1605" customWidth="1"/>
    <col min="1534" max="1534" width="20.19921875" style="1605" customWidth="1"/>
    <col min="1535" max="1535" width="9" style="1605"/>
    <col min="1536" max="1536" width="17.59765625" style="1605" customWidth="1"/>
    <col min="1537" max="1786" width="9" style="1605"/>
    <col min="1787" max="1787" width="5.19921875" style="1605" customWidth="1"/>
    <col min="1788" max="1788" width="48.09765625" style="1605" customWidth="1"/>
    <col min="1789" max="1789" width="7.8984375" style="1605" customWidth="1"/>
    <col min="1790" max="1790" width="20.19921875" style="1605" customWidth="1"/>
    <col min="1791" max="1791" width="9" style="1605"/>
    <col min="1792" max="1792" width="17.59765625" style="1605" customWidth="1"/>
    <col min="1793" max="2042" width="9" style="1605"/>
    <col min="2043" max="2043" width="5.19921875" style="1605" customWidth="1"/>
    <col min="2044" max="2044" width="48.09765625" style="1605" customWidth="1"/>
    <col min="2045" max="2045" width="7.8984375" style="1605" customWidth="1"/>
    <col min="2046" max="2046" width="20.19921875" style="1605" customWidth="1"/>
    <col min="2047" max="2047" width="9" style="1605"/>
    <col min="2048" max="2048" width="17.59765625" style="1605" customWidth="1"/>
    <col min="2049" max="2298" width="9" style="1605"/>
    <col min="2299" max="2299" width="5.19921875" style="1605" customWidth="1"/>
    <col min="2300" max="2300" width="48.09765625" style="1605" customWidth="1"/>
    <col min="2301" max="2301" width="7.8984375" style="1605" customWidth="1"/>
    <col min="2302" max="2302" width="20.19921875" style="1605" customWidth="1"/>
    <col min="2303" max="2303" width="9" style="1605"/>
    <col min="2304" max="2304" width="17.59765625" style="1605" customWidth="1"/>
    <col min="2305" max="2554" width="9" style="1605"/>
    <col min="2555" max="2555" width="5.19921875" style="1605" customWidth="1"/>
    <col min="2556" max="2556" width="48.09765625" style="1605" customWidth="1"/>
    <col min="2557" max="2557" width="7.8984375" style="1605" customWidth="1"/>
    <col min="2558" max="2558" width="20.19921875" style="1605" customWidth="1"/>
    <col min="2559" max="2559" width="9" style="1605"/>
    <col min="2560" max="2560" width="17.59765625" style="1605" customWidth="1"/>
    <col min="2561" max="2810" width="9" style="1605"/>
    <col min="2811" max="2811" width="5.19921875" style="1605" customWidth="1"/>
    <col min="2812" max="2812" width="48.09765625" style="1605" customWidth="1"/>
    <col min="2813" max="2813" width="7.8984375" style="1605" customWidth="1"/>
    <col min="2814" max="2814" width="20.19921875" style="1605" customWidth="1"/>
    <col min="2815" max="2815" width="9" style="1605"/>
    <col min="2816" max="2816" width="17.59765625" style="1605" customWidth="1"/>
    <col min="2817" max="3066" width="9" style="1605"/>
    <col min="3067" max="3067" width="5.19921875" style="1605" customWidth="1"/>
    <col min="3068" max="3068" width="48.09765625" style="1605" customWidth="1"/>
    <col min="3069" max="3069" width="7.8984375" style="1605" customWidth="1"/>
    <col min="3070" max="3070" width="20.19921875" style="1605" customWidth="1"/>
    <col min="3071" max="3071" width="9" style="1605"/>
    <col min="3072" max="3072" width="17.59765625" style="1605" customWidth="1"/>
    <col min="3073" max="3322" width="9" style="1605"/>
    <col min="3323" max="3323" width="5.19921875" style="1605" customWidth="1"/>
    <col min="3324" max="3324" width="48.09765625" style="1605" customWidth="1"/>
    <col min="3325" max="3325" width="7.8984375" style="1605" customWidth="1"/>
    <col min="3326" max="3326" width="20.19921875" style="1605" customWidth="1"/>
    <col min="3327" max="3327" width="9" style="1605"/>
    <col min="3328" max="3328" width="17.59765625" style="1605" customWidth="1"/>
    <col min="3329" max="3578" width="9" style="1605"/>
    <col min="3579" max="3579" width="5.19921875" style="1605" customWidth="1"/>
    <col min="3580" max="3580" width="48.09765625" style="1605" customWidth="1"/>
    <col min="3581" max="3581" width="7.8984375" style="1605" customWidth="1"/>
    <col min="3582" max="3582" width="20.19921875" style="1605" customWidth="1"/>
    <col min="3583" max="3583" width="9" style="1605"/>
    <col min="3584" max="3584" width="17.59765625" style="1605" customWidth="1"/>
    <col min="3585" max="3834" width="9" style="1605"/>
    <col min="3835" max="3835" width="5.19921875" style="1605" customWidth="1"/>
    <col min="3836" max="3836" width="48.09765625" style="1605" customWidth="1"/>
    <col min="3837" max="3837" width="7.8984375" style="1605" customWidth="1"/>
    <col min="3838" max="3838" width="20.19921875" style="1605" customWidth="1"/>
    <col min="3839" max="3839" width="9" style="1605"/>
    <col min="3840" max="3840" width="17.59765625" style="1605" customWidth="1"/>
    <col min="3841" max="4090" width="9" style="1605"/>
    <col min="4091" max="4091" width="5.19921875" style="1605" customWidth="1"/>
    <col min="4092" max="4092" width="48.09765625" style="1605" customWidth="1"/>
    <col min="4093" max="4093" width="7.8984375" style="1605" customWidth="1"/>
    <col min="4094" max="4094" width="20.19921875" style="1605" customWidth="1"/>
    <col min="4095" max="4095" width="9" style="1605"/>
    <col min="4096" max="4096" width="17.59765625" style="1605" customWidth="1"/>
    <col min="4097" max="4346" width="9" style="1605"/>
    <col min="4347" max="4347" width="5.19921875" style="1605" customWidth="1"/>
    <col min="4348" max="4348" width="48.09765625" style="1605" customWidth="1"/>
    <col min="4349" max="4349" width="7.8984375" style="1605" customWidth="1"/>
    <col min="4350" max="4350" width="20.19921875" style="1605" customWidth="1"/>
    <col min="4351" max="4351" width="9" style="1605"/>
    <col min="4352" max="4352" width="17.59765625" style="1605" customWidth="1"/>
    <col min="4353" max="4602" width="9" style="1605"/>
    <col min="4603" max="4603" width="5.19921875" style="1605" customWidth="1"/>
    <col min="4604" max="4604" width="48.09765625" style="1605" customWidth="1"/>
    <col min="4605" max="4605" width="7.8984375" style="1605" customWidth="1"/>
    <col min="4606" max="4606" width="20.19921875" style="1605" customWidth="1"/>
    <col min="4607" max="4607" width="9" style="1605"/>
    <col min="4608" max="4608" width="17.59765625" style="1605" customWidth="1"/>
    <col min="4609" max="4858" width="9" style="1605"/>
    <col min="4859" max="4859" width="5.19921875" style="1605" customWidth="1"/>
    <col min="4860" max="4860" width="48.09765625" style="1605" customWidth="1"/>
    <col min="4861" max="4861" width="7.8984375" style="1605" customWidth="1"/>
    <col min="4862" max="4862" width="20.19921875" style="1605" customWidth="1"/>
    <col min="4863" max="4863" width="9" style="1605"/>
    <col min="4864" max="4864" width="17.59765625" style="1605" customWidth="1"/>
    <col min="4865" max="5114" width="9" style="1605"/>
    <col min="5115" max="5115" width="5.19921875" style="1605" customWidth="1"/>
    <col min="5116" max="5116" width="48.09765625" style="1605" customWidth="1"/>
    <col min="5117" max="5117" width="7.8984375" style="1605" customWidth="1"/>
    <col min="5118" max="5118" width="20.19921875" style="1605" customWidth="1"/>
    <col min="5119" max="5119" width="9" style="1605"/>
    <col min="5120" max="5120" width="17.59765625" style="1605" customWidth="1"/>
    <col min="5121" max="5370" width="9" style="1605"/>
    <col min="5371" max="5371" width="5.19921875" style="1605" customWidth="1"/>
    <col min="5372" max="5372" width="48.09765625" style="1605" customWidth="1"/>
    <col min="5373" max="5373" width="7.8984375" style="1605" customWidth="1"/>
    <col min="5374" max="5374" width="20.19921875" style="1605" customWidth="1"/>
    <col min="5375" max="5375" width="9" style="1605"/>
    <col min="5376" max="5376" width="17.59765625" style="1605" customWidth="1"/>
    <col min="5377" max="5626" width="9" style="1605"/>
    <col min="5627" max="5627" width="5.19921875" style="1605" customWidth="1"/>
    <col min="5628" max="5628" width="48.09765625" style="1605" customWidth="1"/>
    <col min="5629" max="5629" width="7.8984375" style="1605" customWidth="1"/>
    <col min="5630" max="5630" width="20.19921875" style="1605" customWidth="1"/>
    <col min="5631" max="5631" width="9" style="1605"/>
    <col min="5632" max="5632" width="17.59765625" style="1605" customWidth="1"/>
    <col min="5633" max="5882" width="9" style="1605"/>
    <col min="5883" max="5883" width="5.19921875" style="1605" customWidth="1"/>
    <col min="5884" max="5884" width="48.09765625" style="1605" customWidth="1"/>
    <col min="5885" max="5885" width="7.8984375" style="1605" customWidth="1"/>
    <col min="5886" max="5886" width="20.19921875" style="1605" customWidth="1"/>
    <col min="5887" max="5887" width="9" style="1605"/>
    <col min="5888" max="5888" width="17.59765625" style="1605" customWidth="1"/>
    <col min="5889" max="6138" width="9" style="1605"/>
    <col min="6139" max="6139" width="5.19921875" style="1605" customWidth="1"/>
    <col min="6140" max="6140" width="48.09765625" style="1605" customWidth="1"/>
    <col min="6141" max="6141" width="7.8984375" style="1605" customWidth="1"/>
    <col min="6142" max="6142" width="20.19921875" style="1605" customWidth="1"/>
    <col min="6143" max="6143" width="9" style="1605"/>
    <col min="6144" max="6144" width="17.59765625" style="1605" customWidth="1"/>
    <col min="6145" max="6394" width="9" style="1605"/>
    <col min="6395" max="6395" width="5.19921875" style="1605" customWidth="1"/>
    <col min="6396" max="6396" width="48.09765625" style="1605" customWidth="1"/>
    <col min="6397" max="6397" width="7.8984375" style="1605" customWidth="1"/>
    <col min="6398" max="6398" width="20.19921875" style="1605" customWidth="1"/>
    <col min="6399" max="6399" width="9" style="1605"/>
    <col min="6400" max="6400" width="17.59765625" style="1605" customWidth="1"/>
    <col min="6401" max="6650" width="9" style="1605"/>
    <col min="6651" max="6651" width="5.19921875" style="1605" customWidth="1"/>
    <col min="6652" max="6652" width="48.09765625" style="1605" customWidth="1"/>
    <col min="6653" max="6653" width="7.8984375" style="1605" customWidth="1"/>
    <col min="6654" max="6654" width="20.19921875" style="1605" customWidth="1"/>
    <col min="6655" max="6655" width="9" style="1605"/>
    <col min="6656" max="6656" width="17.59765625" style="1605" customWidth="1"/>
    <col min="6657" max="6906" width="9" style="1605"/>
    <col min="6907" max="6907" width="5.19921875" style="1605" customWidth="1"/>
    <col min="6908" max="6908" width="48.09765625" style="1605" customWidth="1"/>
    <col min="6909" max="6909" width="7.8984375" style="1605" customWidth="1"/>
    <col min="6910" max="6910" width="20.19921875" style="1605" customWidth="1"/>
    <col min="6911" max="6911" width="9" style="1605"/>
    <col min="6912" max="6912" width="17.59765625" style="1605" customWidth="1"/>
    <col min="6913" max="7162" width="9" style="1605"/>
    <col min="7163" max="7163" width="5.19921875" style="1605" customWidth="1"/>
    <col min="7164" max="7164" width="48.09765625" style="1605" customWidth="1"/>
    <col min="7165" max="7165" width="7.8984375" style="1605" customWidth="1"/>
    <col min="7166" max="7166" width="20.19921875" style="1605" customWidth="1"/>
    <col min="7167" max="7167" width="9" style="1605"/>
    <col min="7168" max="7168" width="17.59765625" style="1605" customWidth="1"/>
    <col min="7169" max="7418" width="9" style="1605"/>
    <col min="7419" max="7419" width="5.19921875" style="1605" customWidth="1"/>
    <col min="7420" max="7420" width="48.09765625" style="1605" customWidth="1"/>
    <col min="7421" max="7421" width="7.8984375" style="1605" customWidth="1"/>
    <col min="7422" max="7422" width="20.19921875" style="1605" customWidth="1"/>
    <col min="7423" max="7423" width="9" style="1605"/>
    <col min="7424" max="7424" width="17.59765625" style="1605" customWidth="1"/>
    <col min="7425" max="7674" width="9" style="1605"/>
    <col min="7675" max="7675" width="5.19921875" style="1605" customWidth="1"/>
    <col min="7676" max="7676" width="48.09765625" style="1605" customWidth="1"/>
    <col min="7677" max="7677" width="7.8984375" style="1605" customWidth="1"/>
    <col min="7678" max="7678" width="20.19921875" style="1605" customWidth="1"/>
    <col min="7679" max="7679" width="9" style="1605"/>
    <col min="7680" max="7680" width="17.59765625" style="1605" customWidth="1"/>
    <col min="7681" max="7930" width="9" style="1605"/>
    <col min="7931" max="7931" width="5.19921875" style="1605" customWidth="1"/>
    <col min="7932" max="7932" width="48.09765625" style="1605" customWidth="1"/>
    <col min="7933" max="7933" width="7.8984375" style="1605" customWidth="1"/>
    <col min="7934" max="7934" width="20.19921875" style="1605" customWidth="1"/>
    <col min="7935" max="7935" width="9" style="1605"/>
    <col min="7936" max="7936" width="17.59765625" style="1605" customWidth="1"/>
    <col min="7937" max="8186" width="9" style="1605"/>
    <col min="8187" max="8187" width="5.19921875" style="1605" customWidth="1"/>
    <col min="8188" max="8188" width="48.09765625" style="1605" customWidth="1"/>
    <col min="8189" max="8189" width="7.8984375" style="1605" customWidth="1"/>
    <col min="8190" max="8190" width="20.19921875" style="1605" customWidth="1"/>
    <col min="8191" max="8191" width="9" style="1605"/>
    <col min="8192" max="8192" width="17.59765625" style="1605" customWidth="1"/>
    <col min="8193" max="8442" width="9" style="1605"/>
    <col min="8443" max="8443" width="5.19921875" style="1605" customWidth="1"/>
    <col min="8444" max="8444" width="48.09765625" style="1605" customWidth="1"/>
    <col min="8445" max="8445" width="7.8984375" style="1605" customWidth="1"/>
    <col min="8446" max="8446" width="20.19921875" style="1605" customWidth="1"/>
    <col min="8447" max="8447" width="9" style="1605"/>
    <col min="8448" max="8448" width="17.59765625" style="1605" customWidth="1"/>
    <col min="8449" max="8698" width="9" style="1605"/>
    <col min="8699" max="8699" width="5.19921875" style="1605" customWidth="1"/>
    <col min="8700" max="8700" width="48.09765625" style="1605" customWidth="1"/>
    <col min="8701" max="8701" width="7.8984375" style="1605" customWidth="1"/>
    <col min="8702" max="8702" width="20.19921875" style="1605" customWidth="1"/>
    <col min="8703" max="8703" width="9" style="1605"/>
    <col min="8704" max="8704" width="17.59765625" style="1605" customWidth="1"/>
    <col min="8705" max="8954" width="9" style="1605"/>
    <col min="8955" max="8955" width="5.19921875" style="1605" customWidth="1"/>
    <col min="8956" max="8956" width="48.09765625" style="1605" customWidth="1"/>
    <col min="8957" max="8957" width="7.8984375" style="1605" customWidth="1"/>
    <col min="8958" max="8958" width="20.19921875" style="1605" customWidth="1"/>
    <col min="8959" max="8959" width="9" style="1605"/>
    <col min="8960" max="8960" width="17.59765625" style="1605" customWidth="1"/>
    <col min="8961" max="9210" width="9" style="1605"/>
    <col min="9211" max="9211" width="5.19921875" style="1605" customWidth="1"/>
    <col min="9212" max="9212" width="48.09765625" style="1605" customWidth="1"/>
    <col min="9213" max="9213" width="7.8984375" style="1605" customWidth="1"/>
    <col min="9214" max="9214" width="20.19921875" style="1605" customWidth="1"/>
    <col min="9215" max="9215" width="9" style="1605"/>
    <col min="9216" max="9216" width="17.59765625" style="1605" customWidth="1"/>
    <col min="9217" max="9466" width="9" style="1605"/>
    <col min="9467" max="9467" width="5.19921875" style="1605" customWidth="1"/>
    <col min="9468" max="9468" width="48.09765625" style="1605" customWidth="1"/>
    <col min="9469" max="9469" width="7.8984375" style="1605" customWidth="1"/>
    <col min="9470" max="9470" width="20.19921875" style="1605" customWidth="1"/>
    <col min="9471" max="9471" width="9" style="1605"/>
    <col min="9472" max="9472" width="17.59765625" style="1605" customWidth="1"/>
    <col min="9473" max="9722" width="9" style="1605"/>
    <col min="9723" max="9723" width="5.19921875" style="1605" customWidth="1"/>
    <col min="9724" max="9724" width="48.09765625" style="1605" customWidth="1"/>
    <col min="9725" max="9725" width="7.8984375" style="1605" customWidth="1"/>
    <col min="9726" max="9726" width="20.19921875" style="1605" customWidth="1"/>
    <col min="9727" max="9727" width="9" style="1605"/>
    <col min="9728" max="9728" width="17.59765625" style="1605" customWidth="1"/>
    <col min="9729" max="9978" width="9" style="1605"/>
    <col min="9979" max="9979" width="5.19921875" style="1605" customWidth="1"/>
    <col min="9980" max="9980" width="48.09765625" style="1605" customWidth="1"/>
    <col min="9981" max="9981" width="7.8984375" style="1605" customWidth="1"/>
    <col min="9982" max="9982" width="20.19921875" style="1605" customWidth="1"/>
    <col min="9983" max="9983" width="9" style="1605"/>
    <col min="9984" max="9984" width="17.59765625" style="1605" customWidth="1"/>
    <col min="9985" max="10234" width="9" style="1605"/>
    <col min="10235" max="10235" width="5.19921875" style="1605" customWidth="1"/>
    <col min="10236" max="10236" width="48.09765625" style="1605" customWidth="1"/>
    <col min="10237" max="10237" width="7.8984375" style="1605" customWidth="1"/>
    <col min="10238" max="10238" width="20.19921875" style="1605" customWidth="1"/>
    <col min="10239" max="10239" width="9" style="1605"/>
    <col min="10240" max="10240" width="17.59765625" style="1605" customWidth="1"/>
    <col min="10241" max="10490" width="9" style="1605"/>
    <col min="10491" max="10491" width="5.19921875" style="1605" customWidth="1"/>
    <col min="10492" max="10492" width="48.09765625" style="1605" customWidth="1"/>
    <col min="10493" max="10493" width="7.8984375" style="1605" customWidth="1"/>
    <col min="10494" max="10494" width="20.19921875" style="1605" customWidth="1"/>
    <col min="10495" max="10495" width="9" style="1605"/>
    <col min="10496" max="10496" width="17.59765625" style="1605" customWidth="1"/>
    <col min="10497" max="10746" width="9" style="1605"/>
    <col min="10747" max="10747" width="5.19921875" style="1605" customWidth="1"/>
    <col min="10748" max="10748" width="48.09765625" style="1605" customWidth="1"/>
    <col min="10749" max="10749" width="7.8984375" style="1605" customWidth="1"/>
    <col min="10750" max="10750" width="20.19921875" style="1605" customWidth="1"/>
    <col min="10751" max="10751" width="9" style="1605"/>
    <col min="10752" max="10752" width="17.59765625" style="1605" customWidth="1"/>
    <col min="10753" max="11002" width="9" style="1605"/>
    <col min="11003" max="11003" width="5.19921875" style="1605" customWidth="1"/>
    <col min="11004" max="11004" width="48.09765625" style="1605" customWidth="1"/>
    <col min="11005" max="11005" width="7.8984375" style="1605" customWidth="1"/>
    <col min="11006" max="11006" width="20.19921875" style="1605" customWidth="1"/>
    <col min="11007" max="11007" width="9" style="1605"/>
    <col min="11008" max="11008" width="17.59765625" style="1605" customWidth="1"/>
    <col min="11009" max="11258" width="9" style="1605"/>
    <col min="11259" max="11259" width="5.19921875" style="1605" customWidth="1"/>
    <col min="11260" max="11260" width="48.09765625" style="1605" customWidth="1"/>
    <col min="11261" max="11261" width="7.8984375" style="1605" customWidth="1"/>
    <col min="11262" max="11262" width="20.19921875" style="1605" customWidth="1"/>
    <col min="11263" max="11263" width="9" style="1605"/>
    <col min="11264" max="11264" width="17.59765625" style="1605" customWidth="1"/>
    <col min="11265" max="11514" width="9" style="1605"/>
    <col min="11515" max="11515" width="5.19921875" style="1605" customWidth="1"/>
    <col min="11516" max="11516" width="48.09765625" style="1605" customWidth="1"/>
    <col min="11517" max="11517" width="7.8984375" style="1605" customWidth="1"/>
    <col min="11518" max="11518" width="20.19921875" style="1605" customWidth="1"/>
    <col min="11519" max="11519" width="9" style="1605"/>
    <col min="11520" max="11520" width="17.59765625" style="1605" customWidth="1"/>
    <col min="11521" max="11770" width="9" style="1605"/>
    <col min="11771" max="11771" width="5.19921875" style="1605" customWidth="1"/>
    <col min="11772" max="11772" width="48.09765625" style="1605" customWidth="1"/>
    <col min="11773" max="11773" width="7.8984375" style="1605" customWidth="1"/>
    <col min="11774" max="11774" width="20.19921875" style="1605" customWidth="1"/>
    <col min="11775" max="11775" width="9" style="1605"/>
    <col min="11776" max="11776" width="17.59765625" style="1605" customWidth="1"/>
    <col min="11777" max="12026" width="9" style="1605"/>
    <col min="12027" max="12027" width="5.19921875" style="1605" customWidth="1"/>
    <col min="12028" max="12028" width="48.09765625" style="1605" customWidth="1"/>
    <col min="12029" max="12029" width="7.8984375" style="1605" customWidth="1"/>
    <col min="12030" max="12030" width="20.19921875" style="1605" customWidth="1"/>
    <col min="12031" max="12031" width="9" style="1605"/>
    <col min="12032" max="12032" width="17.59765625" style="1605" customWidth="1"/>
    <col min="12033" max="12282" width="9" style="1605"/>
    <col min="12283" max="12283" width="5.19921875" style="1605" customWidth="1"/>
    <col min="12284" max="12284" width="48.09765625" style="1605" customWidth="1"/>
    <col min="12285" max="12285" width="7.8984375" style="1605" customWidth="1"/>
    <col min="12286" max="12286" width="20.19921875" style="1605" customWidth="1"/>
    <col min="12287" max="12287" width="9" style="1605"/>
    <col min="12288" max="12288" width="17.59765625" style="1605" customWidth="1"/>
    <col min="12289" max="12538" width="9" style="1605"/>
    <col min="12539" max="12539" width="5.19921875" style="1605" customWidth="1"/>
    <col min="12540" max="12540" width="48.09765625" style="1605" customWidth="1"/>
    <col min="12541" max="12541" width="7.8984375" style="1605" customWidth="1"/>
    <col min="12542" max="12542" width="20.19921875" style="1605" customWidth="1"/>
    <col min="12543" max="12543" width="9" style="1605"/>
    <col min="12544" max="12544" width="17.59765625" style="1605" customWidth="1"/>
    <col min="12545" max="12794" width="9" style="1605"/>
    <col min="12795" max="12795" width="5.19921875" style="1605" customWidth="1"/>
    <col min="12796" max="12796" width="48.09765625" style="1605" customWidth="1"/>
    <col min="12797" max="12797" width="7.8984375" style="1605" customWidth="1"/>
    <col min="12798" max="12798" width="20.19921875" style="1605" customWidth="1"/>
    <col min="12799" max="12799" width="9" style="1605"/>
    <col min="12800" max="12800" width="17.59765625" style="1605" customWidth="1"/>
    <col min="12801" max="13050" width="9" style="1605"/>
    <col min="13051" max="13051" width="5.19921875" style="1605" customWidth="1"/>
    <col min="13052" max="13052" width="48.09765625" style="1605" customWidth="1"/>
    <col min="13053" max="13053" width="7.8984375" style="1605" customWidth="1"/>
    <col min="13054" max="13054" width="20.19921875" style="1605" customWidth="1"/>
    <col min="13055" max="13055" width="9" style="1605"/>
    <col min="13056" max="13056" width="17.59765625" style="1605" customWidth="1"/>
    <col min="13057" max="13306" width="9" style="1605"/>
    <col min="13307" max="13307" width="5.19921875" style="1605" customWidth="1"/>
    <col min="13308" max="13308" width="48.09765625" style="1605" customWidth="1"/>
    <col min="13309" max="13309" width="7.8984375" style="1605" customWidth="1"/>
    <col min="13310" max="13310" width="20.19921875" style="1605" customWidth="1"/>
    <col min="13311" max="13311" width="9" style="1605"/>
    <col min="13312" max="13312" width="17.59765625" style="1605" customWidth="1"/>
    <col min="13313" max="13562" width="9" style="1605"/>
    <col min="13563" max="13563" width="5.19921875" style="1605" customWidth="1"/>
    <col min="13564" max="13564" width="48.09765625" style="1605" customWidth="1"/>
    <col min="13565" max="13565" width="7.8984375" style="1605" customWidth="1"/>
    <col min="13566" max="13566" width="20.19921875" style="1605" customWidth="1"/>
    <col min="13567" max="13567" width="9" style="1605"/>
    <col min="13568" max="13568" width="17.59765625" style="1605" customWidth="1"/>
    <col min="13569" max="13818" width="9" style="1605"/>
    <col min="13819" max="13819" width="5.19921875" style="1605" customWidth="1"/>
    <col min="13820" max="13820" width="48.09765625" style="1605" customWidth="1"/>
    <col min="13821" max="13821" width="7.8984375" style="1605" customWidth="1"/>
    <col min="13822" max="13822" width="20.19921875" style="1605" customWidth="1"/>
    <col min="13823" max="13823" width="9" style="1605"/>
    <col min="13824" max="13824" width="17.59765625" style="1605" customWidth="1"/>
    <col min="13825" max="14074" width="9" style="1605"/>
    <col min="14075" max="14075" width="5.19921875" style="1605" customWidth="1"/>
    <col min="14076" max="14076" width="48.09765625" style="1605" customWidth="1"/>
    <col min="14077" max="14077" width="7.8984375" style="1605" customWidth="1"/>
    <col min="14078" max="14078" width="20.19921875" style="1605" customWidth="1"/>
    <col min="14079" max="14079" width="9" style="1605"/>
    <col min="14080" max="14080" width="17.59765625" style="1605" customWidth="1"/>
    <col min="14081" max="14330" width="9" style="1605"/>
    <col min="14331" max="14331" width="5.19921875" style="1605" customWidth="1"/>
    <col min="14332" max="14332" width="48.09765625" style="1605" customWidth="1"/>
    <col min="14333" max="14333" width="7.8984375" style="1605" customWidth="1"/>
    <col min="14334" max="14334" width="20.19921875" style="1605" customWidth="1"/>
    <col min="14335" max="14335" width="9" style="1605"/>
    <col min="14336" max="14336" width="17.59765625" style="1605" customWidth="1"/>
    <col min="14337" max="14586" width="9" style="1605"/>
    <col min="14587" max="14587" width="5.19921875" style="1605" customWidth="1"/>
    <col min="14588" max="14588" width="48.09765625" style="1605" customWidth="1"/>
    <col min="14589" max="14589" width="7.8984375" style="1605" customWidth="1"/>
    <col min="14590" max="14590" width="20.19921875" style="1605" customWidth="1"/>
    <col min="14591" max="14591" width="9" style="1605"/>
    <col min="14592" max="14592" width="17.59765625" style="1605" customWidth="1"/>
    <col min="14593" max="14842" width="9" style="1605"/>
    <col min="14843" max="14843" width="5.19921875" style="1605" customWidth="1"/>
    <col min="14844" max="14844" width="48.09765625" style="1605" customWidth="1"/>
    <col min="14845" max="14845" width="7.8984375" style="1605" customWidth="1"/>
    <col min="14846" max="14846" width="20.19921875" style="1605" customWidth="1"/>
    <col min="14847" max="14847" width="9" style="1605"/>
    <col min="14848" max="14848" width="17.59765625" style="1605" customWidth="1"/>
    <col min="14849" max="15098" width="9" style="1605"/>
    <col min="15099" max="15099" width="5.19921875" style="1605" customWidth="1"/>
    <col min="15100" max="15100" width="48.09765625" style="1605" customWidth="1"/>
    <col min="15101" max="15101" width="7.8984375" style="1605" customWidth="1"/>
    <col min="15102" max="15102" width="20.19921875" style="1605" customWidth="1"/>
    <col min="15103" max="15103" width="9" style="1605"/>
    <col min="15104" max="15104" width="17.59765625" style="1605" customWidth="1"/>
    <col min="15105" max="15354" width="9" style="1605"/>
    <col min="15355" max="15355" width="5.19921875" style="1605" customWidth="1"/>
    <col min="15356" max="15356" width="48.09765625" style="1605" customWidth="1"/>
    <col min="15357" max="15357" width="7.8984375" style="1605" customWidth="1"/>
    <col min="15358" max="15358" width="20.19921875" style="1605" customWidth="1"/>
    <col min="15359" max="15359" width="9" style="1605"/>
    <col min="15360" max="15360" width="17.59765625" style="1605" customWidth="1"/>
    <col min="15361" max="15610" width="9" style="1605"/>
    <col min="15611" max="15611" width="5.19921875" style="1605" customWidth="1"/>
    <col min="15612" max="15612" width="48.09765625" style="1605" customWidth="1"/>
    <col min="15613" max="15613" width="7.8984375" style="1605" customWidth="1"/>
    <col min="15614" max="15614" width="20.19921875" style="1605" customWidth="1"/>
    <col min="15615" max="15615" width="9" style="1605"/>
    <col min="15616" max="15616" width="17.59765625" style="1605" customWidth="1"/>
    <col min="15617" max="15866" width="9" style="1605"/>
    <col min="15867" max="15867" width="5.19921875" style="1605" customWidth="1"/>
    <col min="15868" max="15868" width="48.09765625" style="1605" customWidth="1"/>
    <col min="15869" max="15869" width="7.8984375" style="1605" customWidth="1"/>
    <col min="15870" max="15870" width="20.19921875" style="1605" customWidth="1"/>
    <col min="15871" max="15871" width="9" style="1605"/>
    <col min="15872" max="15872" width="17.59765625" style="1605" customWidth="1"/>
    <col min="15873" max="16122" width="9" style="1605"/>
    <col min="16123" max="16123" width="5.19921875" style="1605" customWidth="1"/>
    <col min="16124" max="16124" width="48.09765625" style="1605" customWidth="1"/>
    <col min="16125" max="16125" width="7.8984375" style="1605" customWidth="1"/>
    <col min="16126" max="16126" width="20.19921875" style="1605" customWidth="1"/>
    <col min="16127" max="16127" width="9" style="1605"/>
    <col min="16128" max="16128" width="17.59765625" style="1605" customWidth="1"/>
    <col min="16129" max="16384" width="9" style="1605"/>
  </cols>
  <sheetData>
    <row r="1" spans="1:11" s="1583" customFormat="1" ht="20.100000000000001" customHeight="1">
      <c r="A1" s="3460"/>
      <c r="B1" s="3460"/>
      <c r="C1" s="3460"/>
      <c r="D1" s="2169" t="str">
        <f>"索引号："&amp;档案索引!D13</f>
        <v>索引号：2B-8</v>
      </c>
      <c r="F1" s="2457" t="s">
        <v>7166</v>
      </c>
      <c r="G1" s="1603" t="s">
        <v>7152</v>
      </c>
      <c r="H1" s="1603" t="s">
        <v>7153</v>
      </c>
    </row>
    <row r="2" spans="1:11" s="1589" customFormat="1" ht="25.5" customHeight="1">
      <c r="A2" s="3401" t="s">
        <v>5939</v>
      </c>
      <c r="B2" s="3401"/>
      <c r="C2" s="3401"/>
      <c r="D2" s="1880"/>
      <c r="F2" s="1603">
        <f>截止月-起始月+1</f>
        <v>12</v>
      </c>
      <c r="G2" s="2452">
        <f>IF(F2=12,ROUND((社保明细工资人数!J8/2+社保明细工资人数!J11+社保明细工资人数!J14+社保明细工资人数!J17+社保明细工资人数!J20/2)/4,0),"请自行计算")</f>
        <v>0</v>
      </c>
      <c r="H2" s="2452">
        <f>IF(F2=12,ROUND((资产负债!C35/2+资产负债!I11+资产负债!I14+资产负债!I17+资产负债!D35/2)/4/10000,2),"请自行计算")</f>
        <v>0</v>
      </c>
    </row>
    <row r="3" spans="1:11" s="1603" customFormat="1" ht="14.25" customHeight="1">
      <c r="A3" s="1835" t="s">
        <v>1853</v>
      </c>
      <c r="B3" s="1835" t="s">
        <v>1627</v>
      </c>
      <c r="C3" s="1835" t="s">
        <v>5014</v>
      </c>
      <c r="D3" s="1872" t="s">
        <v>4899</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39">
        <v>1</v>
      </c>
      <c r="B4" s="1836" t="s">
        <v>6845</v>
      </c>
      <c r="C4" s="2458"/>
      <c r="D4" s="1896"/>
      <c r="F4" s="1604"/>
      <c r="G4" s="1604"/>
      <c r="H4" s="2451">
        <f ca="1">IF(H3&lt;&gt;"",IF('A100000中华人民共和国企业所得税年度纳税申报表（A类）'!D26&lt;=300000,ROUND('A100000中华人民共和国企业所得税年度纳税申报表（A类）'!D26*0.15,2),""))</f>
        <v>0</v>
      </c>
      <c r="I4" s="1604"/>
      <c r="J4" s="1604"/>
      <c r="K4" s="1604"/>
    </row>
    <row r="5" spans="1:11" s="1603" customFormat="1" ht="14.25" customHeight="1">
      <c r="A5" s="2239">
        <v>2</v>
      </c>
      <c r="B5" s="1836" t="s">
        <v>6846</v>
      </c>
      <c r="C5" s="2458"/>
      <c r="D5" s="1977"/>
      <c r="F5" s="1604"/>
      <c r="G5" s="1604"/>
      <c r="H5" s="2451">
        <f ca="1">IF(H3&lt;&gt;"",IF('A100000中华人民共和国企业所得税年度纳税申报表（A类）'!D26&lt;=300000,ROUND('A100000中华人民共和国企业所得税年度纳税申报表（A类）'!D26*0.15,2),""))</f>
        <v>0</v>
      </c>
      <c r="I5" s="1604"/>
      <c r="J5" s="1604"/>
      <c r="K5" s="1604"/>
    </row>
    <row r="6" spans="1:11" s="1603" customFormat="1" ht="14.25" customHeight="1">
      <c r="A6" s="2239">
        <v>3</v>
      </c>
      <c r="B6" s="1836" t="s">
        <v>6847</v>
      </c>
      <c r="C6" s="2240">
        <f>A107041高新技术企业优惠情况及明细表!D34</f>
        <v>0</v>
      </c>
      <c r="D6" s="1836"/>
      <c r="H6" s="3482" t="s">
        <v>7167</v>
      </c>
      <c r="I6" s="3482"/>
      <c r="J6" s="3482"/>
    </row>
    <row r="7" spans="1:11" s="1603" customFormat="1" ht="15" customHeight="1">
      <c r="A7" s="2286">
        <v>4</v>
      </c>
      <c r="B7" s="1881" t="s">
        <v>6848</v>
      </c>
      <c r="C7" s="2082"/>
      <c r="D7" s="2288" t="s">
        <v>6880</v>
      </c>
      <c r="H7" s="3482"/>
      <c r="I7" s="3482"/>
      <c r="J7" s="3482"/>
    </row>
    <row r="8" spans="1:11" s="1603" customFormat="1" ht="14.25" customHeight="1">
      <c r="A8" s="2239">
        <v>5</v>
      </c>
      <c r="B8" s="1836" t="s">
        <v>6849</v>
      </c>
      <c r="C8" s="2238"/>
      <c r="D8" s="2288" t="s">
        <v>6880</v>
      </c>
    </row>
    <row r="9" spans="1:11" s="1603" customFormat="1" ht="14.25" customHeight="1">
      <c r="A9" s="2239">
        <v>6</v>
      </c>
      <c r="B9" s="1836" t="s">
        <v>6850</v>
      </c>
      <c r="C9" s="2075">
        <f>C10+C14+C18+C22+SUM(C26:C29)+C32+SUM(C35:C50)</f>
        <v>0</v>
      </c>
      <c r="D9" s="1836"/>
    </row>
    <row r="10" spans="1:11" s="1603" customFormat="1" ht="14.25" customHeight="1">
      <c r="A10" s="2239">
        <v>7</v>
      </c>
      <c r="B10" s="1836" t="s">
        <v>6851</v>
      </c>
      <c r="C10" s="2075">
        <f>C11+C12+C13</f>
        <v>0</v>
      </c>
      <c r="D10" s="1836"/>
    </row>
    <row r="11" spans="1:11" s="1603" customFormat="1" ht="14.25" customHeight="1">
      <c r="A11" s="2239">
        <v>7.1</v>
      </c>
      <c r="B11" s="1836" t="s">
        <v>6879</v>
      </c>
      <c r="C11" s="2238"/>
      <c r="D11" s="1836"/>
    </row>
    <row r="12" spans="1:11" s="1603" customFormat="1" ht="14.25" customHeight="1">
      <c r="A12" s="2239">
        <v>7.2</v>
      </c>
      <c r="B12" s="2287" t="s">
        <v>6878</v>
      </c>
      <c r="C12" s="2238"/>
      <c r="D12" s="1836"/>
    </row>
    <row r="13" spans="1:11" s="1603" customFormat="1" ht="14.25" customHeight="1">
      <c r="A13" s="2239">
        <v>7.3</v>
      </c>
      <c r="B13" s="2287" t="s">
        <v>6877</v>
      </c>
      <c r="C13" s="2238"/>
      <c r="D13" s="1836"/>
    </row>
    <row r="14" spans="1:11" s="1603" customFormat="1" ht="14.25" customHeight="1">
      <c r="A14" s="2239">
        <v>8</v>
      </c>
      <c r="B14" s="1836" t="s">
        <v>6852</v>
      </c>
      <c r="C14" s="2075">
        <f>C15+C16+C17</f>
        <v>0</v>
      </c>
      <c r="D14" s="1836"/>
    </row>
    <row r="15" spans="1:11" s="1603" customFormat="1" ht="14.25" customHeight="1">
      <c r="A15" s="2239">
        <v>8.1</v>
      </c>
      <c r="B15" s="1836" t="s">
        <v>6879</v>
      </c>
      <c r="C15" s="2238"/>
      <c r="D15" s="1836"/>
    </row>
    <row r="16" spans="1:11" s="1603" customFormat="1" ht="14.25" customHeight="1">
      <c r="A16" s="2239">
        <v>8.1999999999999993</v>
      </c>
      <c r="B16" s="2287" t="s">
        <v>6878</v>
      </c>
      <c r="C16" s="2238"/>
      <c r="D16" s="1836"/>
    </row>
    <row r="17" spans="1:4" s="1603" customFormat="1" ht="14.25" customHeight="1">
      <c r="A17" s="2239">
        <v>8.3000000000000007</v>
      </c>
      <c r="B17" s="2287" t="s">
        <v>6877</v>
      </c>
      <c r="C17" s="2238"/>
      <c r="D17" s="1836"/>
    </row>
    <row r="18" spans="1:4" s="1603" customFormat="1" ht="14.25" customHeight="1">
      <c r="A18" s="2239">
        <v>9</v>
      </c>
      <c r="B18" s="1836" t="s">
        <v>6853</v>
      </c>
      <c r="C18" s="2075">
        <f>C19+C20+C21</f>
        <v>0</v>
      </c>
      <c r="D18" s="1836"/>
    </row>
    <row r="19" spans="1:4" s="1603" customFormat="1" ht="14.25" customHeight="1">
      <c r="A19" s="2239">
        <v>9.1</v>
      </c>
      <c r="B19" s="1836" t="s">
        <v>6881</v>
      </c>
      <c r="C19" s="2238"/>
      <c r="D19" s="1836"/>
    </row>
    <row r="20" spans="1:4" s="1603" customFormat="1" ht="14.25" customHeight="1">
      <c r="A20" s="2239">
        <v>9.1999999999999993</v>
      </c>
      <c r="B20" s="2287" t="s">
        <v>6878</v>
      </c>
      <c r="C20" s="2238"/>
      <c r="D20" s="1836"/>
    </row>
    <row r="21" spans="1:4" s="1603" customFormat="1" ht="14.25" customHeight="1">
      <c r="A21" s="2239">
        <v>9.3000000000000007</v>
      </c>
      <c r="B21" s="2287" t="s">
        <v>6877</v>
      </c>
      <c r="C21" s="2238"/>
      <c r="D21" s="1836"/>
    </row>
    <row r="22" spans="1:4" s="1603" customFormat="1" ht="14.25" customHeight="1">
      <c r="A22" s="2239">
        <v>10</v>
      </c>
      <c r="B22" s="1836" t="s">
        <v>6854</v>
      </c>
      <c r="C22" s="2075">
        <f>C23+C24+C25</f>
        <v>0</v>
      </c>
      <c r="D22" s="1836"/>
    </row>
    <row r="23" spans="1:4" s="1603" customFormat="1" ht="14.25" customHeight="1">
      <c r="A23" s="2239">
        <v>10.1</v>
      </c>
      <c r="B23" s="1836" t="s">
        <v>6882</v>
      </c>
      <c r="C23" s="2238"/>
      <c r="D23" s="1836"/>
    </row>
    <row r="24" spans="1:4" s="1603" customFormat="1" ht="14.25" customHeight="1">
      <c r="A24" s="2239">
        <v>10.199999999999999</v>
      </c>
      <c r="B24" s="1836" t="s">
        <v>6855</v>
      </c>
      <c r="C24" s="2238"/>
      <c r="D24" s="1836"/>
    </row>
    <row r="25" spans="1:4" s="1603" customFormat="1" ht="14.25" customHeight="1">
      <c r="A25" s="2239">
        <v>10.3</v>
      </c>
      <c r="B25" s="1836" t="s">
        <v>6856</v>
      </c>
      <c r="C25" s="2238"/>
      <c r="D25" s="1836"/>
    </row>
    <row r="26" spans="1:4" s="1603" customFormat="1" ht="14.25" customHeight="1">
      <c r="A26" s="2239">
        <v>11</v>
      </c>
      <c r="B26" s="1836" t="s">
        <v>6857</v>
      </c>
      <c r="C26" s="2238"/>
      <c r="D26" s="1836"/>
    </row>
    <row r="27" spans="1:4" s="1603" customFormat="1" ht="14.25" customHeight="1">
      <c r="A27" s="2239">
        <v>12</v>
      </c>
      <c r="B27" s="1836" t="s">
        <v>6858</v>
      </c>
      <c r="C27" s="2238"/>
      <c r="D27" s="1836"/>
    </row>
    <row r="28" spans="1:4" s="1603" customFormat="1" ht="14.25" customHeight="1">
      <c r="A28" s="2239">
        <v>13</v>
      </c>
      <c r="B28" s="1836" t="s">
        <v>6859</v>
      </c>
      <c r="C28" s="2238"/>
      <c r="D28" s="1836"/>
    </row>
    <row r="29" spans="1:4" s="1603" customFormat="1" ht="14.25" customHeight="1">
      <c r="A29" s="2239">
        <v>14</v>
      </c>
      <c r="B29" s="1836" t="s">
        <v>6860</v>
      </c>
      <c r="C29" s="2075">
        <f>C30+C31+C32</f>
        <v>0</v>
      </c>
      <c r="D29" s="1836"/>
    </row>
    <row r="30" spans="1:4" s="1603" customFormat="1" ht="14.25" customHeight="1">
      <c r="A30" s="2239">
        <v>14.1</v>
      </c>
      <c r="B30" s="1836" t="s">
        <v>6883</v>
      </c>
      <c r="C30" s="2238"/>
      <c r="D30" s="1836"/>
    </row>
    <row r="31" spans="1:4" s="1603" customFormat="1" ht="14.25" customHeight="1">
      <c r="A31" s="2239">
        <v>14.2</v>
      </c>
      <c r="B31" s="1836" t="s">
        <v>6884</v>
      </c>
      <c r="C31" s="2238"/>
      <c r="D31" s="1836"/>
    </row>
    <row r="32" spans="1:4" s="1603" customFormat="1" ht="14.25" customHeight="1">
      <c r="A32" s="2239">
        <v>15</v>
      </c>
      <c r="B32" s="1836" t="s">
        <v>6861</v>
      </c>
      <c r="C32" s="2075">
        <f>C33+C34+C35</f>
        <v>0</v>
      </c>
      <c r="D32" s="1836"/>
    </row>
    <row r="33" spans="1:5" s="1603" customFormat="1" ht="14.25" customHeight="1">
      <c r="A33" s="2239">
        <v>15.1</v>
      </c>
      <c r="B33" s="1836" t="s">
        <v>6885</v>
      </c>
      <c r="C33" s="2238"/>
      <c r="D33" s="1836"/>
    </row>
    <row r="34" spans="1:5" s="1603" customFormat="1" ht="14.25" customHeight="1">
      <c r="A34" s="2239">
        <v>15.2</v>
      </c>
      <c r="B34" s="1836" t="s">
        <v>6886</v>
      </c>
      <c r="C34" s="2238"/>
      <c r="D34" s="1836"/>
    </row>
    <row r="35" spans="1:5" s="1603" customFormat="1" ht="14.25" customHeight="1">
      <c r="A35" s="2239">
        <v>16</v>
      </c>
      <c r="B35" s="1836" t="s">
        <v>6862</v>
      </c>
      <c r="C35" s="2240">
        <f>软件、集成电路企业优惠情况审核表!E45</f>
        <v>0</v>
      </c>
      <c r="D35" s="1836"/>
    </row>
    <row r="36" spans="1:5" s="1603" customFormat="1" ht="14.25" customHeight="1">
      <c r="A36" s="2239">
        <v>17</v>
      </c>
      <c r="B36" s="1836" t="s">
        <v>6863</v>
      </c>
      <c r="C36" s="2238"/>
      <c r="D36" s="1836"/>
    </row>
    <row r="37" spans="1:5" s="1603" customFormat="1" ht="14.25" customHeight="1">
      <c r="A37" s="2239">
        <v>18</v>
      </c>
      <c r="B37" s="1836" t="s">
        <v>6864</v>
      </c>
      <c r="C37" s="2238"/>
      <c r="D37" s="1836"/>
    </row>
    <row r="38" spans="1:5" s="1603" customFormat="1" ht="14.25" customHeight="1">
      <c r="A38" s="2239">
        <v>19</v>
      </c>
      <c r="B38" s="1836" t="s">
        <v>6865</v>
      </c>
      <c r="C38" s="2238"/>
      <c r="D38" s="1836"/>
    </row>
    <row r="39" spans="1:5" s="1603" customFormat="1" ht="14.25" customHeight="1">
      <c r="A39" s="2239">
        <v>20</v>
      </c>
      <c r="B39" s="1836" t="s">
        <v>6866</v>
      </c>
      <c r="C39" s="2238"/>
      <c r="D39" s="1836"/>
    </row>
    <row r="40" spans="1:5" s="1603" customFormat="1" ht="14.25" customHeight="1">
      <c r="A40" s="2239">
        <v>21</v>
      </c>
      <c r="B40" s="1836" t="s">
        <v>6867</v>
      </c>
      <c r="C40" s="2238"/>
      <c r="D40" s="1836"/>
    </row>
    <row r="41" spans="1:5" s="1603" customFormat="1" ht="14.25" customHeight="1">
      <c r="A41" s="2239">
        <v>22</v>
      </c>
      <c r="B41" s="1836" t="s">
        <v>6868</v>
      </c>
      <c r="C41" s="2238"/>
      <c r="D41" s="1836"/>
    </row>
    <row r="42" spans="1:5" s="1603" customFormat="1" ht="14.25" customHeight="1">
      <c r="A42" s="2239">
        <v>23</v>
      </c>
      <c r="B42" s="1836" t="s">
        <v>6869</v>
      </c>
      <c r="C42" s="2238"/>
      <c r="D42" s="1836"/>
    </row>
    <row r="43" spans="1:5" s="1603" customFormat="1" ht="14.25" customHeight="1">
      <c r="A43" s="2239">
        <v>24</v>
      </c>
      <c r="B43" s="1836" t="s">
        <v>5668</v>
      </c>
      <c r="C43" s="2076"/>
      <c r="D43" s="1836"/>
    </row>
    <row r="44" spans="1:5" s="1603" customFormat="1" ht="14.25" customHeight="1">
      <c r="A44" s="2239">
        <v>25</v>
      </c>
      <c r="B44" s="1836" t="s">
        <v>6870</v>
      </c>
      <c r="C44" s="2076"/>
      <c r="D44" s="1836"/>
    </row>
    <row r="45" spans="1:5" s="1603" customFormat="1" ht="14.25" customHeight="1">
      <c r="A45" s="2239">
        <v>26</v>
      </c>
      <c r="B45" s="1836" t="s">
        <v>6871</v>
      </c>
      <c r="C45" s="2076"/>
      <c r="D45" s="1836"/>
    </row>
    <row r="46" spans="1:5" s="1603" customFormat="1" ht="14.25" customHeight="1">
      <c r="A46" s="2239">
        <v>27</v>
      </c>
      <c r="B46" s="1836" t="s">
        <v>6872</v>
      </c>
      <c r="C46" s="2076"/>
      <c r="D46" s="1836"/>
      <c r="E46" s="1770" t="s">
        <v>6468</v>
      </c>
    </row>
    <row r="47" spans="1:5" s="1603" customFormat="1" ht="14.25" customHeight="1">
      <c r="A47" s="2239">
        <v>28</v>
      </c>
      <c r="B47" s="1836" t="s">
        <v>6873</v>
      </c>
      <c r="C47" s="2076"/>
      <c r="D47" s="1836"/>
    </row>
    <row r="48" spans="1:5" s="1603" customFormat="1" ht="14.25" customHeight="1">
      <c r="A48" s="2239">
        <v>29</v>
      </c>
      <c r="B48" s="1836" t="s">
        <v>6887</v>
      </c>
      <c r="C48" s="2076"/>
      <c r="D48" s="1836"/>
    </row>
    <row r="49" spans="1:4" s="1603" customFormat="1" ht="14.25" customHeight="1">
      <c r="A49" s="2239">
        <v>30</v>
      </c>
      <c r="B49" s="1836" t="s">
        <v>6888</v>
      </c>
      <c r="C49" s="2076"/>
      <c r="D49" s="1836"/>
    </row>
    <row r="50" spans="1:4" s="1603" customFormat="1" ht="14.25" customHeight="1">
      <c r="A50" s="2239">
        <v>31</v>
      </c>
      <c r="B50" s="1836" t="s">
        <v>6889</v>
      </c>
      <c r="C50" s="2076"/>
      <c r="D50" s="1836"/>
    </row>
    <row r="51" spans="1:4" s="1603" customFormat="1" ht="14.25" customHeight="1">
      <c r="A51" s="2239">
        <v>32</v>
      </c>
      <c r="B51" s="1836" t="s">
        <v>6874</v>
      </c>
      <c r="C51" s="2076"/>
      <c r="D51" s="1836"/>
    </row>
    <row r="52" spans="1:4" s="1603" customFormat="1" ht="14.25" customHeight="1">
      <c r="A52" s="2239">
        <v>33</v>
      </c>
      <c r="B52" s="1836" t="s">
        <v>6875</v>
      </c>
      <c r="C52" s="2076"/>
      <c r="D52" s="1836"/>
    </row>
    <row r="53" spans="1:4" s="1603" customFormat="1" ht="14.25" customHeight="1">
      <c r="A53" s="2239">
        <v>34</v>
      </c>
      <c r="B53" s="1836" t="s">
        <v>6876</v>
      </c>
      <c r="C53" s="2075">
        <f>C4+C6+C9-C51+C52</f>
        <v>0</v>
      </c>
      <c r="D53" s="2291" t="s">
        <v>6892</v>
      </c>
    </row>
    <row r="54" spans="1:4">
      <c r="A54" s="3483"/>
      <c r="B54" s="3483"/>
      <c r="C54" s="3483"/>
      <c r="D54" s="2429"/>
    </row>
    <row r="55" spans="1:4">
      <c r="A55" s="3484" t="s">
        <v>7046</v>
      </c>
      <c r="B55" s="3484"/>
      <c r="C55" s="3484"/>
      <c r="D55" s="3484"/>
    </row>
    <row r="56" spans="1:4">
      <c r="A56" s="2430"/>
      <c r="B56" s="2430"/>
      <c r="C56" s="2430"/>
      <c r="D56" s="2430"/>
    </row>
    <row r="57" spans="1:4">
      <c r="A57" s="3479" t="s">
        <v>7047</v>
      </c>
      <c r="B57" s="3479"/>
      <c r="C57" s="3479"/>
      <c r="D57" s="3479"/>
    </row>
    <row r="58" spans="1:4">
      <c r="A58" s="3479" t="s">
        <v>7048</v>
      </c>
      <c r="B58" s="3479"/>
      <c r="C58" s="3479"/>
      <c r="D58" s="3479"/>
    </row>
    <row r="59" spans="1:4">
      <c r="A59" s="3479" t="s">
        <v>7049</v>
      </c>
      <c r="B59" s="3479"/>
      <c r="C59" s="3479"/>
      <c r="D59" s="3479"/>
    </row>
    <row r="60" spans="1:4">
      <c r="A60" s="3479" t="s">
        <v>7050</v>
      </c>
      <c r="B60" s="3479"/>
      <c r="C60" s="3479"/>
      <c r="D60" s="3479"/>
    </row>
    <row r="61" spans="1:4">
      <c r="A61" s="3479" t="s">
        <v>7051</v>
      </c>
      <c r="B61" s="3479"/>
      <c r="C61" s="3479"/>
      <c r="D61" s="3479"/>
    </row>
    <row r="62" spans="1:4">
      <c r="A62" s="3479" t="s">
        <v>7052</v>
      </c>
      <c r="B62" s="3479"/>
      <c r="C62" s="3479"/>
      <c r="D62" s="3479"/>
    </row>
    <row r="63" spans="1:4">
      <c r="A63" s="3479" t="s">
        <v>7053</v>
      </c>
      <c r="B63" s="3479"/>
      <c r="C63" s="3479"/>
      <c r="D63" s="3479"/>
    </row>
    <row r="64" spans="1:4">
      <c r="A64" s="3479" t="s">
        <v>7054</v>
      </c>
      <c r="B64" s="3479"/>
      <c r="C64" s="3479"/>
      <c r="D64" s="3479"/>
    </row>
    <row r="65" spans="1:4">
      <c r="A65" s="3479" t="s">
        <v>7052</v>
      </c>
      <c r="B65" s="3479"/>
      <c r="C65" s="3479"/>
      <c r="D65" s="3479"/>
    </row>
    <row r="66" spans="1:4">
      <c r="A66" s="3479" t="s">
        <v>7055</v>
      </c>
      <c r="B66" s="3479"/>
      <c r="C66" s="3479"/>
      <c r="D66" s="3479"/>
    </row>
    <row r="67" spans="1:4">
      <c r="A67" s="3479" t="s">
        <v>7056</v>
      </c>
      <c r="B67" s="3479"/>
      <c r="C67" s="3479"/>
      <c r="D67" s="3479"/>
    </row>
    <row r="68" spans="1:4">
      <c r="A68" s="3479" t="s">
        <v>7057</v>
      </c>
      <c r="B68" s="3479"/>
      <c r="C68" s="3479"/>
      <c r="D68" s="3479"/>
    </row>
    <row r="69" spans="1:4">
      <c r="A69" s="3479" t="s">
        <v>7058</v>
      </c>
      <c r="B69" s="3479"/>
      <c r="C69" s="3479"/>
      <c r="D69" s="3479"/>
    </row>
    <row r="70" spans="1:4">
      <c r="A70" s="3479" t="s">
        <v>7059</v>
      </c>
      <c r="B70" s="3479"/>
      <c r="C70" s="3479"/>
      <c r="D70" s="3479"/>
    </row>
    <row r="71" spans="1:4">
      <c r="A71" s="3479" t="s">
        <v>7060</v>
      </c>
      <c r="B71" s="3479"/>
      <c r="C71" s="3479"/>
      <c r="D71" s="3479"/>
    </row>
    <row r="72" spans="1:4">
      <c r="A72" s="3479" t="s">
        <v>7061</v>
      </c>
      <c r="B72" s="3479"/>
      <c r="C72" s="3479"/>
      <c r="D72" s="3479"/>
    </row>
    <row r="73" spans="1:4" ht="16.2" thickBot="1">
      <c r="A73" s="3479" t="s">
        <v>7062</v>
      </c>
      <c r="B73" s="3479"/>
      <c r="C73" s="3479"/>
      <c r="D73" s="3479"/>
    </row>
    <row r="74" spans="1:4" ht="16.8" thickTop="1" thickBot="1">
      <c r="A74" s="2431"/>
      <c r="B74" s="2432"/>
      <c r="C74" s="3480" t="s">
        <v>1148</v>
      </c>
      <c r="D74" s="3481"/>
    </row>
    <row r="75" spans="1:4" ht="16.2" thickBot="1">
      <c r="A75" s="2431"/>
      <c r="B75" s="2433" t="s">
        <v>7063</v>
      </c>
      <c r="C75" s="2434" t="s">
        <v>7064</v>
      </c>
      <c r="D75" s="2435" t="s">
        <v>7065</v>
      </c>
    </row>
    <row r="76" spans="1:4" ht="16.2" thickBot="1">
      <c r="A76" s="2431"/>
      <c r="B76" s="2433" t="s">
        <v>7066</v>
      </c>
      <c r="C76" s="2436">
        <v>7.4999999999999997E-2</v>
      </c>
      <c r="D76" s="2437">
        <v>3.7499999999999999E-2</v>
      </c>
    </row>
    <row r="77" spans="1:4" ht="16.2" thickBot="1">
      <c r="A77" s="2431"/>
      <c r="B77" s="2438" t="s">
        <v>7067</v>
      </c>
      <c r="C77" s="2436">
        <v>7.7299999999999994E-2</v>
      </c>
      <c r="D77" s="2437">
        <v>4.0899999999999999E-2</v>
      </c>
    </row>
    <row r="78" spans="1:4" ht="16.2" thickBot="1">
      <c r="A78" s="2431"/>
      <c r="B78" s="2438" t="s">
        <v>7068</v>
      </c>
      <c r="C78" s="2436">
        <v>0.08</v>
      </c>
      <c r="D78" s="2437">
        <v>4.4999999999999998E-2</v>
      </c>
    </row>
    <row r="79" spans="1:4" ht="16.2" thickBot="1">
      <c r="A79" s="2431"/>
      <c r="B79" s="2438" t="s">
        <v>7069</v>
      </c>
      <c r="C79" s="2436">
        <v>8.3299999999999999E-2</v>
      </c>
      <c r="D79" s="2437">
        <v>0.05</v>
      </c>
    </row>
    <row r="80" spans="1:4" ht="16.2" thickBot="1">
      <c r="A80" s="2431"/>
      <c r="B80" s="2438" t="s">
        <v>7070</v>
      </c>
      <c r="C80" s="2436">
        <v>8.7499999999999994E-2</v>
      </c>
      <c r="D80" s="2437">
        <v>5.6300000000000003E-2</v>
      </c>
    </row>
    <row r="81" spans="1:4" ht="16.2" thickBot="1">
      <c r="A81" s="2431"/>
      <c r="B81" s="2438" t="s">
        <v>7071</v>
      </c>
      <c r="C81" s="2436">
        <v>9.2899999999999996E-2</v>
      </c>
      <c r="D81" s="2437">
        <v>6.4299999999999996E-2</v>
      </c>
    </row>
    <row r="82" spans="1:4" ht="16.2" thickBot="1">
      <c r="A82" s="2431"/>
      <c r="B82" s="2438" t="s">
        <v>7072</v>
      </c>
      <c r="C82" s="2436">
        <v>0.1</v>
      </c>
      <c r="D82" s="2437">
        <v>7.4999999999999997E-2</v>
      </c>
    </row>
    <row r="83" spans="1:4" ht="16.2" thickBot="1">
      <c r="A83" s="2431"/>
      <c r="B83" s="2438" t="s">
        <v>7073</v>
      </c>
      <c r="C83" s="2436">
        <v>0.11</v>
      </c>
      <c r="D83" s="2437">
        <v>0.09</v>
      </c>
    </row>
    <row r="84" spans="1:4" ht="16.2" thickBot="1">
      <c r="A84" s="2431"/>
      <c r="B84" s="2438" t="s">
        <v>7074</v>
      </c>
      <c r="C84" s="2436">
        <v>0.125</v>
      </c>
      <c r="D84" s="2437">
        <v>0.1125</v>
      </c>
    </row>
    <row r="85" spans="1:4" ht="16.2" thickBot="1">
      <c r="A85" s="2431"/>
      <c r="B85" s="2438" t="s">
        <v>7075</v>
      </c>
      <c r="C85" s="2436">
        <v>0.15</v>
      </c>
      <c r="D85" s="2439">
        <v>0.15</v>
      </c>
    </row>
    <row r="86" spans="1:4" ht="16.2" thickBot="1">
      <c r="A86" s="2431"/>
      <c r="B86" s="2438" t="s">
        <v>7076</v>
      </c>
      <c r="C86" s="2436">
        <v>0.15</v>
      </c>
      <c r="D86" s="2439">
        <v>0.15</v>
      </c>
    </row>
    <row r="87" spans="1:4" ht="16.2" thickBot="1">
      <c r="A87" s="2431"/>
      <c r="B87" s="2440" t="s">
        <v>7077</v>
      </c>
      <c r="C87" s="2441">
        <v>0.15</v>
      </c>
      <c r="D87" s="2442">
        <v>0.15</v>
      </c>
    </row>
    <row r="88" spans="1:4" ht="16.2" thickTop="1">
      <c r="A88" s="3479" t="s">
        <v>7078</v>
      </c>
      <c r="B88" s="3479"/>
      <c r="C88" s="3479"/>
      <c r="D88" s="3479"/>
    </row>
    <row r="89" spans="1:4">
      <c r="A89" s="3479" t="s">
        <v>7079</v>
      </c>
      <c r="B89" s="3479"/>
      <c r="C89" s="3479"/>
      <c r="D89" s="3479"/>
    </row>
    <row r="90" spans="1:4">
      <c r="A90" s="3479" t="s">
        <v>7080</v>
      </c>
      <c r="B90" s="3479"/>
      <c r="C90" s="3479"/>
      <c r="D90" s="3479"/>
    </row>
    <row r="91" spans="1:4">
      <c r="A91" s="3479" t="s">
        <v>7081</v>
      </c>
      <c r="B91" s="3479"/>
      <c r="C91" s="3479"/>
      <c r="D91" s="3479"/>
    </row>
    <row r="92" spans="1:4">
      <c r="A92" s="3479" t="s">
        <v>7082</v>
      </c>
      <c r="B92" s="3479"/>
      <c r="C92" s="3479"/>
      <c r="D92" s="3479"/>
    </row>
    <row r="93" spans="1:4">
      <c r="A93" s="3479" t="s">
        <v>7083</v>
      </c>
      <c r="B93" s="3479"/>
      <c r="C93" s="3479"/>
      <c r="D93" s="3479"/>
    </row>
    <row r="94" spans="1:4">
      <c r="A94" s="3479" t="s">
        <v>7084</v>
      </c>
      <c r="B94" s="3479"/>
      <c r="C94" s="3479"/>
      <c r="D94" s="3479"/>
    </row>
    <row r="95" spans="1:4">
      <c r="A95" s="3479" t="s">
        <v>7085</v>
      </c>
      <c r="B95" s="3479"/>
      <c r="C95" s="3479"/>
      <c r="D95" s="3479"/>
    </row>
    <row r="96" spans="1:4">
      <c r="A96" s="3479" t="s">
        <v>7086</v>
      </c>
      <c r="B96" s="3479"/>
      <c r="C96" s="3479"/>
      <c r="D96" s="3479"/>
    </row>
    <row r="97" spans="1:4">
      <c r="A97" s="3479" t="s">
        <v>7087</v>
      </c>
      <c r="B97" s="3479"/>
      <c r="C97" s="3479"/>
      <c r="D97" s="3479"/>
    </row>
    <row r="98" spans="1:4">
      <c r="A98" s="3479" t="s">
        <v>7088</v>
      </c>
      <c r="B98" s="3479"/>
      <c r="C98" s="3479"/>
      <c r="D98" s="3479"/>
    </row>
    <row r="99" spans="1:4">
      <c r="A99" s="3479" t="s">
        <v>7089</v>
      </c>
      <c r="B99" s="3479"/>
      <c r="C99" s="3479"/>
      <c r="D99" s="3479"/>
    </row>
    <row r="100" spans="1:4">
      <c r="A100" s="3479" t="s">
        <v>7090</v>
      </c>
      <c r="B100" s="3479"/>
      <c r="C100" s="3479"/>
      <c r="D100" s="3479"/>
    </row>
    <row r="101" spans="1:4">
      <c r="A101" s="3479" t="s">
        <v>7091</v>
      </c>
      <c r="B101" s="3479"/>
      <c r="C101" s="3479"/>
      <c r="D101" s="3479"/>
    </row>
    <row r="102" spans="1:4">
      <c r="A102" s="3479" t="s">
        <v>7092</v>
      </c>
      <c r="B102" s="3479"/>
      <c r="C102" s="3479"/>
      <c r="D102" s="3479"/>
    </row>
    <row r="103" spans="1:4">
      <c r="A103" s="3479" t="s">
        <v>7093</v>
      </c>
      <c r="B103" s="3479"/>
      <c r="C103" s="3479"/>
      <c r="D103" s="3479"/>
    </row>
    <row r="104" spans="1:4">
      <c r="A104" s="3479" t="s">
        <v>7094</v>
      </c>
      <c r="B104" s="3479"/>
      <c r="C104" s="3479"/>
      <c r="D104" s="3479"/>
    </row>
    <row r="105" spans="1:4">
      <c r="A105" s="3479" t="s">
        <v>7095</v>
      </c>
      <c r="B105" s="3479"/>
      <c r="C105" s="3479"/>
      <c r="D105" s="3479"/>
    </row>
    <row r="106" spans="1:4">
      <c r="A106" s="3479" t="s">
        <v>7096</v>
      </c>
      <c r="B106" s="3479"/>
      <c r="C106" s="3479"/>
      <c r="D106" s="3479"/>
    </row>
    <row r="107" spans="1:4">
      <c r="A107" s="3479" t="s">
        <v>7097</v>
      </c>
      <c r="B107" s="3479"/>
      <c r="C107" s="3479"/>
      <c r="D107" s="3479"/>
    </row>
    <row r="108" spans="1:4">
      <c r="A108" s="3479" t="s">
        <v>7098</v>
      </c>
      <c r="B108" s="3479"/>
      <c r="C108" s="3479"/>
      <c r="D108" s="3479"/>
    </row>
    <row r="109" spans="1:4">
      <c r="A109" s="3479" t="s">
        <v>7099</v>
      </c>
      <c r="B109" s="3479"/>
      <c r="C109" s="3479"/>
      <c r="D109" s="3479"/>
    </row>
    <row r="110" spans="1:4">
      <c r="A110" s="3479" t="s">
        <v>7100</v>
      </c>
      <c r="B110" s="3479"/>
      <c r="C110" s="3479"/>
      <c r="D110" s="3479"/>
    </row>
    <row r="111" spans="1:4">
      <c r="A111" s="3479" t="s">
        <v>7101</v>
      </c>
      <c r="B111" s="3479"/>
      <c r="C111" s="3479"/>
      <c r="D111" s="3479"/>
    </row>
    <row r="112" spans="1:4">
      <c r="A112" s="3479" t="s">
        <v>7102</v>
      </c>
      <c r="B112" s="3479"/>
      <c r="C112" s="3479"/>
      <c r="D112" s="3479"/>
    </row>
    <row r="113" spans="1:4">
      <c r="A113" s="3479" t="s">
        <v>7103</v>
      </c>
      <c r="B113" s="3479"/>
      <c r="C113" s="3479"/>
      <c r="D113" s="3479"/>
    </row>
    <row r="114" spans="1:4">
      <c r="A114" s="3479" t="s">
        <v>7104</v>
      </c>
      <c r="B114" s="3479"/>
      <c r="C114" s="3479"/>
      <c r="D114" s="3479"/>
    </row>
    <row r="115" spans="1:4">
      <c r="A115" s="3479" t="s">
        <v>7105</v>
      </c>
      <c r="B115" s="3479"/>
      <c r="C115" s="3479"/>
      <c r="D115" s="3479"/>
    </row>
    <row r="116" spans="1:4">
      <c r="A116" s="3479" t="s">
        <v>7106</v>
      </c>
      <c r="B116" s="3479"/>
      <c r="C116" s="3479"/>
      <c r="D116" s="3479"/>
    </row>
    <row r="117" spans="1:4">
      <c r="A117" s="3479" t="s">
        <v>7107</v>
      </c>
      <c r="B117" s="3479"/>
      <c r="C117" s="3479"/>
      <c r="D117" s="3479"/>
    </row>
    <row r="118" spans="1:4">
      <c r="A118" s="3479" t="s">
        <v>7108</v>
      </c>
      <c r="B118" s="3479"/>
      <c r="C118" s="3479"/>
      <c r="D118" s="3479"/>
    </row>
    <row r="119" spans="1:4">
      <c r="A119" s="3479" t="s">
        <v>7109</v>
      </c>
      <c r="B119" s="3479"/>
      <c r="C119" s="3479"/>
      <c r="D119" s="3479"/>
    </row>
    <row r="120" spans="1:4">
      <c r="A120" s="3479" t="s">
        <v>7110</v>
      </c>
      <c r="B120" s="3479"/>
      <c r="C120" s="3479"/>
      <c r="D120" s="3479"/>
    </row>
    <row r="121" spans="1:4">
      <c r="A121" s="3479" t="s">
        <v>7111</v>
      </c>
      <c r="B121" s="3479"/>
      <c r="C121" s="3479"/>
      <c r="D121" s="3479"/>
    </row>
    <row r="122" spans="1:4">
      <c r="A122" s="3479" t="s">
        <v>7112</v>
      </c>
      <c r="B122" s="3479"/>
      <c r="C122" s="3479"/>
      <c r="D122" s="3479"/>
    </row>
    <row r="123" spans="1:4">
      <c r="A123" s="3479" t="s">
        <v>7113</v>
      </c>
      <c r="B123" s="3479"/>
      <c r="C123" s="3479"/>
      <c r="D123" s="3479"/>
    </row>
    <row r="124" spans="1:4">
      <c r="A124" s="3479" t="s">
        <v>7114</v>
      </c>
      <c r="B124" s="3479"/>
      <c r="C124" s="3479"/>
      <c r="D124" s="3479"/>
    </row>
    <row r="125" spans="1:4">
      <c r="A125" s="3479" t="s">
        <v>7115</v>
      </c>
      <c r="B125" s="3479"/>
      <c r="C125" s="3479"/>
      <c r="D125" s="3479"/>
    </row>
    <row r="126" spans="1:4">
      <c r="A126" s="3479" t="s">
        <v>7116</v>
      </c>
      <c r="B126" s="3479"/>
      <c r="C126" s="3479"/>
      <c r="D126" s="3479"/>
    </row>
    <row r="127" spans="1:4">
      <c r="A127" s="3479" t="s">
        <v>7117</v>
      </c>
      <c r="B127" s="3479"/>
      <c r="C127" s="3479"/>
      <c r="D127" s="3479"/>
    </row>
    <row r="128" spans="1:4">
      <c r="A128" s="3479" t="s">
        <v>7118</v>
      </c>
      <c r="B128" s="3479"/>
      <c r="C128" s="3479"/>
      <c r="D128" s="3479"/>
    </row>
    <row r="129" spans="1:4">
      <c r="A129" s="3479" t="s">
        <v>7119</v>
      </c>
      <c r="B129" s="3479"/>
      <c r="C129" s="3479"/>
      <c r="D129" s="3479"/>
    </row>
    <row r="130" spans="1:4">
      <c r="A130" s="3479" t="s">
        <v>7120</v>
      </c>
      <c r="B130" s="3479"/>
      <c r="C130" s="3479"/>
      <c r="D130" s="3479"/>
    </row>
    <row r="131" spans="1:4">
      <c r="A131" s="3479" t="s">
        <v>7121</v>
      </c>
      <c r="B131" s="3479"/>
      <c r="C131" s="3479"/>
      <c r="D131" s="3479"/>
    </row>
    <row r="132" spans="1:4">
      <c r="A132" s="3479" t="s">
        <v>7122</v>
      </c>
      <c r="B132" s="3479"/>
      <c r="C132" s="3479"/>
      <c r="D132" s="3479"/>
    </row>
    <row r="133" spans="1:4">
      <c r="A133" s="3479" t="s">
        <v>7123</v>
      </c>
      <c r="B133" s="3479"/>
      <c r="C133" s="3479"/>
      <c r="D133" s="3479"/>
    </row>
    <row r="134" spans="1:4">
      <c r="A134" s="3479" t="s">
        <v>7124</v>
      </c>
      <c r="B134" s="3479"/>
      <c r="C134" s="3479"/>
      <c r="D134" s="3479"/>
    </row>
    <row r="135" spans="1:4">
      <c r="A135" s="3479" t="s">
        <v>7125</v>
      </c>
      <c r="B135" s="3479"/>
      <c r="C135" s="3479"/>
      <c r="D135" s="3479"/>
    </row>
    <row r="136" spans="1:4">
      <c r="A136" s="3479" t="s">
        <v>7126</v>
      </c>
      <c r="B136" s="3479"/>
      <c r="C136" s="3479"/>
      <c r="D136" s="3479"/>
    </row>
    <row r="137" spans="1:4">
      <c r="A137" s="3479" t="s">
        <v>7127</v>
      </c>
      <c r="B137" s="3479"/>
      <c r="C137" s="3479"/>
      <c r="D137" s="3479"/>
    </row>
    <row r="138" spans="1:4">
      <c r="A138" s="3479" t="s">
        <v>7128</v>
      </c>
      <c r="B138" s="3479"/>
      <c r="C138" s="3479"/>
      <c r="D138" s="3479"/>
    </row>
    <row r="139" spans="1:4">
      <c r="A139" s="3479" t="s">
        <v>7129</v>
      </c>
      <c r="B139" s="3479"/>
      <c r="C139" s="3479"/>
      <c r="D139" s="3479"/>
    </row>
    <row r="140" spans="1:4">
      <c r="A140" s="3479" t="s">
        <v>7130</v>
      </c>
      <c r="B140" s="3479"/>
      <c r="C140" s="3479"/>
      <c r="D140" s="3479"/>
    </row>
    <row r="141" spans="1:4">
      <c r="A141" s="3479" t="s">
        <v>7131</v>
      </c>
      <c r="B141" s="3479"/>
      <c r="C141" s="3479"/>
      <c r="D141" s="3479"/>
    </row>
    <row r="142" spans="1:4">
      <c r="A142" s="3479" t="s">
        <v>7132</v>
      </c>
      <c r="B142" s="3479"/>
      <c r="C142" s="3479"/>
      <c r="D142" s="3479"/>
    </row>
    <row r="143" spans="1:4">
      <c r="A143" s="3479" t="s">
        <v>7133</v>
      </c>
      <c r="B143" s="3479"/>
      <c r="C143" s="3479"/>
      <c r="D143" s="3479"/>
    </row>
    <row r="144" spans="1:4">
      <c r="A144" s="3479" t="s">
        <v>7134</v>
      </c>
      <c r="B144" s="3479"/>
      <c r="C144" s="3479"/>
      <c r="D144" s="3479"/>
    </row>
    <row r="145" spans="1:4">
      <c r="A145" s="3479" t="s">
        <v>7135</v>
      </c>
      <c r="B145" s="3479"/>
      <c r="C145" s="3479"/>
      <c r="D145" s="3479"/>
    </row>
    <row r="146" spans="1:4">
      <c r="A146" s="3479" t="s">
        <v>7136</v>
      </c>
      <c r="B146" s="3479"/>
      <c r="C146" s="3479"/>
      <c r="D146" s="3479"/>
    </row>
    <row r="147" spans="1:4">
      <c r="A147" s="3479" t="s">
        <v>7137</v>
      </c>
      <c r="B147" s="3479"/>
      <c r="C147" s="3479"/>
      <c r="D147" s="3479"/>
    </row>
    <row r="148" spans="1:4">
      <c r="A148" s="3479" t="s">
        <v>7138</v>
      </c>
      <c r="B148" s="3479"/>
      <c r="C148" s="3479"/>
      <c r="D148" s="3479"/>
    </row>
    <row r="149" spans="1:4">
      <c r="A149" s="3479" t="s">
        <v>7139</v>
      </c>
      <c r="B149" s="3479"/>
      <c r="C149" s="3479"/>
      <c r="D149" s="3479"/>
    </row>
    <row r="150" spans="1:4">
      <c r="A150" s="3479" t="s">
        <v>7140</v>
      </c>
      <c r="B150" s="3479"/>
      <c r="C150" s="3479"/>
      <c r="D150" s="3479"/>
    </row>
    <row r="151" spans="1:4">
      <c r="A151" s="3479" t="s">
        <v>7141</v>
      </c>
      <c r="B151" s="3479"/>
      <c r="C151" s="3479"/>
      <c r="D151" s="3479"/>
    </row>
    <row r="152" spans="1:4">
      <c r="A152" s="3479" t="s">
        <v>7142</v>
      </c>
      <c r="B152" s="3479"/>
      <c r="C152" s="3479"/>
      <c r="D152" s="3479"/>
    </row>
  </sheetData>
  <mergeCells count="88">
    <mergeCell ref="H6:J7"/>
    <mergeCell ref="A1:C1"/>
    <mergeCell ref="A2:C2"/>
    <mergeCell ref="A54:C54"/>
    <mergeCell ref="A55:D55"/>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C74:D74"/>
    <mergeCell ref="A88:D88"/>
    <mergeCell ref="A89:D89"/>
    <mergeCell ref="A90:D90"/>
    <mergeCell ref="A91:D91"/>
    <mergeCell ref="A92:D92"/>
    <mergeCell ref="A93:D93"/>
    <mergeCell ref="A94:D94"/>
    <mergeCell ref="A95:D95"/>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51:D151"/>
    <mergeCell ref="A152:D152"/>
    <mergeCell ref="A146:D146"/>
    <mergeCell ref="A147:D147"/>
    <mergeCell ref="A148:D148"/>
    <mergeCell ref="A149:D149"/>
    <mergeCell ref="A150:D150"/>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984375" defaultRowHeight="15.6"/>
  <cols>
    <col min="1" max="1" width="5.19921875" style="1614" customWidth="1"/>
    <col min="2" max="2" width="5.19921875" style="1532" customWidth="1"/>
    <col min="3" max="3" width="50.3984375" style="1532" customWidth="1"/>
    <col min="4" max="4" width="26.09765625" style="1532" customWidth="1"/>
    <col min="5"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2"/>
      <c r="B1" s="3462"/>
      <c r="C1" s="3462"/>
      <c r="D1" s="3462"/>
      <c r="E1" s="2165" t="str">
        <f>"索引号："&amp;档案索引!D14</f>
        <v>索引号：2B-9</v>
      </c>
    </row>
    <row r="2" spans="1:9" ht="25.5" customHeight="1">
      <c r="A2" s="3401" t="s">
        <v>5940</v>
      </c>
      <c r="B2" s="3401"/>
      <c r="C2" s="3401"/>
      <c r="D2" s="3401"/>
      <c r="E2" s="1854"/>
    </row>
    <row r="3" spans="1:9" ht="14.25" customHeight="1">
      <c r="A3" s="1829" t="s">
        <v>5671</v>
      </c>
      <c r="B3" s="3407" t="s">
        <v>5672</v>
      </c>
      <c r="C3" s="3407"/>
      <c r="D3" s="3407"/>
      <c r="E3" s="1852" t="s">
        <v>4899</v>
      </c>
      <c r="F3" s="1537"/>
      <c r="G3" s="1565"/>
      <c r="H3" s="1537"/>
      <c r="I3" s="1537"/>
    </row>
    <row r="4" spans="1:9" ht="15" customHeight="1">
      <c r="A4" s="1847">
        <v>1</v>
      </c>
      <c r="B4" s="3405" t="s">
        <v>5672</v>
      </c>
      <c r="C4" s="1882" t="s">
        <v>5673</v>
      </c>
      <c r="D4" s="1652"/>
      <c r="E4" s="1986"/>
    </row>
    <row r="5" spans="1:9" ht="19.5" customHeight="1">
      <c r="A5" s="1847">
        <v>2</v>
      </c>
      <c r="B5" s="3409"/>
      <c r="C5" s="1882" t="s">
        <v>5674</v>
      </c>
      <c r="D5" s="1652"/>
      <c r="E5" s="1853"/>
    </row>
    <row r="6" spans="1:9" ht="27" customHeight="1">
      <c r="A6" s="1847">
        <v>3</v>
      </c>
      <c r="B6" s="3409"/>
      <c r="C6" s="1883" t="s">
        <v>5675</v>
      </c>
      <c r="D6" s="1652"/>
      <c r="E6" s="1853"/>
    </row>
    <row r="7" spans="1:9" ht="18" customHeight="1">
      <c r="A7" s="1847">
        <v>4</v>
      </c>
      <c r="B7" s="3409"/>
      <c r="C7" s="1882" t="s">
        <v>5676</v>
      </c>
      <c r="D7" s="1652"/>
      <c r="E7" s="1853"/>
    </row>
    <row r="8" spans="1:9" ht="18.75" customHeight="1">
      <c r="A8" s="1847">
        <v>5</v>
      </c>
      <c r="B8" s="3409"/>
      <c r="C8" s="1882" t="s">
        <v>5677</v>
      </c>
      <c r="D8" s="1652"/>
      <c r="E8" s="1853"/>
    </row>
    <row r="9" spans="1:9" ht="18" customHeight="1">
      <c r="A9" s="1847">
        <v>6</v>
      </c>
      <c r="B9" s="3406"/>
      <c r="C9" s="1884" t="s">
        <v>5678</v>
      </c>
      <c r="D9" s="1652"/>
      <c r="E9" s="1853"/>
    </row>
    <row r="10" spans="1:9" ht="14.25" customHeight="1">
      <c r="A10" s="1847">
        <v>7</v>
      </c>
      <c r="B10" s="3407" t="s">
        <v>5679</v>
      </c>
      <c r="C10" s="1885" t="s">
        <v>5680</v>
      </c>
      <c r="D10" s="2075">
        <f>D11+D12</f>
        <v>0</v>
      </c>
      <c r="E10" s="1941"/>
    </row>
    <row r="11" spans="1:9" ht="14.25" customHeight="1">
      <c r="A11" s="1847">
        <v>8</v>
      </c>
      <c r="B11" s="3407"/>
      <c r="C11" s="1885" t="s">
        <v>5681</v>
      </c>
      <c r="D11" s="2077"/>
      <c r="E11" s="1941"/>
    </row>
    <row r="12" spans="1:9" ht="14.25" customHeight="1">
      <c r="A12" s="1847">
        <v>9</v>
      </c>
      <c r="B12" s="3407"/>
      <c r="C12" s="1885" t="s">
        <v>5682</v>
      </c>
      <c r="D12" s="2077"/>
      <c r="E12" s="1941"/>
    </row>
    <row r="13" spans="1:9" ht="14.25" customHeight="1">
      <c r="A13" s="1847">
        <v>10</v>
      </c>
      <c r="B13" s="3407"/>
      <c r="C13" s="1885" t="s">
        <v>5683</v>
      </c>
      <c r="D13" s="2077"/>
      <c r="E13" s="1941"/>
      <c r="F13" s="1675" t="s">
        <v>6470</v>
      </c>
    </row>
    <row r="14" spans="1:9" ht="23.25" customHeight="1">
      <c r="A14" s="1847">
        <v>11</v>
      </c>
      <c r="B14" s="3407"/>
      <c r="C14" s="1886" t="s">
        <v>5684</v>
      </c>
      <c r="D14" s="2078">
        <f>IFERROR(ROUND(D10/D13*100,2),0)</f>
        <v>0</v>
      </c>
      <c r="E14" s="1941"/>
    </row>
    <row r="15" spans="1:9" ht="14.25" customHeight="1">
      <c r="A15" s="1847">
        <v>12</v>
      </c>
      <c r="B15" s="3407" t="s">
        <v>5685</v>
      </c>
      <c r="C15" s="1887" t="s">
        <v>5686</v>
      </c>
      <c r="D15" s="2077"/>
      <c r="E15" s="1941"/>
    </row>
    <row r="16" spans="1:9" ht="14.25" customHeight="1">
      <c r="A16" s="1847">
        <v>13</v>
      </c>
      <c r="B16" s="3407"/>
      <c r="C16" s="1887" t="s">
        <v>5687</v>
      </c>
      <c r="D16" s="2077"/>
      <c r="E16" s="1941"/>
    </row>
    <row r="17" spans="1:5" ht="14.25" customHeight="1">
      <c r="A17" s="1847">
        <v>14</v>
      </c>
      <c r="B17" s="3407"/>
      <c r="C17" s="1885" t="s">
        <v>5688</v>
      </c>
      <c r="D17" s="2077"/>
      <c r="E17" s="1941"/>
    </row>
    <row r="18" spans="1:5" ht="24" customHeight="1">
      <c r="A18" s="1847">
        <v>15</v>
      </c>
      <c r="B18" s="3407"/>
      <c r="C18" s="1886" t="s">
        <v>5689</v>
      </c>
      <c r="D18" s="2078">
        <f>IFERROR(ROUND(D15/D17*100,2),0)</f>
        <v>0</v>
      </c>
      <c r="E18" s="1986"/>
    </row>
    <row r="19" spans="1:5" ht="14.25" customHeight="1">
      <c r="A19" s="1847">
        <v>16</v>
      </c>
      <c r="B19" s="3407"/>
      <c r="C19" s="1888" t="s">
        <v>5690</v>
      </c>
      <c r="D19" s="2075">
        <f>IFERROR(ROUND(D16/D17*100,2),0)</f>
        <v>0</v>
      </c>
      <c r="E19" s="1941"/>
    </row>
    <row r="20" spans="1:5" ht="14.25" customHeight="1">
      <c r="A20" s="1847">
        <v>17</v>
      </c>
      <c r="B20" s="3407" t="s">
        <v>5691</v>
      </c>
      <c r="C20" s="1887" t="s">
        <v>5692</v>
      </c>
      <c r="D20" s="2075">
        <f>D21+D30</f>
        <v>0</v>
      </c>
      <c r="E20" s="1941"/>
    </row>
    <row r="21" spans="1:5" ht="14.25" customHeight="1">
      <c r="A21" s="1847">
        <v>18</v>
      </c>
      <c r="B21" s="3407"/>
      <c r="C21" s="1889" t="s">
        <v>5693</v>
      </c>
      <c r="D21" s="2075">
        <f>SUM(D22:D27,D29)</f>
        <v>0</v>
      </c>
      <c r="E21" s="1941"/>
    </row>
    <row r="22" spans="1:5" ht="14.25" customHeight="1">
      <c r="A22" s="1847">
        <v>19</v>
      </c>
      <c r="B22" s="3407"/>
      <c r="C22" s="1889" t="s">
        <v>5694</v>
      </c>
      <c r="D22" s="2077"/>
      <c r="E22" s="1941"/>
    </row>
    <row r="23" spans="1:5" ht="14.25" customHeight="1">
      <c r="A23" s="1847">
        <v>20</v>
      </c>
      <c r="B23" s="3407"/>
      <c r="C23" s="1889" t="s">
        <v>5695</v>
      </c>
      <c r="D23" s="2077"/>
      <c r="E23" s="1941"/>
    </row>
    <row r="24" spans="1:5" ht="14.25" customHeight="1">
      <c r="A24" s="1847">
        <v>21</v>
      </c>
      <c r="B24" s="3407"/>
      <c r="C24" s="1889" t="s">
        <v>5696</v>
      </c>
      <c r="D24" s="2077"/>
      <c r="E24" s="1941"/>
    </row>
    <row r="25" spans="1:5" ht="14.25" customHeight="1">
      <c r="A25" s="1847">
        <v>22</v>
      </c>
      <c r="B25" s="3407"/>
      <c r="C25" s="1889" t="s">
        <v>5697</v>
      </c>
      <c r="D25" s="2077"/>
      <c r="E25" s="1941"/>
    </row>
    <row r="26" spans="1:5" ht="14.25" customHeight="1">
      <c r="A26" s="1847">
        <v>23</v>
      </c>
      <c r="B26" s="3407"/>
      <c r="C26" s="1889" t="s">
        <v>5698</v>
      </c>
      <c r="D26" s="2077"/>
      <c r="E26" s="1941"/>
    </row>
    <row r="27" spans="1:5" ht="14.25" customHeight="1">
      <c r="A27" s="1847">
        <v>24</v>
      </c>
      <c r="B27" s="3407"/>
      <c r="C27" s="1889" t="s">
        <v>5699</v>
      </c>
      <c r="D27" s="2077"/>
      <c r="E27" s="1941"/>
    </row>
    <row r="28" spans="1:5" ht="14.25" customHeight="1">
      <c r="A28" s="1847">
        <v>25</v>
      </c>
      <c r="B28" s="3407"/>
      <c r="C28" s="1889" t="s">
        <v>5700</v>
      </c>
      <c r="D28" s="2077"/>
      <c r="E28" s="1941"/>
    </row>
    <row r="29" spans="1:5" ht="14.25" customHeight="1">
      <c r="A29" s="1847">
        <v>26</v>
      </c>
      <c r="B29" s="3407"/>
      <c r="C29" s="1889" t="s">
        <v>5701</v>
      </c>
      <c r="D29" s="2077"/>
      <c r="E29" s="1941"/>
    </row>
    <row r="30" spans="1:5" ht="14.25" customHeight="1">
      <c r="A30" s="1847">
        <v>27</v>
      </c>
      <c r="B30" s="3407"/>
      <c r="C30" s="1889" t="s">
        <v>5702</v>
      </c>
      <c r="D30" s="2075">
        <f>D31+D32</f>
        <v>0</v>
      </c>
      <c r="E30" s="1941"/>
    </row>
    <row r="31" spans="1:5" ht="14.25" customHeight="1">
      <c r="A31" s="1847">
        <v>28</v>
      </c>
      <c r="B31" s="3407"/>
      <c r="C31" s="1889" t="s">
        <v>5703</v>
      </c>
      <c r="D31" s="2077"/>
      <c r="E31" s="1941"/>
    </row>
    <row r="32" spans="1:5" ht="14.25" customHeight="1">
      <c r="A32" s="1847">
        <v>29</v>
      </c>
      <c r="B32" s="3407"/>
      <c r="C32" s="1889" t="s">
        <v>5704</v>
      </c>
      <c r="D32" s="2077"/>
      <c r="E32" s="1941"/>
    </row>
    <row r="33" spans="1:5" ht="14.25" customHeight="1">
      <c r="A33" s="1847">
        <v>30</v>
      </c>
      <c r="B33" s="3407"/>
      <c r="C33" s="1889" t="s">
        <v>7693</v>
      </c>
      <c r="D33" s="2077"/>
      <c r="E33" s="1941"/>
    </row>
    <row r="34" spans="1:5">
      <c r="A34" s="1846">
        <v>31</v>
      </c>
      <c r="B34" s="3485" t="s">
        <v>5706</v>
      </c>
      <c r="C34" s="3486"/>
      <c r="D34" s="2075">
        <f>IF(D4="",0,'A100000中华人民共和国企业所得税年度纳税申报表（A类）'!D26*0.1)</f>
        <v>0</v>
      </c>
      <c r="E34" s="1829" t="s">
        <v>5707</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2170"/>
      <c r="B1" s="2170"/>
      <c r="C1" s="2170"/>
      <c r="D1" s="2170"/>
      <c r="E1" s="2170"/>
      <c r="F1" s="2069" t="str">
        <f>"索引号："&amp;档案索引!D15</f>
        <v>索引号：2B-10</v>
      </c>
    </row>
    <row r="2" spans="1:12" ht="25.5" customHeight="1">
      <c r="A2" s="2090"/>
      <c r="B2" s="3401" t="s">
        <v>5941</v>
      </c>
      <c r="C2" s="3401"/>
      <c r="D2" s="3401"/>
      <c r="E2" s="3401"/>
      <c r="F2" s="1854"/>
    </row>
    <row r="3" spans="1:12" ht="14.25" customHeight="1">
      <c r="A3" s="1941"/>
      <c r="B3" s="1846" t="s">
        <v>5710</v>
      </c>
      <c r="C3" s="3407" t="s">
        <v>5711</v>
      </c>
      <c r="D3" s="3407"/>
      <c r="E3" s="3407"/>
      <c r="F3" s="2066" t="s">
        <v>6632</v>
      </c>
      <c r="G3" s="1614"/>
    </row>
    <row r="4" spans="1:12" ht="14.25" customHeight="1">
      <c r="A4" s="3487" t="s">
        <v>5713</v>
      </c>
      <c r="B4" s="1846">
        <v>1</v>
      </c>
      <c r="C4" s="3489" t="s">
        <v>5714</v>
      </c>
      <c r="D4" s="1938" t="s">
        <v>5715</v>
      </c>
      <c r="E4" s="1523"/>
      <c r="F4" s="1941"/>
    </row>
    <row r="5" spans="1:12" ht="14.25" customHeight="1">
      <c r="A5" s="3488"/>
      <c r="B5" s="1846">
        <v>2</v>
      </c>
      <c r="C5" s="3490"/>
      <c r="D5" s="1940" t="s">
        <v>5716</v>
      </c>
      <c r="E5" s="1523"/>
      <c r="F5" s="1941"/>
    </row>
    <row r="6" spans="1:12" ht="14.25" customHeight="1">
      <c r="A6" s="3488"/>
      <c r="B6" s="1846">
        <v>3</v>
      </c>
      <c r="C6" s="3490"/>
      <c r="D6" s="1938" t="s">
        <v>5717</v>
      </c>
      <c r="E6" s="1523"/>
      <c r="F6" s="1941"/>
    </row>
    <row r="7" spans="1:12" ht="14.25" customHeight="1">
      <c r="A7" s="3488"/>
      <c r="B7" s="1846">
        <v>4</v>
      </c>
      <c r="C7" s="3490"/>
      <c r="D7" s="1938" t="s">
        <v>5718</v>
      </c>
      <c r="E7" s="1523"/>
      <c r="F7" s="1941"/>
    </row>
    <row r="8" spans="1:12" ht="14.25" customHeight="1">
      <c r="A8" s="3488"/>
      <c r="B8" s="1846">
        <v>5</v>
      </c>
      <c r="C8" s="3490"/>
      <c r="D8" s="1940" t="s">
        <v>5719</v>
      </c>
      <c r="E8" s="1523"/>
      <c r="F8" s="1939"/>
      <c r="L8" s="1615"/>
    </row>
    <row r="9" spans="1:12" ht="14.25" customHeight="1">
      <c r="A9" s="3488"/>
      <c r="B9" s="1846">
        <v>6</v>
      </c>
      <c r="C9" s="3490"/>
      <c r="D9" s="1938" t="s">
        <v>5720</v>
      </c>
      <c r="E9" s="1523"/>
      <c r="F9" s="1939"/>
      <c r="L9" s="1615"/>
    </row>
    <row r="10" spans="1:12" ht="14.25" customHeight="1">
      <c r="A10" s="3488"/>
      <c r="B10" s="1846">
        <v>7</v>
      </c>
      <c r="C10" s="3491"/>
      <c r="D10" s="1938" t="s">
        <v>5721</v>
      </c>
      <c r="E10" s="1523"/>
      <c r="F10" s="1941"/>
    </row>
    <row r="11" spans="1:12" ht="14.25" customHeight="1">
      <c r="A11" s="3487" t="s">
        <v>5722</v>
      </c>
      <c r="B11" s="1846">
        <v>8</v>
      </c>
      <c r="C11" s="3407" t="s">
        <v>5723</v>
      </c>
      <c r="D11" s="1942" t="s">
        <v>5724</v>
      </c>
      <c r="E11" s="2077"/>
      <c r="F11" s="1941"/>
    </row>
    <row r="12" spans="1:12" ht="14.25" customHeight="1">
      <c r="A12" s="3488"/>
      <c r="B12" s="1846">
        <v>9</v>
      </c>
      <c r="C12" s="3407"/>
      <c r="D12" s="1942" t="s">
        <v>5725</v>
      </c>
      <c r="E12" s="2077"/>
      <c r="F12" s="1941"/>
    </row>
    <row r="13" spans="1:12" ht="14.25" customHeight="1">
      <c r="A13" s="3488"/>
      <c r="B13" s="1846">
        <v>10</v>
      </c>
      <c r="C13" s="3407"/>
      <c r="D13" s="1942" t="s">
        <v>5726</v>
      </c>
      <c r="E13" s="2077"/>
      <c r="F13" s="1941"/>
    </row>
    <row r="14" spans="1:12" ht="22.5" customHeight="1">
      <c r="A14" s="3488"/>
      <c r="B14" s="1846">
        <v>11</v>
      </c>
      <c r="C14" s="3407"/>
      <c r="D14" s="1942" t="s">
        <v>5727</v>
      </c>
      <c r="E14" s="2075">
        <f>IFERROR(ROUND(E12/E11*100,2),0)</f>
        <v>0</v>
      </c>
      <c r="F14" s="1986"/>
    </row>
    <row r="15" spans="1:12" ht="14.25" customHeight="1">
      <c r="A15" s="3488"/>
      <c r="B15" s="1846">
        <v>12</v>
      </c>
      <c r="C15" s="3407"/>
      <c r="D15" s="1942" t="s">
        <v>5728</v>
      </c>
      <c r="E15" s="2075">
        <f>IFERROR(ROUND(E13/E11*100,2),0)</f>
        <v>0</v>
      </c>
      <c r="F15" s="1941"/>
    </row>
    <row r="16" spans="1:12" ht="14.25" customHeight="1">
      <c r="A16" s="3488"/>
      <c r="B16" s="1846">
        <v>13</v>
      </c>
      <c r="C16" s="3407" t="s">
        <v>5729</v>
      </c>
      <c r="D16" s="1942" t="s">
        <v>5730</v>
      </c>
      <c r="E16" s="2077"/>
      <c r="F16" s="1941"/>
      <c r="G16" s="1675" t="s">
        <v>6472</v>
      </c>
    </row>
    <row r="17" spans="1:6" ht="14.25" customHeight="1">
      <c r="A17" s="3488"/>
      <c r="B17" s="1846">
        <v>14</v>
      </c>
      <c r="C17" s="3407"/>
      <c r="D17" s="1942" t="s">
        <v>5731</v>
      </c>
      <c r="E17" s="2077"/>
      <c r="F17" s="1941"/>
    </row>
    <row r="18" spans="1:6" ht="14.25" customHeight="1">
      <c r="A18" s="3488"/>
      <c r="B18" s="1846">
        <v>15</v>
      </c>
      <c r="C18" s="3407"/>
      <c r="D18" s="1942" t="s">
        <v>5732</v>
      </c>
      <c r="E18" s="2075">
        <f>IFERROR(ROUND(E17/E16*100,2),0)</f>
        <v>0</v>
      </c>
      <c r="F18" s="1941"/>
    </row>
    <row r="19" spans="1:6" ht="14.25" customHeight="1">
      <c r="A19" s="3488"/>
      <c r="B19" s="1846">
        <v>16</v>
      </c>
      <c r="C19" s="3407"/>
      <c r="D19" s="1942" t="s">
        <v>5733</v>
      </c>
      <c r="E19" s="2077"/>
      <c r="F19" s="1941"/>
    </row>
    <row r="20" spans="1:6" ht="14.25" customHeight="1">
      <c r="A20" s="3488"/>
      <c r="B20" s="1846">
        <v>17</v>
      </c>
      <c r="C20" s="3407"/>
      <c r="D20" s="1942" t="s">
        <v>5734</v>
      </c>
      <c r="E20" s="2077"/>
      <c r="F20" s="1941"/>
    </row>
    <row r="21" spans="1:6" ht="15.75" customHeight="1">
      <c r="A21" s="3488"/>
      <c r="B21" s="1846">
        <v>18</v>
      </c>
      <c r="C21" s="3407"/>
      <c r="D21" s="1942" t="s">
        <v>5735</v>
      </c>
      <c r="E21" s="2075">
        <f>IFERROR(ROUND(E19/E16*100,2),0)</f>
        <v>0</v>
      </c>
      <c r="F21" s="1852"/>
    </row>
    <row r="22" spans="1:6" ht="14.25" customHeight="1">
      <c r="A22" s="3488"/>
      <c r="B22" s="1846">
        <v>19</v>
      </c>
      <c r="C22" s="3407"/>
      <c r="D22" s="1942" t="s">
        <v>5736</v>
      </c>
      <c r="E22" s="2075">
        <f>IFERROR(ROUND(E20/$E$16*100,2),0)</f>
        <v>0</v>
      </c>
      <c r="F22" s="1852"/>
    </row>
    <row r="23" spans="1:6" ht="14.25" customHeight="1">
      <c r="A23" s="3488"/>
      <c r="B23" s="1846">
        <v>20</v>
      </c>
      <c r="C23" s="3407"/>
      <c r="D23" s="1942" t="s">
        <v>5737</v>
      </c>
      <c r="E23" s="2077"/>
      <c r="F23" s="1941"/>
    </row>
    <row r="24" spans="1:6" ht="14.25" customHeight="1">
      <c r="A24" s="3488"/>
      <c r="B24" s="1846">
        <v>21</v>
      </c>
      <c r="C24" s="3407"/>
      <c r="D24" s="1942" t="s">
        <v>5738</v>
      </c>
      <c r="E24" s="2077"/>
      <c r="F24" s="1941"/>
    </row>
    <row r="25" spans="1:6" ht="14.25" customHeight="1">
      <c r="A25" s="3488"/>
      <c r="B25" s="1846">
        <v>22</v>
      </c>
      <c r="C25" s="3407"/>
      <c r="D25" s="1942" t="s">
        <v>5739</v>
      </c>
      <c r="E25" s="2077"/>
      <c r="F25" s="1941"/>
    </row>
    <row r="26" spans="1:6" ht="14.25" customHeight="1">
      <c r="A26" s="3488"/>
      <c r="B26" s="1846">
        <v>23</v>
      </c>
      <c r="C26" s="3407"/>
      <c r="D26" s="1942" t="s">
        <v>5740</v>
      </c>
      <c r="E26" s="2077"/>
      <c r="F26" s="1852"/>
    </row>
    <row r="27" spans="1:6" ht="18" customHeight="1">
      <c r="A27" s="3488"/>
      <c r="B27" s="1846">
        <v>24</v>
      </c>
      <c r="C27" s="3407"/>
      <c r="D27" s="1942" t="s">
        <v>5741</v>
      </c>
      <c r="E27" s="2075">
        <f>IFERROR(ROUND(E23/$E$16*100,2),0)</f>
        <v>0</v>
      </c>
      <c r="F27" s="1852"/>
    </row>
    <row r="28" spans="1:6" ht="14.25" customHeight="1">
      <c r="A28" s="3488"/>
      <c r="B28" s="1846">
        <v>25</v>
      </c>
      <c r="C28" s="3407"/>
      <c r="D28" s="1942" t="s">
        <v>5742</v>
      </c>
      <c r="E28" s="2075">
        <f>IFERROR(ROUND(E24/$E$16*100,2),0)</f>
        <v>0</v>
      </c>
      <c r="F28" s="1852"/>
    </row>
    <row r="29" spans="1:6" ht="19.5" customHeight="1">
      <c r="A29" s="3488"/>
      <c r="B29" s="1846">
        <v>26</v>
      </c>
      <c r="C29" s="3407"/>
      <c r="D29" s="1942" t="s">
        <v>5743</v>
      </c>
      <c r="E29" s="2075">
        <f>IFERROR(ROUND(E25/$E$16*100,2),0)</f>
        <v>0</v>
      </c>
      <c r="F29" s="1852"/>
    </row>
    <row r="30" spans="1:6" ht="14.25" customHeight="1">
      <c r="A30" s="3488"/>
      <c r="B30" s="1846">
        <v>27</v>
      </c>
      <c r="C30" s="3407"/>
      <c r="D30" s="1942" t="s">
        <v>5744</v>
      </c>
      <c r="E30" s="2075">
        <f>IFERROR(ROUND(E26/$E$16*100,2),0)</f>
        <v>0</v>
      </c>
      <c r="F30" s="1852"/>
    </row>
    <row r="31" spans="1:6" ht="14.25" customHeight="1">
      <c r="A31" s="3488"/>
      <c r="B31" s="1846">
        <v>28</v>
      </c>
      <c r="C31" s="3407" t="s">
        <v>5745</v>
      </c>
      <c r="D31" s="1942" t="s">
        <v>5746</v>
      </c>
      <c r="E31" s="2077"/>
      <c r="F31" s="1941"/>
    </row>
    <row r="32" spans="1:6" ht="14.25" customHeight="1">
      <c r="A32" s="3488"/>
      <c r="B32" s="1846">
        <v>29</v>
      </c>
      <c r="C32" s="3407"/>
      <c r="D32" s="1942" t="s">
        <v>5747</v>
      </c>
      <c r="E32" s="2077"/>
      <c r="F32" s="1941"/>
    </row>
    <row r="33" spans="1:6" ht="14.25" customHeight="1">
      <c r="A33" s="3488"/>
      <c r="B33" s="1846">
        <v>30</v>
      </c>
      <c r="C33" s="3407"/>
      <c r="D33" s="1942" t="s">
        <v>7694</v>
      </c>
      <c r="E33" s="2077"/>
      <c r="F33" s="1941"/>
    </row>
    <row r="34" spans="1:6" ht="14.25" customHeight="1">
      <c r="A34" s="3488"/>
      <c r="B34" s="1846">
        <v>31</v>
      </c>
      <c r="C34" s="3407"/>
      <c r="D34" s="1942" t="s">
        <v>5749</v>
      </c>
      <c r="E34" s="2075">
        <f>IFERROR(ROUND(E32/E31*100,2),0)</f>
        <v>0</v>
      </c>
      <c r="F34" s="1852"/>
    </row>
    <row r="35" spans="1:6">
      <c r="A35" s="3487" t="s">
        <v>5750</v>
      </c>
      <c r="B35" s="1846">
        <v>32</v>
      </c>
      <c r="C35" s="3492" t="s">
        <v>5723</v>
      </c>
      <c r="D35" s="1938" t="s">
        <v>5751</v>
      </c>
      <c r="E35" s="2077"/>
      <c r="F35" s="1941"/>
    </row>
    <row r="36" spans="1:6" ht="14.25" customHeight="1">
      <c r="A36" s="3488"/>
      <c r="B36" s="1846">
        <v>33</v>
      </c>
      <c r="C36" s="3492"/>
      <c r="D36" s="1938" t="s">
        <v>5752</v>
      </c>
      <c r="E36" s="2077"/>
      <c r="F36" s="1941"/>
    </row>
    <row r="37" spans="1:6" ht="14.25" customHeight="1">
      <c r="A37" s="3488"/>
      <c r="B37" s="1846">
        <v>34</v>
      </c>
      <c r="C37" s="3492"/>
      <c r="D37" s="1938" t="s">
        <v>5753</v>
      </c>
      <c r="E37" s="2075">
        <f>IFERROR(ROUND(E36/E35*100,2),0)</f>
        <v>0</v>
      </c>
      <c r="F37" s="1852"/>
    </row>
    <row r="38" spans="1:6">
      <c r="A38" s="3488"/>
      <c r="B38" s="1846">
        <v>35</v>
      </c>
      <c r="C38" s="3492" t="s">
        <v>5729</v>
      </c>
      <c r="D38" s="1938" t="s">
        <v>5754</v>
      </c>
      <c r="E38" s="2077"/>
      <c r="F38" s="1941"/>
    </row>
    <row r="39" spans="1:6" ht="16.5" customHeight="1">
      <c r="A39" s="3488"/>
      <c r="B39" s="1846">
        <v>36</v>
      </c>
      <c r="C39" s="3492"/>
      <c r="D39" s="1938" t="s">
        <v>5755</v>
      </c>
      <c r="E39" s="2077"/>
      <c r="F39" s="1941"/>
    </row>
    <row r="40" spans="1:6" ht="24" customHeight="1">
      <c r="A40" s="3488"/>
      <c r="B40" s="1846">
        <v>37</v>
      </c>
      <c r="C40" s="3492"/>
      <c r="D40" s="1938" t="s">
        <v>5756</v>
      </c>
      <c r="E40" s="2077"/>
      <c r="F40" s="1941"/>
    </row>
    <row r="41" spans="1:6" ht="18.75" customHeight="1">
      <c r="A41" s="3488"/>
      <c r="B41" s="1846">
        <v>38</v>
      </c>
      <c r="C41" s="3492"/>
      <c r="D41" s="1938" t="s">
        <v>5757</v>
      </c>
      <c r="E41" s="2075">
        <f>IFERROR(ROUND(E39/E38*100,2),0)</f>
        <v>0</v>
      </c>
      <c r="F41" s="1941"/>
    </row>
    <row r="42" spans="1:6" ht="20.25" customHeight="1">
      <c r="A42" s="3488"/>
      <c r="B42" s="1846">
        <v>39</v>
      </c>
      <c r="C42" s="3492"/>
      <c r="D42" s="1938" t="s">
        <v>5758</v>
      </c>
      <c r="E42" s="2075">
        <f>IFERROR(ROUND(E40/E39*100,2),0)</f>
        <v>0</v>
      </c>
      <c r="F42" s="1941"/>
    </row>
    <row r="43" spans="1:6" ht="24" customHeight="1">
      <c r="A43" s="3488"/>
      <c r="B43" s="1846">
        <v>40</v>
      </c>
      <c r="C43" s="3492" t="s">
        <v>5759</v>
      </c>
      <c r="D43" s="1938" t="s">
        <v>5760</v>
      </c>
      <c r="E43" s="2077"/>
      <c r="F43" s="1941"/>
    </row>
    <row r="44" spans="1:6" ht="40.5" customHeight="1">
      <c r="A44" s="3488"/>
      <c r="B44" s="1846">
        <v>41</v>
      </c>
      <c r="C44" s="3492"/>
      <c r="D44" s="1938" t="s">
        <v>5761</v>
      </c>
      <c r="E44" s="2075">
        <f>IFERROR(ROUND(E43/E39*100,2),0)</f>
        <v>0</v>
      </c>
      <c r="F44" s="1852"/>
    </row>
    <row r="45" spans="1:6" ht="27" customHeight="1">
      <c r="A45" s="1941"/>
      <c r="B45" s="1846">
        <v>42</v>
      </c>
      <c r="C45" s="3493" t="s">
        <v>5762</v>
      </c>
      <c r="D45" s="3494"/>
      <c r="E45" s="2077"/>
      <c r="F45" s="1970" t="s">
        <v>5763</v>
      </c>
    </row>
  </sheetData>
  <mergeCells count="13">
    <mergeCell ref="A35:A44"/>
    <mergeCell ref="C35:C37"/>
    <mergeCell ref="C38:C42"/>
    <mergeCell ref="C43:C44"/>
    <mergeCell ref="C45:D45"/>
    <mergeCell ref="A11:A34"/>
    <mergeCell ref="C11:C15"/>
    <mergeCell ref="C16:C30"/>
    <mergeCell ref="C31:C34"/>
    <mergeCell ref="B2:E2"/>
    <mergeCell ref="C3:E3"/>
    <mergeCell ref="A4:A10"/>
    <mergeCell ref="C4:C10"/>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5.6"/>
  <cols>
    <col min="1" max="1" width="3.3984375" style="1570" customWidth="1"/>
    <col min="2" max="2" width="7.59765625" style="1570" customWidth="1"/>
    <col min="3" max="3" width="4.69921875" style="1570" customWidth="1"/>
    <col min="4" max="14" width="11.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2171"/>
      <c r="B1" s="2171"/>
      <c r="C1" s="2171"/>
      <c r="D1" s="2171"/>
      <c r="E1" s="2171"/>
      <c r="F1" s="2171"/>
      <c r="G1" s="2171"/>
      <c r="H1" s="2171"/>
      <c r="I1" s="2171"/>
      <c r="J1" s="2171"/>
      <c r="K1" s="2171"/>
      <c r="L1" s="2171"/>
      <c r="M1" s="2171"/>
      <c r="N1" s="2171"/>
      <c r="O1" s="2172" t="str">
        <f>"索引号："&amp;档案索引!D16</f>
        <v>索引号：2B-11</v>
      </c>
    </row>
    <row r="2" spans="1:19" ht="25.5" customHeight="1">
      <c r="A2" s="3401" t="s">
        <v>5947</v>
      </c>
      <c r="B2" s="3401"/>
      <c r="C2" s="3401"/>
      <c r="D2" s="3401"/>
      <c r="E2" s="3401"/>
      <c r="F2" s="3401"/>
      <c r="G2" s="3401"/>
      <c r="H2" s="3401"/>
      <c r="I2" s="3401"/>
      <c r="J2" s="3401"/>
      <c r="K2" s="3401"/>
      <c r="L2" s="3401"/>
      <c r="M2" s="3401"/>
      <c r="N2" s="3401"/>
      <c r="O2" s="1834"/>
    </row>
    <row r="3" spans="1:19" ht="33.75" customHeight="1">
      <c r="A3" s="3399" t="s">
        <v>6631</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5"/>
      <c r="N4" s="3495"/>
      <c r="O4" s="3495"/>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36"/>
    </row>
    <row r="6" spans="1:19" ht="54.75" customHeight="1">
      <c r="A6" s="1891">
        <v>1</v>
      </c>
      <c r="B6" s="1891" t="s">
        <v>6629</v>
      </c>
      <c r="C6" s="1891">
        <f t="shared" ref="C6:C9" si="0">C7-1</f>
        <v>2011</v>
      </c>
      <c r="D6" s="2076"/>
      <c r="E6" s="2076"/>
      <c r="F6" s="2075">
        <f>ROUND(E6*0.1,2)</f>
        <v>0</v>
      </c>
      <c r="G6" s="2076"/>
      <c r="H6" s="2076"/>
      <c r="I6" s="2076"/>
      <c r="J6" s="2076"/>
      <c r="K6" s="2076"/>
      <c r="L6" s="2075">
        <f>G6+H6+I6+J6+K6</f>
        <v>0</v>
      </c>
      <c r="M6" s="2075">
        <f>MIN(F6-L6,D6)</f>
        <v>0</v>
      </c>
      <c r="N6" s="1891" t="s">
        <v>1859</v>
      </c>
      <c r="O6" s="1978" t="s">
        <v>5777</v>
      </c>
      <c r="S6" s="1575"/>
    </row>
    <row r="7" spans="1:19">
      <c r="A7" s="1891">
        <v>2</v>
      </c>
      <c r="B7" s="1891" t="s">
        <v>1348</v>
      </c>
      <c r="C7" s="1891">
        <f t="shared" si="0"/>
        <v>2012</v>
      </c>
      <c r="D7" s="2076"/>
      <c r="E7" s="2076"/>
      <c r="F7" s="2075">
        <f t="shared" ref="F7:F11" si="1">ROUND(E7*0.1,2)</f>
        <v>0</v>
      </c>
      <c r="G7" s="1891" t="s">
        <v>1859</v>
      </c>
      <c r="H7" s="2076"/>
      <c r="I7" s="2076"/>
      <c r="J7" s="2076"/>
      <c r="K7" s="2076"/>
      <c r="L7" s="2075">
        <f>H7+I7+J7+K7</f>
        <v>0</v>
      </c>
      <c r="M7" s="2075">
        <f t="shared" ref="M7:M10" si="2">MIN(F7-L7,D7)</f>
        <v>0</v>
      </c>
      <c r="N7" s="2075">
        <f>F7-L7-M7</f>
        <v>0</v>
      </c>
      <c r="O7" s="1974"/>
      <c r="P7" s="1675" t="s">
        <v>6474</v>
      </c>
    </row>
    <row r="8" spans="1:19">
      <c r="A8" s="1891">
        <v>3</v>
      </c>
      <c r="B8" s="1891" t="s">
        <v>1349</v>
      </c>
      <c r="C8" s="1891">
        <f t="shared" si="0"/>
        <v>2013</v>
      </c>
      <c r="D8" s="2076"/>
      <c r="E8" s="2076"/>
      <c r="F8" s="2075">
        <f t="shared" si="1"/>
        <v>0</v>
      </c>
      <c r="G8" s="1891" t="s">
        <v>1859</v>
      </c>
      <c r="H8" s="1891" t="s">
        <v>1859</v>
      </c>
      <c r="I8" s="2076"/>
      <c r="J8" s="2076"/>
      <c r="K8" s="2076"/>
      <c r="L8" s="2075">
        <f>I8+J8+K8</f>
        <v>0</v>
      </c>
      <c r="M8" s="2075">
        <f t="shared" si="2"/>
        <v>0</v>
      </c>
      <c r="N8" s="2075">
        <f t="shared" ref="N8:N10" si="3">F8-L8-M8</f>
        <v>0</v>
      </c>
      <c r="O8" s="1974"/>
    </row>
    <row r="9" spans="1:19">
      <c r="A9" s="1891">
        <v>4</v>
      </c>
      <c r="B9" s="1891" t="s">
        <v>1350</v>
      </c>
      <c r="C9" s="1891">
        <f t="shared" si="0"/>
        <v>2014</v>
      </c>
      <c r="D9" s="2076"/>
      <c r="E9" s="2076"/>
      <c r="F9" s="2075">
        <f t="shared" si="1"/>
        <v>0</v>
      </c>
      <c r="G9" s="1891" t="s">
        <v>1859</v>
      </c>
      <c r="H9" s="1891" t="s">
        <v>1859</v>
      </c>
      <c r="I9" s="1891" t="s">
        <v>1859</v>
      </c>
      <c r="J9" s="2076"/>
      <c r="K9" s="2076"/>
      <c r="L9" s="2075">
        <f>J9+K9</f>
        <v>0</v>
      </c>
      <c r="M9" s="2075">
        <f t="shared" si="2"/>
        <v>0</v>
      </c>
      <c r="N9" s="2075">
        <f t="shared" si="3"/>
        <v>0</v>
      </c>
      <c r="O9" s="1974"/>
    </row>
    <row r="10" spans="1:19">
      <c r="A10" s="1891">
        <v>5</v>
      </c>
      <c r="B10" s="1891" t="s">
        <v>1351</v>
      </c>
      <c r="C10" s="1891">
        <f>C11-1</f>
        <v>2015</v>
      </c>
      <c r="D10" s="2076"/>
      <c r="E10" s="2076"/>
      <c r="F10" s="2075">
        <f t="shared" si="1"/>
        <v>0</v>
      </c>
      <c r="G10" s="1891" t="s">
        <v>1859</v>
      </c>
      <c r="H10" s="1891" t="s">
        <v>1859</v>
      </c>
      <c r="I10" s="1891" t="s">
        <v>1859</v>
      </c>
      <c r="J10" s="1891" t="s">
        <v>1859</v>
      </c>
      <c r="K10" s="2076"/>
      <c r="L10" s="2075">
        <f>K10</f>
        <v>0</v>
      </c>
      <c r="M10" s="2075">
        <f t="shared" si="2"/>
        <v>0</v>
      </c>
      <c r="N10" s="2075">
        <f t="shared" si="3"/>
        <v>0</v>
      </c>
      <c r="O10" s="1974"/>
    </row>
    <row r="11" spans="1:19">
      <c r="A11" s="1891">
        <v>6</v>
      </c>
      <c r="B11" s="1891" t="s">
        <v>5483</v>
      </c>
      <c r="C11" s="1891">
        <f>基本情况!B4</f>
        <v>2016</v>
      </c>
      <c r="D11" s="2075">
        <f ca="1">'A100000中华人民共和国企业所得税年度纳税申报表（A类）'!D28-'A100000中华人民共和国企业所得税年度纳税申报表（A类）'!D29</f>
        <v>0</v>
      </c>
      <c r="E11" s="2076"/>
      <c r="F11" s="2075">
        <f t="shared" si="1"/>
        <v>0</v>
      </c>
      <c r="G11" s="1891" t="s">
        <v>1859</v>
      </c>
      <c r="H11" s="1891" t="s">
        <v>1859</v>
      </c>
      <c r="I11" s="1891" t="s">
        <v>1859</v>
      </c>
      <c r="J11" s="1891" t="s">
        <v>1859</v>
      </c>
      <c r="K11" s="1891" t="s">
        <v>1859</v>
      </c>
      <c r="L11" s="1891" t="s">
        <v>1866</v>
      </c>
      <c r="M11" s="2075">
        <f ca="1">MIN(F11,D11)</f>
        <v>0</v>
      </c>
      <c r="N11" s="2075">
        <f ca="1">F11-M11</f>
        <v>0</v>
      </c>
      <c r="O11" s="1974"/>
    </row>
    <row r="12" spans="1:19" ht="108">
      <c r="A12" s="1891">
        <v>7</v>
      </c>
      <c r="B12" s="3497" t="s">
        <v>5778</v>
      </c>
      <c r="C12" s="3497"/>
      <c r="D12" s="3497"/>
      <c r="E12" s="3497"/>
      <c r="F12" s="3497"/>
      <c r="G12" s="3497"/>
      <c r="H12" s="3497"/>
      <c r="I12" s="3497"/>
      <c r="J12" s="3497"/>
      <c r="K12" s="3497"/>
      <c r="L12" s="3497"/>
      <c r="M12" s="2075">
        <f ca="1">SUM(M6:M11)</f>
        <v>0</v>
      </c>
      <c r="N12" s="1891" t="s">
        <v>1859</v>
      </c>
      <c r="O12" s="1978" t="s">
        <v>5779</v>
      </c>
    </row>
    <row r="13" spans="1:19">
      <c r="A13" s="1891">
        <v>8</v>
      </c>
      <c r="B13" s="3497" t="s">
        <v>5780</v>
      </c>
      <c r="C13" s="3497"/>
      <c r="D13" s="3497"/>
      <c r="E13" s="3497"/>
      <c r="F13" s="3497"/>
      <c r="G13" s="3497"/>
      <c r="H13" s="3497"/>
      <c r="I13" s="3497"/>
      <c r="J13" s="3497"/>
      <c r="K13" s="3497"/>
      <c r="L13" s="3497"/>
      <c r="M13" s="3497"/>
      <c r="N13" s="2075">
        <f ca="1">SUM(N7:N11)</f>
        <v>0</v>
      </c>
      <c r="O13" s="1974"/>
    </row>
    <row r="14" spans="1:19">
      <c r="A14" s="1891">
        <v>9</v>
      </c>
      <c r="B14" s="3407" t="s">
        <v>5781</v>
      </c>
      <c r="C14" s="3498" t="s">
        <v>5782</v>
      </c>
      <c r="D14" s="3498"/>
      <c r="E14" s="3498"/>
      <c r="F14" s="3498"/>
      <c r="G14" s="3498"/>
      <c r="H14" s="3498"/>
      <c r="I14" s="3498"/>
      <c r="J14" s="3498"/>
      <c r="K14" s="3496"/>
      <c r="L14" s="3496"/>
      <c r="M14" s="3496"/>
      <c r="N14" s="3496"/>
      <c r="O14" s="1974"/>
    </row>
    <row r="15" spans="1:19">
      <c r="A15" s="1891">
        <v>10</v>
      </c>
      <c r="B15" s="3399"/>
      <c r="C15" s="3498" t="s">
        <v>5783</v>
      </c>
      <c r="D15" s="3498"/>
      <c r="E15" s="3498"/>
      <c r="F15" s="3498"/>
      <c r="G15" s="3498"/>
      <c r="H15" s="3498"/>
      <c r="I15" s="3498"/>
      <c r="J15" s="3498"/>
      <c r="K15" s="3496"/>
      <c r="L15" s="3496"/>
      <c r="M15" s="3496"/>
      <c r="N15" s="3496"/>
      <c r="O15" s="1974"/>
    </row>
    <row r="16" spans="1:19">
      <c r="A16" s="1891">
        <v>11</v>
      </c>
      <c r="B16" s="3399"/>
      <c r="C16" s="3498" t="s">
        <v>5784</v>
      </c>
      <c r="D16" s="3498"/>
      <c r="E16" s="3498"/>
      <c r="F16" s="3498"/>
      <c r="G16" s="3498"/>
      <c r="H16" s="3498"/>
      <c r="I16" s="3498"/>
      <c r="J16" s="3498"/>
      <c r="K16" s="3496"/>
      <c r="L16" s="3496"/>
      <c r="M16" s="3496"/>
      <c r="N16" s="3496"/>
      <c r="O16" s="1974"/>
    </row>
    <row r="17" spans="1:15">
      <c r="A17" s="3463"/>
      <c r="B17" s="3463"/>
      <c r="C17" s="3463"/>
      <c r="D17" s="3463"/>
      <c r="E17" s="3463"/>
      <c r="F17" s="3463"/>
      <c r="G17" s="3463"/>
      <c r="H17" s="3463"/>
      <c r="I17" s="3463"/>
      <c r="J17" s="3463"/>
      <c r="K17" s="3463"/>
      <c r="L17" s="3463"/>
      <c r="M17" s="3463"/>
      <c r="N17" s="3463"/>
      <c r="O17" s="3463"/>
    </row>
    <row r="18" spans="1:15">
      <c r="A18" s="3463"/>
      <c r="B18" s="3463"/>
      <c r="C18" s="3463"/>
      <c r="D18" s="3463"/>
      <c r="E18" s="3463"/>
      <c r="F18" s="3463"/>
      <c r="G18" s="3463"/>
      <c r="H18" s="3463"/>
      <c r="I18" s="3463"/>
      <c r="J18" s="3463"/>
      <c r="K18" s="3463"/>
      <c r="L18" s="3463"/>
      <c r="M18" s="3463"/>
      <c r="N18" s="3463"/>
      <c r="O18" s="3463"/>
    </row>
    <row r="19" spans="1:15">
      <c r="A19" s="3463"/>
      <c r="B19" s="3463"/>
      <c r="C19" s="3463"/>
      <c r="D19" s="3463"/>
      <c r="E19" s="3463"/>
      <c r="F19" s="3463"/>
      <c r="G19" s="3463"/>
      <c r="H19" s="3463"/>
      <c r="I19" s="3463"/>
      <c r="J19" s="3463"/>
      <c r="K19" s="3463"/>
      <c r="L19" s="3463"/>
      <c r="M19" s="3463"/>
      <c r="N19" s="3463"/>
      <c r="O19" s="3463"/>
    </row>
    <row r="20" spans="1:15">
      <c r="A20" s="3463"/>
      <c r="B20" s="3463"/>
      <c r="C20" s="3463"/>
      <c r="D20" s="3463"/>
      <c r="E20" s="3463"/>
      <c r="F20" s="3463"/>
      <c r="G20" s="3463"/>
      <c r="H20" s="3463"/>
      <c r="I20" s="3463"/>
      <c r="J20" s="3463"/>
      <c r="K20" s="3463"/>
      <c r="L20" s="3463"/>
      <c r="M20" s="3463"/>
      <c r="N20" s="3463"/>
      <c r="O20" s="3463"/>
    </row>
    <row r="21" spans="1:15">
      <c r="A21" s="3463"/>
      <c r="B21" s="3463"/>
      <c r="C21" s="3463"/>
      <c r="D21" s="3463"/>
      <c r="E21" s="3463"/>
      <c r="F21" s="3463"/>
      <c r="G21" s="3463"/>
      <c r="H21" s="3463"/>
      <c r="I21" s="3463"/>
      <c r="J21" s="3463"/>
      <c r="K21" s="3463"/>
      <c r="L21" s="3463"/>
      <c r="M21" s="3463"/>
      <c r="N21" s="3463"/>
      <c r="O21" s="3463"/>
    </row>
    <row r="22" spans="1:15">
      <c r="A22" s="3463"/>
      <c r="B22" s="3463"/>
      <c r="C22" s="3463"/>
      <c r="D22" s="3463"/>
      <c r="E22" s="3463"/>
      <c r="F22" s="3463"/>
      <c r="G22" s="3463"/>
      <c r="H22" s="3463"/>
      <c r="I22" s="3463"/>
      <c r="J22" s="3463"/>
      <c r="K22" s="3463"/>
      <c r="L22" s="3463"/>
      <c r="M22" s="3463"/>
      <c r="N22" s="3463"/>
      <c r="O22" s="3463"/>
    </row>
  </sheetData>
  <mergeCells count="26">
    <mergeCell ref="A20:O20"/>
    <mergeCell ref="A21:O21"/>
    <mergeCell ref="A22:O22"/>
    <mergeCell ref="A17:O17"/>
    <mergeCell ref="A18:O18"/>
    <mergeCell ref="A19:O19"/>
    <mergeCell ref="K16:N16"/>
    <mergeCell ref="N3:N4"/>
    <mergeCell ref="O3:O4"/>
    <mergeCell ref="B12:L12"/>
    <mergeCell ref="B13:M13"/>
    <mergeCell ref="B14:B16"/>
    <mergeCell ref="C14:J14"/>
    <mergeCell ref="K14:N14"/>
    <mergeCell ref="C15:J15"/>
    <mergeCell ref="K15:N15"/>
    <mergeCell ref="C16:J16"/>
    <mergeCell ref="A2:N2"/>
    <mergeCell ref="A3:A5"/>
    <mergeCell ref="B3:B5"/>
    <mergeCell ref="C3:C4"/>
    <mergeCell ref="D3:D4"/>
    <mergeCell ref="E3:E4"/>
    <mergeCell ref="F3:F4"/>
    <mergeCell ref="G3:L3"/>
    <mergeCell ref="M3:M4"/>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2173"/>
      <c r="B1" s="2174"/>
      <c r="C1" s="2174"/>
      <c r="D1" s="2174"/>
      <c r="E1" s="2174"/>
      <c r="F1" s="2174"/>
      <c r="G1" s="2174"/>
      <c r="H1" s="2174"/>
      <c r="I1" s="2174"/>
      <c r="J1" s="2174"/>
      <c r="K1" s="2174"/>
      <c r="L1" s="2174"/>
      <c r="M1" s="2174"/>
      <c r="N1" s="2174"/>
      <c r="O1" s="2174"/>
      <c r="P1" s="2174"/>
      <c r="Q1" s="2174"/>
      <c r="R1" s="2174"/>
      <c r="S1" s="2174"/>
      <c r="T1" s="2175" t="str">
        <f>"索引号："&amp;档案索引!D17</f>
        <v>索引号：2B-12</v>
      </c>
    </row>
    <row r="2" spans="1:21" ht="25.5" customHeight="1">
      <c r="A2" s="3499" t="s">
        <v>5943</v>
      </c>
      <c r="B2" s="3499"/>
      <c r="C2" s="3499"/>
      <c r="D2" s="3499"/>
      <c r="E2" s="3499"/>
      <c r="F2" s="3499"/>
      <c r="G2" s="3499"/>
      <c r="H2" s="3499"/>
      <c r="I2" s="3499"/>
      <c r="J2" s="3499"/>
      <c r="K2" s="3499"/>
      <c r="L2" s="3499"/>
      <c r="M2" s="3499"/>
      <c r="N2" s="3499"/>
      <c r="O2" s="3499"/>
      <c r="P2" s="3499"/>
      <c r="Q2" s="3499"/>
      <c r="R2" s="3499"/>
      <c r="S2" s="3499"/>
      <c r="T2" s="3500"/>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1" t="s">
        <v>5796</v>
      </c>
      <c r="Q3" s="3502"/>
      <c r="R3" s="3502"/>
      <c r="S3" s="3502"/>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1">
        <f>境外所得纳税调整后所得审核表!B6</f>
        <v>0</v>
      </c>
      <c r="C6" s="2075">
        <f>境外所得纳税调整后所得审核表!O6</f>
        <v>0</v>
      </c>
      <c r="D6" s="2075">
        <f>境外所得纳税调整后所得审核表!S6</f>
        <v>0</v>
      </c>
      <c r="E6" s="2075">
        <f>境外分支机构弥补亏损审核表!E9+境外分支机构弥补亏损审核表!N9</f>
        <v>0</v>
      </c>
      <c r="F6" s="2075">
        <f>D6-E6</f>
        <v>0</v>
      </c>
      <c r="G6" s="2076"/>
      <c r="H6" s="2075">
        <f>F6-G6</f>
        <v>0</v>
      </c>
      <c r="I6" s="2076"/>
      <c r="J6" s="2075">
        <f>ROUND(H6*I6,2)</f>
        <v>0</v>
      </c>
      <c r="K6" s="2075">
        <f>境外所得纳税调整后所得审核表!N6</f>
        <v>0</v>
      </c>
      <c r="L6" s="2076"/>
      <c r="M6" s="2075">
        <f>MIN(K6,L6)</f>
        <v>0</v>
      </c>
      <c r="N6" s="2075">
        <f>L6-M6</f>
        <v>0</v>
      </c>
      <c r="O6" s="2075">
        <f>MIN(N6,跨年度结转抵免境外所得税审核表!N6)</f>
        <v>0</v>
      </c>
      <c r="P6" s="2076"/>
      <c r="Q6" s="2076"/>
      <c r="R6" s="2076"/>
      <c r="S6" s="2075">
        <f>P6+Q6+R6</f>
        <v>0</v>
      </c>
      <c r="T6" s="2075">
        <f>M6+O6+S6</f>
        <v>0</v>
      </c>
    </row>
    <row r="7" spans="1:21" s="1616" customFormat="1" ht="14.25" customHeight="1">
      <c r="A7" s="1897">
        <v>2</v>
      </c>
      <c r="B7" s="1901">
        <f>境外所得纳税调整后所得审核表!B7</f>
        <v>0</v>
      </c>
      <c r="C7" s="2075">
        <f>境外所得纳税调整后所得审核表!O7</f>
        <v>0</v>
      </c>
      <c r="D7" s="2075">
        <f>境外所得纳税调整后所得审核表!S7</f>
        <v>0</v>
      </c>
      <c r="E7" s="2075">
        <f>境外分支机构弥补亏损审核表!E10+境外分支机构弥补亏损审核表!N10</f>
        <v>0</v>
      </c>
      <c r="F7" s="2075">
        <f t="shared" ref="F7:F14" si="0">D7-E7</f>
        <v>0</v>
      </c>
      <c r="G7" s="2076"/>
      <c r="H7" s="2075">
        <f t="shared" ref="H7:H14" si="1">F7-G7</f>
        <v>0</v>
      </c>
      <c r="I7" s="2076"/>
      <c r="J7" s="2075">
        <f t="shared" ref="J7:J14" si="2">ROUND(H7*I7,2)</f>
        <v>0</v>
      </c>
      <c r="K7" s="2075">
        <f>境外所得纳税调整后所得审核表!N7</f>
        <v>0</v>
      </c>
      <c r="L7" s="2076"/>
      <c r="M7" s="2075">
        <f t="shared" ref="M7:M14" si="3">MIN(K7,L7)</f>
        <v>0</v>
      </c>
      <c r="N7" s="2075">
        <f t="shared" ref="N7:N14" si="4">L7-M7</f>
        <v>0</v>
      </c>
      <c r="O7" s="2075">
        <f>MIN(N7,跨年度结转抵免境外所得税审核表!N7)</f>
        <v>0</v>
      </c>
      <c r="P7" s="2076"/>
      <c r="Q7" s="2076"/>
      <c r="R7" s="2076"/>
      <c r="S7" s="2075">
        <f t="shared" ref="S7:S14" si="5">P7+Q7+R7</f>
        <v>0</v>
      </c>
      <c r="T7" s="2075">
        <f t="shared" ref="T7:T14" si="6">M7+O7+S7</f>
        <v>0</v>
      </c>
    </row>
    <row r="8" spans="1:21" s="1616" customFormat="1" ht="14.25" customHeight="1">
      <c r="A8" s="1897">
        <v>3</v>
      </c>
      <c r="B8" s="1901">
        <f>境外所得纳税调整后所得审核表!B8</f>
        <v>0</v>
      </c>
      <c r="C8" s="2075">
        <f>境外所得纳税调整后所得审核表!O8</f>
        <v>0</v>
      </c>
      <c r="D8" s="2075">
        <f>境外所得纳税调整后所得审核表!S8</f>
        <v>0</v>
      </c>
      <c r="E8" s="2075">
        <f>境外分支机构弥补亏损审核表!E11+境外分支机构弥补亏损审核表!N11</f>
        <v>0</v>
      </c>
      <c r="F8" s="2075">
        <f t="shared" si="0"/>
        <v>0</v>
      </c>
      <c r="G8" s="2076"/>
      <c r="H8" s="2075">
        <f t="shared" si="1"/>
        <v>0</v>
      </c>
      <c r="I8" s="2076"/>
      <c r="J8" s="2075">
        <f t="shared" si="2"/>
        <v>0</v>
      </c>
      <c r="K8" s="2075">
        <f>境外所得纳税调整后所得审核表!N8</f>
        <v>0</v>
      </c>
      <c r="L8" s="2076"/>
      <c r="M8" s="2075">
        <f t="shared" si="3"/>
        <v>0</v>
      </c>
      <c r="N8" s="2075">
        <f t="shared" si="4"/>
        <v>0</v>
      </c>
      <c r="O8" s="2075">
        <f>MIN(N8,跨年度结转抵免境外所得税审核表!N8)</f>
        <v>0</v>
      </c>
      <c r="P8" s="2076"/>
      <c r="Q8" s="2076"/>
      <c r="R8" s="2076"/>
      <c r="S8" s="2075">
        <f t="shared" si="5"/>
        <v>0</v>
      </c>
      <c r="T8" s="2075">
        <f t="shared" si="6"/>
        <v>0</v>
      </c>
    </row>
    <row r="9" spans="1:21" s="1616" customFormat="1" ht="14.25" customHeight="1">
      <c r="A9" s="1897">
        <v>4</v>
      </c>
      <c r="B9" s="1901">
        <f>境外所得纳税调整后所得审核表!B9</f>
        <v>0</v>
      </c>
      <c r="C9" s="2075">
        <f>境外所得纳税调整后所得审核表!O9</f>
        <v>0</v>
      </c>
      <c r="D9" s="2075">
        <f>境外所得纳税调整后所得审核表!S9</f>
        <v>0</v>
      </c>
      <c r="E9" s="2075">
        <f>境外分支机构弥补亏损审核表!E12+境外分支机构弥补亏损审核表!N12</f>
        <v>0</v>
      </c>
      <c r="F9" s="2075">
        <f t="shared" si="0"/>
        <v>0</v>
      </c>
      <c r="G9" s="2076"/>
      <c r="H9" s="2075">
        <f t="shared" si="1"/>
        <v>0</v>
      </c>
      <c r="I9" s="2076"/>
      <c r="J9" s="2075">
        <f t="shared" si="2"/>
        <v>0</v>
      </c>
      <c r="K9" s="2075">
        <f>境外所得纳税调整后所得审核表!N9</f>
        <v>0</v>
      </c>
      <c r="L9" s="2076"/>
      <c r="M9" s="2075">
        <f t="shared" si="3"/>
        <v>0</v>
      </c>
      <c r="N9" s="2075">
        <f t="shared" si="4"/>
        <v>0</v>
      </c>
      <c r="O9" s="2075">
        <f>MIN(N9,跨年度结转抵免境外所得税审核表!N9)</f>
        <v>0</v>
      </c>
      <c r="P9" s="2076"/>
      <c r="Q9" s="2076"/>
      <c r="R9" s="2076"/>
      <c r="S9" s="2075">
        <f t="shared" si="5"/>
        <v>0</v>
      </c>
      <c r="T9" s="2075">
        <f t="shared" si="6"/>
        <v>0</v>
      </c>
    </row>
    <row r="10" spans="1:21" s="1616" customFormat="1" ht="14.25" customHeight="1">
      <c r="A10" s="1897">
        <v>5</v>
      </c>
      <c r="B10" s="1901">
        <f>境外所得纳税调整后所得审核表!B10</f>
        <v>0</v>
      </c>
      <c r="C10" s="2075">
        <f>境外所得纳税调整后所得审核表!O10</f>
        <v>0</v>
      </c>
      <c r="D10" s="2075">
        <f>境外所得纳税调整后所得审核表!S10</f>
        <v>0</v>
      </c>
      <c r="E10" s="2075">
        <f>境外分支机构弥补亏损审核表!E13+境外分支机构弥补亏损审核表!N13</f>
        <v>0</v>
      </c>
      <c r="F10" s="2075">
        <f t="shared" si="0"/>
        <v>0</v>
      </c>
      <c r="G10" s="2076"/>
      <c r="H10" s="2075">
        <f t="shared" si="1"/>
        <v>0</v>
      </c>
      <c r="I10" s="2076"/>
      <c r="J10" s="2075">
        <f t="shared" si="2"/>
        <v>0</v>
      </c>
      <c r="K10" s="2075">
        <f>境外所得纳税调整后所得审核表!N10</f>
        <v>0</v>
      </c>
      <c r="L10" s="2076"/>
      <c r="M10" s="2075">
        <f t="shared" si="3"/>
        <v>0</v>
      </c>
      <c r="N10" s="2075">
        <f t="shared" si="4"/>
        <v>0</v>
      </c>
      <c r="O10" s="2075">
        <f>MIN(N10,跨年度结转抵免境外所得税审核表!N10)</f>
        <v>0</v>
      </c>
      <c r="P10" s="2076"/>
      <c r="Q10" s="2076"/>
      <c r="R10" s="2076"/>
      <c r="S10" s="2075">
        <f t="shared" si="5"/>
        <v>0</v>
      </c>
      <c r="T10" s="2075">
        <f t="shared" si="6"/>
        <v>0</v>
      </c>
    </row>
    <row r="11" spans="1:21" s="1616" customFormat="1" ht="14.25" customHeight="1">
      <c r="A11" s="1897">
        <v>6</v>
      </c>
      <c r="B11" s="1901">
        <f>境外所得纳税调整后所得审核表!B11</f>
        <v>0</v>
      </c>
      <c r="C11" s="2075">
        <f>境外所得纳税调整后所得审核表!O11</f>
        <v>0</v>
      </c>
      <c r="D11" s="2075">
        <f>境外所得纳税调整后所得审核表!S11</f>
        <v>0</v>
      </c>
      <c r="E11" s="2075">
        <f>境外分支机构弥补亏损审核表!E14+境外分支机构弥补亏损审核表!N14</f>
        <v>0</v>
      </c>
      <c r="F11" s="2075">
        <f t="shared" si="0"/>
        <v>0</v>
      </c>
      <c r="G11" s="2076"/>
      <c r="H11" s="2075">
        <f t="shared" si="1"/>
        <v>0</v>
      </c>
      <c r="I11" s="2076"/>
      <c r="J11" s="2075">
        <f t="shared" si="2"/>
        <v>0</v>
      </c>
      <c r="K11" s="2075">
        <f>境外所得纳税调整后所得审核表!N11</f>
        <v>0</v>
      </c>
      <c r="L11" s="2076"/>
      <c r="M11" s="2075">
        <f t="shared" si="3"/>
        <v>0</v>
      </c>
      <c r="N11" s="2075">
        <f t="shared" si="4"/>
        <v>0</v>
      </c>
      <c r="O11" s="2075">
        <f>MIN(N11,跨年度结转抵免境外所得税审核表!N11)</f>
        <v>0</v>
      </c>
      <c r="P11" s="2076"/>
      <c r="Q11" s="2076"/>
      <c r="R11" s="2076"/>
      <c r="S11" s="2075">
        <f t="shared" si="5"/>
        <v>0</v>
      </c>
      <c r="T11" s="2075">
        <f t="shared" si="6"/>
        <v>0</v>
      </c>
    </row>
    <row r="12" spans="1:21" s="1616" customFormat="1" ht="14.25" customHeight="1">
      <c r="A12" s="1897">
        <v>7</v>
      </c>
      <c r="B12" s="1901">
        <f>境外所得纳税调整后所得审核表!B12</f>
        <v>0</v>
      </c>
      <c r="C12" s="2075">
        <f>境外所得纳税调整后所得审核表!O12</f>
        <v>0</v>
      </c>
      <c r="D12" s="2075">
        <f>境外所得纳税调整后所得审核表!S12</f>
        <v>0</v>
      </c>
      <c r="E12" s="2075">
        <f>境外分支机构弥补亏损审核表!E15+境外分支机构弥补亏损审核表!N15</f>
        <v>0</v>
      </c>
      <c r="F12" s="2075">
        <f t="shared" si="0"/>
        <v>0</v>
      </c>
      <c r="G12" s="2076"/>
      <c r="H12" s="2075">
        <f t="shared" si="1"/>
        <v>0</v>
      </c>
      <c r="I12" s="2076"/>
      <c r="J12" s="2075">
        <f t="shared" si="2"/>
        <v>0</v>
      </c>
      <c r="K12" s="2075">
        <f>境外所得纳税调整后所得审核表!N12</f>
        <v>0</v>
      </c>
      <c r="L12" s="2076"/>
      <c r="M12" s="2075">
        <f t="shared" si="3"/>
        <v>0</v>
      </c>
      <c r="N12" s="2075">
        <f t="shared" si="4"/>
        <v>0</v>
      </c>
      <c r="O12" s="2075">
        <f>MIN(N12,跨年度结转抵免境外所得税审核表!N12)</f>
        <v>0</v>
      </c>
      <c r="P12" s="2076"/>
      <c r="Q12" s="2076"/>
      <c r="R12" s="2076"/>
      <c r="S12" s="2075">
        <f t="shared" si="5"/>
        <v>0</v>
      </c>
      <c r="T12" s="2075">
        <f t="shared" si="6"/>
        <v>0</v>
      </c>
    </row>
    <row r="13" spans="1:21" s="1616" customFormat="1" ht="14.25" customHeight="1">
      <c r="A13" s="1897">
        <v>8</v>
      </c>
      <c r="B13" s="1901">
        <f>境外所得纳税调整后所得审核表!B13</f>
        <v>0</v>
      </c>
      <c r="C13" s="2075">
        <f>境外所得纳税调整后所得审核表!O13</f>
        <v>0</v>
      </c>
      <c r="D13" s="2075">
        <f>境外所得纳税调整后所得审核表!S13</f>
        <v>0</v>
      </c>
      <c r="E13" s="2075">
        <f>境外分支机构弥补亏损审核表!E16+境外分支机构弥补亏损审核表!N16</f>
        <v>0</v>
      </c>
      <c r="F13" s="2075">
        <f t="shared" si="0"/>
        <v>0</v>
      </c>
      <c r="G13" s="2076"/>
      <c r="H13" s="2075">
        <f t="shared" si="1"/>
        <v>0</v>
      </c>
      <c r="I13" s="2076"/>
      <c r="J13" s="2075">
        <f t="shared" si="2"/>
        <v>0</v>
      </c>
      <c r="K13" s="2075">
        <f>境外所得纳税调整后所得审核表!N13</f>
        <v>0</v>
      </c>
      <c r="L13" s="2076"/>
      <c r="M13" s="2075">
        <f t="shared" si="3"/>
        <v>0</v>
      </c>
      <c r="N13" s="2075">
        <f t="shared" si="4"/>
        <v>0</v>
      </c>
      <c r="O13" s="2075">
        <f>MIN(N13,跨年度结转抵免境外所得税审核表!N13)</f>
        <v>0</v>
      </c>
      <c r="P13" s="2076"/>
      <c r="Q13" s="2076"/>
      <c r="R13" s="2076"/>
      <c r="S13" s="2075">
        <f t="shared" si="5"/>
        <v>0</v>
      </c>
      <c r="T13" s="2075">
        <f t="shared" si="6"/>
        <v>0</v>
      </c>
    </row>
    <row r="14" spans="1:21" s="1616" customFormat="1" ht="14.25" customHeight="1">
      <c r="A14" s="1897">
        <v>9</v>
      </c>
      <c r="B14" s="1901">
        <f>境外所得纳税调整后所得审核表!B14</f>
        <v>0</v>
      </c>
      <c r="C14" s="2075">
        <f>境外所得纳税调整后所得审核表!O14</f>
        <v>0</v>
      </c>
      <c r="D14" s="2075">
        <f>境外所得纳税调整后所得审核表!S14</f>
        <v>0</v>
      </c>
      <c r="E14" s="2075">
        <f>境外分支机构弥补亏损审核表!E17+境外分支机构弥补亏损审核表!N17</f>
        <v>0</v>
      </c>
      <c r="F14" s="2075">
        <f t="shared" si="0"/>
        <v>0</v>
      </c>
      <c r="G14" s="2076"/>
      <c r="H14" s="2075">
        <f t="shared" si="1"/>
        <v>0</v>
      </c>
      <c r="I14" s="2076"/>
      <c r="J14" s="2075">
        <f t="shared" si="2"/>
        <v>0</v>
      </c>
      <c r="K14" s="2075">
        <f>境外所得纳税调整后所得审核表!N14</f>
        <v>0</v>
      </c>
      <c r="L14" s="2076"/>
      <c r="M14" s="2075">
        <f t="shared" si="3"/>
        <v>0</v>
      </c>
      <c r="N14" s="2075">
        <f t="shared" si="4"/>
        <v>0</v>
      </c>
      <c r="O14" s="2075">
        <f>MIN(N14,跨年度结转抵免境外所得税审核表!N14)</f>
        <v>0</v>
      </c>
      <c r="P14" s="2076"/>
      <c r="Q14" s="2076"/>
      <c r="R14" s="2076"/>
      <c r="S14" s="2075">
        <f t="shared" si="5"/>
        <v>0</v>
      </c>
      <c r="T14" s="2075">
        <f t="shared" si="6"/>
        <v>0</v>
      </c>
    </row>
    <row r="15" spans="1:21" s="1616" customFormat="1" ht="14.25" customHeight="1">
      <c r="A15" s="1897">
        <v>10</v>
      </c>
      <c r="B15" s="1897" t="s">
        <v>5558</v>
      </c>
      <c r="C15" s="2075">
        <f>SUM(C6:C14)</f>
        <v>0</v>
      </c>
      <c r="D15" s="2075">
        <f t="shared" ref="D15:H15" si="7">SUM(D6:D14)</f>
        <v>0</v>
      </c>
      <c r="E15" s="2075">
        <f t="shared" si="7"/>
        <v>0</v>
      </c>
      <c r="F15" s="2075">
        <f t="shared" si="7"/>
        <v>0</v>
      </c>
      <c r="G15" s="2076"/>
      <c r="H15" s="2075">
        <f t="shared" si="7"/>
        <v>0</v>
      </c>
      <c r="I15" s="2076"/>
      <c r="J15" s="2075">
        <f t="shared" ref="J15:K15" si="8">SUM(J6:J14)</f>
        <v>0</v>
      </c>
      <c r="K15" s="2075">
        <f t="shared" si="8"/>
        <v>0</v>
      </c>
      <c r="L15" s="2076"/>
      <c r="M15" s="2075">
        <f t="shared" ref="M15" si="9">SUM(M6:M14)</f>
        <v>0</v>
      </c>
      <c r="N15" s="2075">
        <f t="shared" ref="N15" si="10">SUM(N6:N14)</f>
        <v>0</v>
      </c>
      <c r="O15" s="2075">
        <f t="shared" ref="O15" si="11">SUM(O6:O14)</f>
        <v>0</v>
      </c>
      <c r="P15" s="2075">
        <f t="shared" ref="P15" si="12">SUM(P6:P14)</f>
        <v>0</v>
      </c>
      <c r="Q15" s="2075">
        <f t="shared" ref="Q15" si="13">SUM(Q6:Q14)</f>
        <v>0</v>
      </c>
      <c r="R15" s="2075">
        <f t="shared" ref="R15" si="14">SUM(R6:R14)</f>
        <v>0</v>
      </c>
      <c r="S15" s="2075">
        <f t="shared" ref="S15" si="15">SUM(S6:S14)</f>
        <v>0</v>
      </c>
      <c r="T15" s="2075">
        <f t="shared" ref="T15" si="16">SUM(T6:T14)</f>
        <v>0</v>
      </c>
      <c r="U15" s="1770" t="s">
        <v>6476</v>
      </c>
    </row>
    <row r="16" spans="1:21" ht="100.5" customHeight="1">
      <c r="A16" s="1900"/>
      <c r="B16" s="1897"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20">
      <c r="A17" s="3503"/>
      <c r="B17" s="3503"/>
      <c r="C17" s="3503"/>
      <c r="D17" s="3503"/>
      <c r="E17" s="3503"/>
      <c r="F17" s="3503"/>
      <c r="G17" s="3503"/>
      <c r="H17" s="3503"/>
      <c r="I17" s="3503"/>
      <c r="J17" s="3503"/>
      <c r="K17" s="3503"/>
      <c r="L17" s="3503"/>
      <c r="M17" s="3503"/>
      <c r="N17" s="3503"/>
      <c r="O17" s="3503"/>
      <c r="P17" s="3503"/>
      <c r="Q17" s="3503"/>
      <c r="R17" s="3503"/>
      <c r="S17" s="3503"/>
      <c r="T17" s="3503"/>
    </row>
    <row r="18" spans="1:20">
      <c r="A18" s="3503"/>
      <c r="B18" s="3503"/>
      <c r="C18" s="3503"/>
      <c r="D18" s="3503"/>
      <c r="E18" s="3503"/>
      <c r="F18" s="3503"/>
      <c r="G18" s="3503"/>
      <c r="H18" s="3503"/>
      <c r="I18" s="3503"/>
      <c r="J18" s="3503"/>
      <c r="K18" s="3503"/>
      <c r="L18" s="3503"/>
      <c r="M18" s="3503"/>
      <c r="N18" s="3503"/>
      <c r="O18" s="3503"/>
      <c r="P18" s="3503"/>
      <c r="Q18" s="3503"/>
      <c r="R18" s="3503"/>
      <c r="S18" s="3503"/>
      <c r="T18" s="3503"/>
    </row>
    <row r="19" spans="1:20">
      <c r="A19" s="3503"/>
      <c r="B19" s="3503"/>
      <c r="C19" s="3503"/>
      <c r="D19" s="3503"/>
      <c r="E19" s="3503"/>
      <c r="F19" s="3503"/>
      <c r="G19" s="3503"/>
      <c r="H19" s="3503"/>
      <c r="I19" s="3503"/>
      <c r="J19" s="3503"/>
      <c r="K19" s="3503"/>
      <c r="L19" s="3503"/>
      <c r="M19" s="3503"/>
      <c r="N19" s="3503"/>
      <c r="O19" s="3503"/>
      <c r="P19" s="3503"/>
      <c r="Q19" s="3503"/>
      <c r="R19" s="3503"/>
      <c r="S19" s="3503"/>
      <c r="T19" s="3503"/>
    </row>
    <row r="20" spans="1:20">
      <c r="A20" s="3503"/>
      <c r="B20" s="3503"/>
      <c r="C20" s="3503"/>
      <c r="D20" s="3503"/>
      <c r="E20" s="3503"/>
      <c r="F20" s="3503"/>
      <c r="G20" s="3503"/>
      <c r="H20" s="3503"/>
      <c r="I20" s="3503"/>
      <c r="J20" s="3503"/>
      <c r="K20" s="3503"/>
      <c r="L20" s="3503"/>
      <c r="M20" s="3503"/>
      <c r="N20" s="3503"/>
      <c r="O20" s="3503"/>
      <c r="P20" s="3503"/>
      <c r="Q20" s="3503"/>
      <c r="R20" s="3503"/>
      <c r="S20" s="3503"/>
      <c r="T20" s="3503"/>
    </row>
    <row r="21" spans="1:20">
      <c r="A21" s="3503"/>
      <c r="B21" s="3503"/>
      <c r="C21" s="3503"/>
      <c r="D21" s="3503"/>
      <c r="E21" s="3503"/>
      <c r="F21" s="3503"/>
      <c r="G21" s="3503"/>
      <c r="H21" s="3503"/>
      <c r="I21" s="3503"/>
      <c r="J21" s="3503"/>
      <c r="K21" s="3503"/>
      <c r="L21" s="3503"/>
      <c r="M21" s="3503"/>
      <c r="N21" s="3503"/>
      <c r="O21" s="3503"/>
      <c r="P21" s="3503"/>
      <c r="Q21" s="3503"/>
      <c r="R21" s="3503"/>
      <c r="S21" s="3503"/>
      <c r="T21" s="3503"/>
    </row>
    <row r="22" spans="1:20">
      <c r="A22" s="3503"/>
      <c r="B22" s="3503"/>
      <c r="C22" s="3503"/>
      <c r="D22" s="3503"/>
      <c r="E22" s="3503"/>
      <c r="F22" s="3503"/>
      <c r="G22" s="3503"/>
      <c r="H22" s="3503"/>
      <c r="I22" s="3503"/>
      <c r="J22" s="3503"/>
      <c r="K22" s="3503"/>
      <c r="L22" s="3503"/>
      <c r="M22" s="3503"/>
      <c r="N22" s="3503"/>
      <c r="O22" s="3503"/>
      <c r="P22" s="3503"/>
      <c r="Q22" s="3503"/>
      <c r="R22" s="3503"/>
      <c r="S22" s="3503"/>
      <c r="T22" s="3503"/>
    </row>
    <row r="23" spans="1:20">
      <c r="A23" s="3503"/>
      <c r="B23" s="3503"/>
      <c r="C23" s="3503"/>
      <c r="D23" s="3503"/>
      <c r="E23" s="3503"/>
      <c r="F23" s="3503"/>
      <c r="G23" s="3503"/>
      <c r="H23" s="3503"/>
      <c r="I23" s="3503"/>
      <c r="J23" s="3503"/>
      <c r="K23" s="3503"/>
      <c r="L23" s="3503"/>
      <c r="M23" s="3503"/>
      <c r="N23" s="3503"/>
      <c r="O23" s="3503"/>
      <c r="P23" s="3503"/>
      <c r="Q23" s="3503"/>
      <c r="R23" s="3503"/>
      <c r="S23" s="3503"/>
      <c r="T23" s="3503"/>
    </row>
    <row r="24" spans="1:20">
      <c r="A24" s="3503"/>
      <c r="B24" s="3503"/>
      <c r="C24" s="3503"/>
      <c r="D24" s="3503"/>
      <c r="E24" s="3503"/>
      <c r="F24" s="3503"/>
      <c r="G24" s="3503"/>
      <c r="H24" s="3503"/>
      <c r="I24" s="3503"/>
      <c r="J24" s="3503"/>
      <c r="K24" s="3503"/>
      <c r="L24" s="3503"/>
      <c r="M24" s="3503"/>
      <c r="N24" s="3503"/>
      <c r="O24" s="3503"/>
      <c r="P24" s="3503"/>
      <c r="Q24" s="3503"/>
      <c r="R24" s="3503"/>
      <c r="S24" s="3503"/>
      <c r="T24" s="3503"/>
    </row>
    <row r="25" spans="1:20">
      <c r="A25" s="3503"/>
      <c r="B25" s="3503"/>
      <c r="C25" s="3503"/>
      <c r="D25" s="3503"/>
      <c r="E25" s="3503"/>
      <c r="F25" s="3503"/>
      <c r="G25" s="3503"/>
      <c r="H25" s="3503"/>
      <c r="I25" s="3503"/>
      <c r="J25" s="3503"/>
      <c r="K25" s="3503"/>
      <c r="L25" s="3503"/>
      <c r="M25" s="3503"/>
      <c r="N25" s="3503"/>
      <c r="O25" s="3503"/>
      <c r="P25" s="3503"/>
      <c r="Q25" s="3503"/>
      <c r="R25" s="3503"/>
      <c r="S25" s="3503"/>
      <c r="T25" s="3503"/>
    </row>
    <row r="26" spans="1:20">
      <c r="A26" s="3503"/>
      <c r="B26" s="3503"/>
      <c r="C26" s="3503"/>
      <c r="D26" s="3503"/>
      <c r="E26" s="3503"/>
      <c r="F26" s="3503"/>
      <c r="G26" s="3503"/>
      <c r="H26" s="3503"/>
      <c r="I26" s="3503"/>
      <c r="J26" s="3503"/>
      <c r="K26" s="3503"/>
      <c r="L26" s="3503"/>
      <c r="M26" s="3503"/>
      <c r="N26" s="3503"/>
      <c r="O26" s="3503"/>
      <c r="P26" s="3503"/>
      <c r="Q26" s="3503"/>
      <c r="R26" s="3503"/>
      <c r="S26" s="3503"/>
      <c r="T26" s="3503"/>
    </row>
    <row r="27" spans="1:20">
      <c r="A27" s="3503"/>
      <c r="B27" s="3503"/>
      <c r="C27" s="3503"/>
      <c r="D27" s="3503"/>
      <c r="E27" s="3503"/>
      <c r="F27" s="3503"/>
      <c r="G27" s="3503"/>
      <c r="H27" s="3503"/>
      <c r="I27" s="3503"/>
      <c r="J27" s="3503"/>
      <c r="K27" s="3503"/>
      <c r="L27" s="3503"/>
      <c r="M27" s="3503"/>
      <c r="N27" s="3503"/>
      <c r="O27" s="3503"/>
      <c r="P27" s="3503"/>
      <c r="Q27" s="3503"/>
      <c r="R27" s="3503"/>
      <c r="S27" s="3503"/>
      <c r="T27" s="3503"/>
    </row>
    <row r="28" spans="1:20">
      <c r="A28" s="3503"/>
      <c r="B28" s="3503"/>
      <c r="C28" s="3503"/>
      <c r="D28" s="3503"/>
      <c r="E28" s="3503"/>
      <c r="F28" s="3503"/>
      <c r="G28" s="3503"/>
      <c r="H28" s="3503"/>
      <c r="I28" s="3503"/>
      <c r="J28" s="3503"/>
      <c r="K28" s="3503"/>
      <c r="L28" s="3503"/>
      <c r="M28" s="3503"/>
      <c r="N28" s="3503"/>
      <c r="O28" s="3503"/>
      <c r="P28" s="3503"/>
      <c r="Q28" s="3503"/>
      <c r="R28" s="3503"/>
      <c r="S28" s="3503"/>
      <c r="T28" s="3503"/>
    </row>
    <row r="29" spans="1:20">
      <c r="A29" s="3503"/>
      <c r="B29" s="3503"/>
      <c r="C29" s="3503"/>
      <c r="D29" s="3503"/>
      <c r="E29" s="3503"/>
      <c r="F29" s="3503"/>
      <c r="G29" s="3503"/>
      <c r="H29" s="3503"/>
      <c r="I29" s="3503"/>
      <c r="J29" s="3503"/>
      <c r="K29" s="3503"/>
      <c r="L29" s="3503"/>
      <c r="M29" s="3503"/>
      <c r="N29" s="3503"/>
      <c r="O29" s="3503"/>
      <c r="P29" s="3503"/>
      <c r="Q29" s="3503"/>
      <c r="R29" s="3503"/>
      <c r="S29" s="3503"/>
      <c r="T29" s="3503"/>
    </row>
    <row r="30" spans="1:20">
      <c r="A30" s="3503"/>
      <c r="B30" s="3503"/>
      <c r="C30" s="3503"/>
      <c r="D30" s="3503"/>
      <c r="E30" s="3503"/>
      <c r="F30" s="3503"/>
      <c r="G30" s="3503"/>
      <c r="H30" s="3503"/>
      <c r="I30" s="3503"/>
      <c r="J30" s="3503"/>
      <c r="K30" s="3503"/>
      <c r="L30" s="3503"/>
      <c r="M30" s="3503"/>
      <c r="N30" s="3503"/>
      <c r="O30" s="3503"/>
      <c r="P30" s="3503"/>
      <c r="Q30" s="3503"/>
      <c r="R30" s="3503"/>
      <c r="S30" s="3503"/>
      <c r="T30" s="3503"/>
    </row>
    <row r="31" spans="1:20">
      <c r="A31" s="3503"/>
      <c r="B31" s="3503"/>
      <c r="C31" s="3503"/>
      <c r="D31" s="3503"/>
      <c r="E31" s="3503"/>
      <c r="F31" s="3503"/>
      <c r="G31" s="3503"/>
      <c r="H31" s="3503"/>
      <c r="I31" s="3503"/>
      <c r="J31" s="3503"/>
      <c r="K31" s="3503"/>
      <c r="L31" s="3503"/>
      <c r="M31" s="3503"/>
      <c r="N31" s="3503"/>
      <c r="O31" s="3503"/>
      <c r="P31" s="3503"/>
      <c r="Q31" s="3503"/>
      <c r="R31" s="3503"/>
      <c r="S31" s="3503"/>
      <c r="T31" s="3503"/>
    </row>
    <row r="32" spans="1:20">
      <c r="A32" s="3503"/>
      <c r="B32" s="3503"/>
      <c r="C32" s="3503"/>
      <c r="D32" s="3503"/>
      <c r="E32" s="3503"/>
      <c r="F32" s="3503"/>
      <c r="G32" s="3503"/>
      <c r="H32" s="3503"/>
      <c r="I32" s="3503"/>
      <c r="J32" s="3503"/>
      <c r="K32" s="3503"/>
      <c r="L32" s="3503"/>
      <c r="M32" s="3503"/>
      <c r="N32" s="3503"/>
      <c r="O32" s="3503"/>
      <c r="P32" s="3503"/>
      <c r="Q32" s="3503"/>
      <c r="R32" s="3503"/>
      <c r="S32" s="3503"/>
      <c r="T32" s="3503"/>
    </row>
    <row r="33" spans="1:20">
      <c r="A33" s="3503"/>
      <c r="B33" s="3503"/>
      <c r="C33" s="3503"/>
      <c r="D33" s="3503"/>
      <c r="E33" s="3503"/>
      <c r="F33" s="3503"/>
      <c r="G33" s="3503"/>
      <c r="H33" s="3503"/>
      <c r="I33" s="3503"/>
      <c r="J33" s="3503"/>
      <c r="K33" s="3503"/>
      <c r="L33" s="3503"/>
      <c r="M33" s="3503"/>
      <c r="N33" s="3503"/>
      <c r="O33" s="3503"/>
      <c r="P33" s="3503"/>
      <c r="Q33" s="3503"/>
      <c r="R33" s="3503"/>
      <c r="S33" s="3503"/>
      <c r="T33" s="3503"/>
    </row>
    <row r="34" spans="1:20">
      <c r="A34" s="3503"/>
      <c r="B34" s="3503"/>
      <c r="C34" s="3503"/>
      <c r="D34" s="3503"/>
      <c r="E34" s="3503"/>
      <c r="F34" s="3503"/>
      <c r="G34" s="3503"/>
      <c r="H34" s="3503"/>
      <c r="I34" s="3503"/>
      <c r="J34" s="3503"/>
      <c r="K34" s="3503"/>
      <c r="L34" s="3503"/>
      <c r="M34" s="3503"/>
      <c r="N34" s="3503"/>
      <c r="O34" s="3503"/>
      <c r="P34" s="3503"/>
      <c r="Q34" s="3503"/>
      <c r="R34" s="3503"/>
      <c r="S34" s="3503"/>
      <c r="T34" s="3503"/>
    </row>
    <row r="35" spans="1:20">
      <c r="A35" s="3503"/>
      <c r="B35" s="3503"/>
      <c r="C35" s="3503"/>
      <c r="D35" s="3503"/>
      <c r="E35" s="3503"/>
      <c r="F35" s="3503"/>
      <c r="G35" s="3503"/>
      <c r="H35" s="3503"/>
      <c r="I35" s="3503"/>
      <c r="J35" s="3503"/>
      <c r="K35" s="3503"/>
      <c r="L35" s="3503"/>
      <c r="M35" s="3503"/>
      <c r="N35" s="3503"/>
      <c r="O35" s="3503"/>
      <c r="P35" s="3503"/>
      <c r="Q35" s="3503"/>
      <c r="R35" s="3503"/>
      <c r="S35" s="3503"/>
      <c r="T35" s="3503"/>
    </row>
    <row r="36" spans="1:20">
      <c r="A36" s="3503"/>
      <c r="B36" s="3503"/>
      <c r="C36" s="3503"/>
      <c r="D36" s="3503"/>
      <c r="E36" s="3503"/>
      <c r="F36" s="3503"/>
      <c r="G36" s="3503"/>
      <c r="H36" s="3503"/>
      <c r="I36" s="3503"/>
      <c r="J36" s="3503"/>
      <c r="K36" s="3503"/>
      <c r="L36" s="3503"/>
      <c r="M36" s="3503"/>
      <c r="N36" s="3503"/>
      <c r="O36" s="3503"/>
      <c r="P36" s="3503"/>
      <c r="Q36" s="3503"/>
      <c r="R36" s="3503"/>
      <c r="S36" s="3503"/>
      <c r="T36" s="3503"/>
    </row>
    <row r="37" spans="1:20">
      <c r="A37" s="3503"/>
      <c r="B37" s="3503"/>
      <c r="C37" s="3503"/>
      <c r="D37" s="3503"/>
      <c r="E37" s="3503"/>
      <c r="F37" s="3503"/>
      <c r="G37" s="3503"/>
      <c r="H37" s="3503"/>
      <c r="I37" s="3503"/>
      <c r="J37" s="3503"/>
      <c r="K37" s="3503"/>
      <c r="L37" s="3503"/>
      <c r="M37" s="3503"/>
      <c r="N37" s="3503"/>
      <c r="O37" s="3503"/>
      <c r="P37" s="3503"/>
      <c r="Q37" s="3503"/>
      <c r="R37" s="3503"/>
      <c r="S37" s="3503"/>
      <c r="T37" s="3503"/>
    </row>
    <row r="38" spans="1:20">
      <c r="A38" s="3503"/>
      <c r="B38" s="3503"/>
      <c r="C38" s="3503"/>
      <c r="D38" s="3503"/>
      <c r="E38" s="3503"/>
      <c r="F38" s="3503"/>
      <c r="G38" s="3503"/>
      <c r="H38" s="3503"/>
      <c r="I38" s="3503"/>
      <c r="J38" s="3503"/>
      <c r="K38" s="3503"/>
      <c r="L38" s="3503"/>
      <c r="M38" s="3503"/>
      <c r="N38" s="3503"/>
      <c r="O38" s="3503"/>
      <c r="P38" s="3503"/>
      <c r="Q38" s="3503"/>
      <c r="R38" s="3503"/>
      <c r="S38" s="3503"/>
      <c r="T38" s="3503"/>
    </row>
    <row r="39" spans="1:20">
      <c r="A39" s="3503"/>
      <c r="B39" s="3503"/>
      <c r="C39" s="3503"/>
      <c r="D39" s="3503"/>
      <c r="E39" s="3503"/>
      <c r="F39" s="3503"/>
      <c r="G39" s="3503"/>
      <c r="H39" s="3503"/>
      <c r="I39" s="3503"/>
      <c r="J39" s="3503"/>
      <c r="K39" s="3503"/>
      <c r="L39" s="3503"/>
      <c r="M39" s="3503"/>
      <c r="N39" s="3503"/>
      <c r="O39" s="3503"/>
      <c r="P39" s="3503"/>
      <c r="Q39" s="3503"/>
      <c r="R39" s="3503"/>
      <c r="S39" s="3503"/>
      <c r="T39" s="3503"/>
    </row>
    <row r="40" spans="1:20">
      <c r="A40" s="3503"/>
      <c r="B40" s="3503"/>
      <c r="C40" s="3503"/>
      <c r="D40" s="3503"/>
      <c r="E40" s="3503"/>
      <c r="F40" s="3503"/>
      <c r="G40" s="3503"/>
      <c r="H40" s="3503"/>
      <c r="I40" s="3503"/>
      <c r="J40" s="3503"/>
      <c r="K40" s="3503"/>
      <c r="L40" s="3503"/>
      <c r="M40" s="3503"/>
      <c r="N40" s="3503"/>
      <c r="O40" s="3503"/>
      <c r="P40" s="3503"/>
      <c r="Q40" s="3503"/>
      <c r="R40" s="3503"/>
      <c r="S40" s="3503"/>
      <c r="T40" s="3503"/>
    </row>
    <row r="41" spans="1:20">
      <c r="A41" s="3503"/>
      <c r="B41" s="3503"/>
      <c r="C41" s="3503"/>
      <c r="D41" s="3503"/>
      <c r="E41" s="3503"/>
      <c r="F41" s="3503"/>
      <c r="G41" s="3503"/>
      <c r="H41" s="3503"/>
      <c r="I41" s="3503"/>
      <c r="J41" s="3503"/>
      <c r="K41" s="3503"/>
      <c r="L41" s="3503"/>
      <c r="M41" s="3503"/>
      <c r="N41" s="3503"/>
      <c r="O41" s="3503"/>
      <c r="P41" s="3503"/>
      <c r="Q41" s="3503"/>
      <c r="R41" s="3503"/>
      <c r="S41" s="3503"/>
      <c r="T41" s="3503"/>
    </row>
    <row r="42" spans="1:20">
      <c r="A42" s="3503"/>
      <c r="B42" s="3503"/>
      <c r="C42" s="3503"/>
      <c r="D42" s="3503"/>
      <c r="E42" s="3503"/>
      <c r="F42" s="3503"/>
      <c r="G42" s="3503"/>
      <c r="H42" s="3503"/>
      <c r="I42" s="3503"/>
      <c r="J42" s="3503"/>
      <c r="K42" s="3503"/>
      <c r="L42" s="3503"/>
      <c r="M42" s="3503"/>
      <c r="N42" s="3503"/>
      <c r="O42" s="3503"/>
      <c r="P42" s="3503"/>
      <c r="Q42" s="3503"/>
      <c r="R42" s="3503"/>
      <c r="S42" s="3503"/>
      <c r="T42" s="3503"/>
    </row>
    <row r="43" spans="1:20">
      <c r="A43" s="3503"/>
      <c r="B43" s="3503"/>
      <c r="C43" s="3503"/>
      <c r="D43" s="3503"/>
      <c r="E43" s="3503"/>
      <c r="F43" s="3503"/>
      <c r="G43" s="3503"/>
      <c r="H43" s="3503"/>
      <c r="I43" s="3503"/>
      <c r="J43" s="3503"/>
      <c r="K43" s="3503"/>
      <c r="L43" s="3503"/>
      <c r="M43" s="3503"/>
      <c r="N43" s="3503"/>
      <c r="O43" s="3503"/>
      <c r="P43" s="3503"/>
      <c r="Q43" s="3503"/>
      <c r="R43" s="3503"/>
      <c r="S43" s="3503"/>
      <c r="T43" s="3503"/>
    </row>
    <row r="44" spans="1:20">
      <c r="A44" s="3503"/>
      <c r="B44" s="3503"/>
      <c r="C44" s="3503"/>
      <c r="D44" s="3503"/>
      <c r="E44" s="3503"/>
      <c r="F44" s="3503"/>
      <c r="G44" s="3503"/>
      <c r="H44" s="3503"/>
      <c r="I44" s="3503"/>
      <c r="J44" s="3503"/>
      <c r="K44" s="3503"/>
      <c r="L44" s="3503"/>
      <c r="M44" s="3503"/>
      <c r="N44" s="3503"/>
      <c r="O44" s="3503"/>
      <c r="P44" s="3503"/>
      <c r="Q44" s="3503"/>
      <c r="R44" s="3503"/>
      <c r="S44" s="3503"/>
      <c r="T44" s="3503"/>
    </row>
    <row r="45" spans="1:20">
      <c r="A45" s="3503"/>
      <c r="B45" s="3503"/>
      <c r="C45" s="3503"/>
      <c r="D45" s="3503"/>
      <c r="E45" s="3503"/>
      <c r="F45" s="3503"/>
      <c r="G45" s="3503"/>
      <c r="H45" s="3503"/>
      <c r="I45" s="3503"/>
      <c r="J45" s="3503"/>
      <c r="K45" s="3503"/>
      <c r="L45" s="3503"/>
      <c r="M45" s="3503"/>
      <c r="N45" s="3503"/>
      <c r="O45" s="3503"/>
      <c r="P45" s="3503"/>
      <c r="Q45" s="3503"/>
      <c r="R45" s="3503"/>
      <c r="S45" s="3503"/>
      <c r="T45" s="3503"/>
    </row>
    <row r="46" spans="1:20">
      <c r="A46" s="3503"/>
      <c r="B46" s="3503"/>
      <c r="C46" s="3503"/>
      <c r="D46" s="3503"/>
      <c r="E46" s="3503"/>
      <c r="F46" s="3503"/>
      <c r="G46" s="3503"/>
      <c r="H46" s="3503"/>
      <c r="I46" s="3503"/>
      <c r="J46" s="3503"/>
      <c r="K46" s="3503"/>
      <c r="L46" s="3503"/>
      <c r="M46" s="3503"/>
      <c r="N46" s="3503"/>
      <c r="O46" s="3503"/>
      <c r="P46" s="3503"/>
      <c r="Q46" s="3503"/>
      <c r="R46" s="3503"/>
      <c r="S46" s="3503"/>
      <c r="T46" s="3503"/>
    </row>
    <row r="47" spans="1:20">
      <c r="A47" s="3503"/>
      <c r="B47" s="3503"/>
      <c r="C47" s="3503"/>
      <c r="D47" s="3503"/>
      <c r="E47" s="3503"/>
      <c r="F47" s="3503"/>
      <c r="G47" s="3503"/>
      <c r="H47" s="3503"/>
      <c r="I47" s="3503"/>
      <c r="J47" s="3503"/>
      <c r="K47" s="3503"/>
      <c r="L47" s="3503"/>
      <c r="M47" s="3503"/>
      <c r="N47" s="3503"/>
      <c r="O47" s="3503"/>
      <c r="P47" s="3503"/>
      <c r="Q47" s="3503"/>
      <c r="R47" s="3503"/>
      <c r="S47" s="3503"/>
      <c r="T47" s="3503"/>
    </row>
    <row r="48" spans="1:20">
      <c r="A48" s="3503"/>
      <c r="B48" s="3503"/>
      <c r="C48" s="3503"/>
      <c r="D48" s="3503"/>
      <c r="E48" s="3503"/>
      <c r="F48" s="3503"/>
      <c r="G48" s="3503"/>
      <c r="H48" s="3503"/>
      <c r="I48" s="3503"/>
      <c r="J48" s="3503"/>
      <c r="K48" s="3503"/>
      <c r="L48" s="3503"/>
      <c r="M48" s="3503"/>
      <c r="N48" s="3503"/>
      <c r="O48" s="3503"/>
      <c r="P48" s="3503"/>
      <c r="Q48" s="3503"/>
      <c r="R48" s="3503"/>
      <c r="S48" s="3503"/>
      <c r="T48" s="3503"/>
    </row>
    <row r="49" spans="1:20">
      <c r="A49" s="3503"/>
      <c r="B49" s="3503"/>
      <c r="C49" s="3503"/>
      <c r="D49" s="3503"/>
      <c r="E49" s="3503"/>
      <c r="F49" s="3503"/>
      <c r="G49" s="3503"/>
      <c r="H49" s="3503"/>
      <c r="I49" s="3503"/>
      <c r="J49" s="3503"/>
      <c r="K49" s="3503"/>
      <c r="L49" s="3503"/>
      <c r="M49" s="3503"/>
      <c r="N49" s="3503"/>
      <c r="O49" s="3503"/>
      <c r="P49" s="3503"/>
      <c r="Q49" s="3503"/>
      <c r="R49" s="3503"/>
      <c r="S49" s="3503"/>
      <c r="T49" s="3503"/>
    </row>
    <row r="50" spans="1:20">
      <c r="A50" s="3503"/>
      <c r="B50" s="3503"/>
      <c r="C50" s="3503"/>
      <c r="D50" s="3503"/>
      <c r="E50" s="3503"/>
      <c r="F50" s="3503"/>
      <c r="G50" s="3503"/>
      <c r="H50" s="3503"/>
      <c r="I50" s="3503"/>
      <c r="J50" s="3503"/>
      <c r="K50" s="3503"/>
      <c r="L50" s="3503"/>
      <c r="M50" s="3503"/>
      <c r="N50" s="3503"/>
      <c r="O50" s="3503"/>
      <c r="P50" s="3503"/>
      <c r="Q50" s="3503"/>
      <c r="R50" s="3503"/>
      <c r="S50" s="3503"/>
      <c r="T50" s="3503"/>
    </row>
    <row r="51" spans="1:20">
      <c r="A51" s="3503"/>
      <c r="B51" s="3503"/>
      <c r="C51" s="3503"/>
      <c r="D51" s="3503"/>
      <c r="E51" s="3503"/>
      <c r="F51" s="3503"/>
      <c r="G51" s="3503"/>
      <c r="H51" s="3503"/>
      <c r="I51" s="3503"/>
      <c r="J51" s="3503"/>
      <c r="K51" s="3503"/>
      <c r="L51" s="3503"/>
      <c r="M51" s="3503"/>
      <c r="N51" s="3503"/>
      <c r="O51" s="3503"/>
      <c r="P51" s="3503"/>
      <c r="Q51" s="3503"/>
      <c r="R51" s="3503"/>
      <c r="S51" s="3503"/>
      <c r="T51" s="3503"/>
    </row>
    <row r="52" spans="1:20">
      <c r="A52" s="3503"/>
      <c r="B52" s="3503"/>
      <c r="C52" s="3503"/>
      <c r="D52" s="3503"/>
      <c r="E52" s="3503"/>
      <c r="F52" s="3503"/>
      <c r="G52" s="3503"/>
      <c r="H52" s="3503"/>
      <c r="I52" s="3503"/>
      <c r="J52" s="3503"/>
      <c r="K52" s="3503"/>
      <c r="L52" s="3503"/>
      <c r="M52" s="3503"/>
      <c r="N52" s="3503"/>
      <c r="O52" s="3503"/>
      <c r="P52" s="3503"/>
      <c r="Q52" s="3503"/>
      <c r="R52" s="3503"/>
      <c r="S52" s="3503"/>
      <c r="T52" s="3503"/>
    </row>
    <row r="53" spans="1:20">
      <c r="A53" s="3503"/>
      <c r="B53" s="3503"/>
      <c r="C53" s="3503"/>
      <c r="D53" s="3503"/>
      <c r="E53" s="3503"/>
      <c r="F53" s="3503"/>
      <c r="G53" s="3503"/>
      <c r="H53" s="3503"/>
      <c r="I53" s="3503"/>
      <c r="J53" s="3503"/>
      <c r="K53" s="3503"/>
      <c r="L53" s="3503"/>
      <c r="M53" s="3503"/>
      <c r="N53" s="3503"/>
      <c r="O53" s="3503"/>
      <c r="P53" s="3503"/>
      <c r="Q53" s="3503"/>
      <c r="R53" s="3503"/>
      <c r="S53" s="3503"/>
      <c r="T53" s="3503"/>
    </row>
    <row r="54" spans="1:20">
      <c r="A54" s="3503"/>
      <c r="B54" s="3503"/>
      <c r="C54" s="3503"/>
      <c r="D54" s="3503"/>
      <c r="E54" s="3503"/>
      <c r="F54" s="3503"/>
      <c r="G54" s="3503"/>
      <c r="H54" s="3503"/>
      <c r="I54" s="3503"/>
      <c r="J54" s="3503"/>
      <c r="K54" s="3503"/>
      <c r="L54" s="3503"/>
      <c r="M54" s="3503"/>
      <c r="N54" s="3503"/>
      <c r="O54" s="3503"/>
      <c r="P54" s="3503"/>
      <c r="Q54" s="3503"/>
      <c r="R54" s="3503"/>
      <c r="S54" s="3503"/>
      <c r="T54" s="3503"/>
    </row>
    <row r="55" spans="1:20">
      <c r="A55" s="3503"/>
      <c r="B55" s="3503"/>
      <c r="C55" s="3503"/>
      <c r="D55" s="3503"/>
      <c r="E55" s="3503"/>
      <c r="F55" s="3503"/>
      <c r="G55" s="3503"/>
      <c r="H55" s="3503"/>
      <c r="I55" s="3503"/>
      <c r="J55" s="3503"/>
      <c r="K55" s="3503"/>
      <c r="L55" s="3503"/>
      <c r="M55" s="3503"/>
      <c r="N55" s="3503"/>
      <c r="O55" s="3503"/>
      <c r="P55" s="3503"/>
      <c r="Q55" s="3503"/>
      <c r="R55" s="3503"/>
      <c r="S55" s="3503"/>
      <c r="T55" s="3503"/>
    </row>
    <row r="56" spans="1:20">
      <c r="A56" s="3503"/>
      <c r="B56" s="3503"/>
      <c r="C56" s="3503"/>
      <c r="D56" s="3503"/>
      <c r="E56" s="3503"/>
      <c r="F56" s="3503"/>
      <c r="G56" s="3503"/>
      <c r="H56" s="3503"/>
      <c r="I56" s="3503"/>
      <c r="J56" s="3503"/>
      <c r="K56" s="3503"/>
      <c r="L56" s="3503"/>
      <c r="M56" s="3503"/>
      <c r="N56" s="3503"/>
      <c r="O56" s="3503"/>
      <c r="P56" s="3503"/>
      <c r="Q56" s="3503"/>
      <c r="R56" s="3503"/>
      <c r="S56" s="3503"/>
      <c r="T56" s="3503"/>
    </row>
    <row r="57" spans="1:20">
      <c r="A57" s="3503"/>
      <c r="B57" s="3503"/>
      <c r="C57" s="3503"/>
      <c r="D57" s="3503"/>
      <c r="E57" s="3503"/>
      <c r="F57" s="3503"/>
      <c r="G57" s="3503"/>
      <c r="H57" s="3503"/>
      <c r="I57" s="3503"/>
      <c r="J57" s="3503"/>
      <c r="K57" s="3503"/>
      <c r="L57" s="3503"/>
      <c r="M57" s="3503"/>
      <c r="N57" s="3503"/>
      <c r="O57" s="3503"/>
      <c r="P57" s="3503"/>
      <c r="Q57" s="3503"/>
      <c r="R57" s="3503"/>
      <c r="S57" s="3503"/>
      <c r="T57" s="3503"/>
    </row>
    <row r="58" spans="1:20">
      <c r="A58" s="3503"/>
      <c r="B58" s="3503"/>
      <c r="C58" s="3503"/>
      <c r="D58" s="3503"/>
      <c r="E58" s="3503"/>
      <c r="F58" s="3503"/>
      <c r="G58" s="3503"/>
      <c r="H58" s="3503"/>
      <c r="I58" s="3503"/>
      <c r="J58" s="3503"/>
      <c r="K58" s="3503"/>
      <c r="L58" s="3503"/>
      <c r="M58" s="3503"/>
      <c r="N58" s="3503"/>
      <c r="O58" s="3503"/>
      <c r="P58" s="3503"/>
      <c r="Q58" s="3503"/>
      <c r="R58" s="3503"/>
      <c r="S58" s="3503"/>
      <c r="T58" s="3503"/>
    </row>
    <row r="59" spans="1:20">
      <c r="A59" s="3503"/>
      <c r="B59" s="3503"/>
      <c r="C59" s="3503"/>
      <c r="D59" s="3503"/>
      <c r="E59" s="3503"/>
      <c r="F59" s="3503"/>
      <c r="G59" s="3503"/>
      <c r="H59" s="3503"/>
      <c r="I59" s="3503"/>
      <c r="J59" s="3503"/>
      <c r="K59" s="3503"/>
      <c r="L59" s="3503"/>
      <c r="M59" s="3503"/>
      <c r="N59" s="3503"/>
      <c r="O59" s="3503"/>
      <c r="P59" s="3503"/>
      <c r="Q59" s="3503"/>
      <c r="R59" s="3503"/>
      <c r="S59" s="3503"/>
      <c r="T59" s="3503"/>
    </row>
    <row r="60" spans="1:20">
      <c r="A60" s="3503"/>
      <c r="B60" s="3503"/>
      <c r="C60" s="3503"/>
      <c r="D60" s="3503"/>
      <c r="E60" s="3503"/>
      <c r="F60" s="3503"/>
      <c r="G60" s="3503"/>
      <c r="H60" s="3503"/>
      <c r="I60" s="3503"/>
      <c r="J60" s="3503"/>
      <c r="K60" s="3503"/>
      <c r="L60" s="3503"/>
      <c r="M60" s="3503"/>
      <c r="N60" s="3503"/>
      <c r="O60" s="3503"/>
      <c r="P60" s="3503"/>
      <c r="Q60" s="3503"/>
      <c r="R60" s="3503"/>
      <c r="S60" s="3503"/>
      <c r="T60" s="3503"/>
    </row>
    <row r="61" spans="1:20">
      <c r="A61" s="3503"/>
      <c r="B61" s="3503"/>
      <c r="C61" s="3503"/>
      <c r="D61" s="3503"/>
      <c r="E61" s="3503"/>
      <c r="F61" s="3503"/>
      <c r="G61" s="3503"/>
      <c r="H61" s="3503"/>
      <c r="I61" s="3503"/>
      <c r="J61" s="3503"/>
      <c r="K61" s="3503"/>
      <c r="L61" s="3503"/>
      <c r="M61" s="3503"/>
      <c r="N61" s="3503"/>
      <c r="O61" s="3503"/>
      <c r="P61" s="3503"/>
      <c r="Q61" s="3503"/>
      <c r="R61" s="3503"/>
      <c r="S61" s="3503"/>
      <c r="T61" s="3503"/>
    </row>
    <row r="62" spans="1:20">
      <c r="A62" s="3503"/>
      <c r="B62" s="3503"/>
      <c r="C62" s="3503"/>
      <c r="D62" s="3503"/>
      <c r="E62" s="3503"/>
      <c r="F62" s="3503"/>
      <c r="G62" s="3503"/>
      <c r="H62" s="3503"/>
      <c r="I62" s="3503"/>
      <c r="J62" s="3503"/>
      <c r="K62" s="3503"/>
      <c r="L62" s="3503"/>
      <c r="M62" s="3503"/>
      <c r="N62" s="3503"/>
      <c r="O62" s="3503"/>
      <c r="P62" s="3503"/>
      <c r="Q62" s="3503"/>
      <c r="R62" s="3503"/>
      <c r="S62" s="3503"/>
      <c r="T62" s="3503"/>
    </row>
    <row r="63" spans="1:20">
      <c r="A63" s="3503"/>
      <c r="B63" s="3503"/>
      <c r="C63" s="3503"/>
      <c r="D63" s="3503"/>
      <c r="E63" s="3503"/>
      <c r="F63" s="3503"/>
      <c r="G63" s="3503"/>
      <c r="H63" s="3503"/>
      <c r="I63" s="3503"/>
      <c r="J63" s="3503"/>
      <c r="K63" s="3503"/>
      <c r="L63" s="3503"/>
      <c r="M63" s="3503"/>
      <c r="N63" s="3503"/>
      <c r="O63" s="3503"/>
      <c r="P63" s="3503"/>
      <c r="Q63" s="3503"/>
      <c r="R63" s="3503"/>
      <c r="S63" s="3503"/>
      <c r="T63" s="3503"/>
    </row>
  </sheetData>
  <mergeCells count="65">
    <mergeCell ref="A60:T60"/>
    <mergeCell ref="A61:T61"/>
    <mergeCell ref="A62:T62"/>
    <mergeCell ref="A63:T63"/>
    <mergeCell ref="A54:T54"/>
    <mergeCell ref="A55:T55"/>
    <mergeCell ref="A56:T56"/>
    <mergeCell ref="A57:T57"/>
    <mergeCell ref="A58:T58"/>
    <mergeCell ref="A59:T59"/>
    <mergeCell ref="A53:T53"/>
    <mergeCell ref="A42:T42"/>
    <mergeCell ref="A43:T43"/>
    <mergeCell ref="A44:T44"/>
    <mergeCell ref="A45:T45"/>
    <mergeCell ref="A46:T46"/>
    <mergeCell ref="A47:T47"/>
    <mergeCell ref="A48:T48"/>
    <mergeCell ref="A49:T49"/>
    <mergeCell ref="A50:T50"/>
    <mergeCell ref="A51:T51"/>
    <mergeCell ref="A52:T52"/>
    <mergeCell ref="A41:T41"/>
    <mergeCell ref="A30:T30"/>
    <mergeCell ref="A31:T31"/>
    <mergeCell ref="A32:T32"/>
    <mergeCell ref="A33:T33"/>
    <mergeCell ref="A34:T34"/>
    <mergeCell ref="A35:T35"/>
    <mergeCell ref="A36:T36"/>
    <mergeCell ref="A37:T37"/>
    <mergeCell ref="A38:T38"/>
    <mergeCell ref="A39:T39"/>
    <mergeCell ref="A40:T40"/>
    <mergeCell ref="A26:T26"/>
    <mergeCell ref="A27:T27"/>
    <mergeCell ref="A28:T28"/>
    <mergeCell ref="A29:T29"/>
    <mergeCell ref="A18:T18"/>
    <mergeCell ref="A19:T19"/>
    <mergeCell ref="A20:T20"/>
    <mergeCell ref="A21:T21"/>
    <mergeCell ref="A22:T22"/>
    <mergeCell ref="A23:T23"/>
    <mergeCell ref="M3:M4"/>
    <mergeCell ref="N3:N4"/>
    <mergeCell ref="A17:T17"/>
    <mergeCell ref="A24:T24"/>
    <mergeCell ref="A25:T2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69921875" defaultRowHeight="13.2"/>
  <cols>
    <col min="1" max="1" width="5.1992187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68" t="str">
        <f>"索引号："&amp;档案索引!D18</f>
        <v>索引号：2B-13</v>
      </c>
      <c r="B1" s="3468"/>
      <c r="C1" s="3468"/>
      <c r="D1" s="3468"/>
      <c r="E1" s="3468"/>
      <c r="F1" s="3468"/>
      <c r="G1" s="3468"/>
      <c r="H1" s="3468"/>
      <c r="I1" s="3468"/>
      <c r="J1" s="3468"/>
      <c r="K1" s="3468"/>
      <c r="L1" s="3468"/>
      <c r="M1" s="3468"/>
      <c r="N1" s="3468"/>
      <c r="O1" s="3468"/>
      <c r="P1" s="3468"/>
      <c r="Q1" s="3468"/>
      <c r="R1" s="3468"/>
      <c r="S1" s="3468"/>
    </row>
    <row r="2" spans="1:20" s="1620" customFormat="1" ht="25.5" customHeight="1">
      <c r="A2" s="3499" t="s">
        <v>5944</v>
      </c>
      <c r="B2" s="3499"/>
      <c r="C2" s="3499"/>
      <c r="D2" s="3499"/>
      <c r="E2" s="3499"/>
      <c r="F2" s="3499"/>
      <c r="G2" s="3499"/>
      <c r="H2" s="3499"/>
      <c r="I2" s="3499"/>
      <c r="J2" s="3499"/>
      <c r="K2" s="3499"/>
      <c r="L2" s="3499"/>
      <c r="M2" s="3499"/>
      <c r="N2" s="3499"/>
      <c r="O2" s="3499"/>
      <c r="P2" s="3499"/>
      <c r="Q2" s="3499"/>
      <c r="R2" s="3499"/>
      <c r="S2" s="3500"/>
    </row>
    <row r="3" spans="1:20" s="1618" customFormat="1" ht="24" customHeight="1">
      <c r="A3" s="3407" t="s">
        <v>5671</v>
      </c>
      <c r="B3" s="3407" t="s">
        <v>5787</v>
      </c>
      <c r="C3" s="3501" t="s">
        <v>5817</v>
      </c>
      <c r="D3" s="3502"/>
      <c r="E3" s="3502"/>
      <c r="F3" s="3502"/>
      <c r="G3" s="3502"/>
      <c r="H3" s="3502"/>
      <c r="I3" s="3502"/>
      <c r="J3" s="3504"/>
      <c r="K3" s="3501" t="s">
        <v>5818</v>
      </c>
      <c r="L3" s="3502"/>
      <c r="M3" s="3502"/>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619"/>
      <c r="C6" s="2076"/>
      <c r="D6" s="2076"/>
      <c r="E6" s="2076"/>
      <c r="F6" s="2076"/>
      <c r="G6" s="2076"/>
      <c r="H6" s="2076"/>
      <c r="I6" s="2076"/>
      <c r="J6" s="2075">
        <f>SUM(B6:I6)</f>
        <v>0</v>
      </c>
      <c r="K6" s="2076"/>
      <c r="L6" s="2076"/>
      <c r="M6" s="2076"/>
      <c r="N6" s="2075">
        <f>SUM(K6:M6)</f>
        <v>0</v>
      </c>
      <c r="O6" s="2075">
        <f>SUM(J6:L6)</f>
        <v>0</v>
      </c>
      <c r="P6" s="2076"/>
      <c r="Q6" s="2076"/>
      <c r="R6" s="2076"/>
      <c r="S6" s="2075">
        <f>O6+T8</f>
        <v>0</v>
      </c>
    </row>
    <row r="7" spans="1:20" s="1616" customFormat="1" ht="14.25" customHeight="1">
      <c r="A7" s="1897">
        <v>2</v>
      </c>
      <c r="B7" s="1619"/>
      <c r="C7" s="2076"/>
      <c r="D7" s="2076"/>
      <c r="E7" s="2076"/>
      <c r="F7" s="2076"/>
      <c r="G7" s="2076"/>
      <c r="H7" s="2076"/>
      <c r="I7" s="2076"/>
      <c r="J7" s="2075">
        <f t="shared" ref="J7:J14" si="0">SUM(B7:I7)</f>
        <v>0</v>
      </c>
      <c r="K7" s="2076"/>
      <c r="L7" s="2076"/>
      <c r="M7" s="2076"/>
      <c r="N7" s="2075">
        <f t="shared" ref="N7:N14" si="1">SUM(K7:M7)</f>
        <v>0</v>
      </c>
      <c r="O7" s="2075">
        <f t="shared" ref="O7:O14" si="2">SUM(J7:L7)</f>
        <v>0</v>
      </c>
      <c r="P7" s="2076"/>
      <c r="Q7" s="2076"/>
      <c r="R7" s="2076"/>
      <c r="S7" s="2075">
        <f t="shared" ref="S7:S14" si="3">O7+P7-Q7-R7</f>
        <v>0</v>
      </c>
    </row>
    <row r="8" spans="1:20" s="1616" customFormat="1" ht="14.25" customHeight="1">
      <c r="A8" s="1897">
        <v>3</v>
      </c>
      <c r="B8" s="1619"/>
      <c r="C8" s="2076"/>
      <c r="D8" s="2076"/>
      <c r="E8" s="2076"/>
      <c r="F8" s="2076"/>
      <c r="G8" s="2076"/>
      <c r="H8" s="2076"/>
      <c r="I8" s="2076"/>
      <c r="J8" s="2075">
        <f t="shared" si="0"/>
        <v>0</v>
      </c>
      <c r="K8" s="2076"/>
      <c r="L8" s="2076"/>
      <c r="M8" s="2076"/>
      <c r="N8" s="2075">
        <f t="shared" si="1"/>
        <v>0</v>
      </c>
      <c r="O8" s="2075">
        <f t="shared" si="2"/>
        <v>0</v>
      </c>
      <c r="P8" s="2076"/>
      <c r="Q8" s="2076"/>
      <c r="R8" s="2076"/>
      <c r="S8" s="2075">
        <f t="shared" si="3"/>
        <v>0</v>
      </c>
    </row>
    <row r="9" spans="1:20" s="1616" customFormat="1" ht="14.25" customHeight="1">
      <c r="A9" s="1897">
        <v>4</v>
      </c>
      <c r="B9" s="1619"/>
      <c r="C9" s="2076"/>
      <c r="D9" s="2076"/>
      <c r="E9" s="2076"/>
      <c r="F9" s="2076"/>
      <c r="G9" s="2076"/>
      <c r="H9" s="2076"/>
      <c r="I9" s="2076"/>
      <c r="J9" s="2075">
        <f t="shared" si="0"/>
        <v>0</v>
      </c>
      <c r="K9" s="2076"/>
      <c r="L9" s="2076"/>
      <c r="M9" s="2076"/>
      <c r="N9" s="2075">
        <f t="shared" si="1"/>
        <v>0</v>
      </c>
      <c r="O9" s="2075">
        <f t="shared" si="2"/>
        <v>0</v>
      </c>
      <c r="P9" s="2076"/>
      <c r="Q9" s="2076"/>
      <c r="R9" s="2076"/>
      <c r="S9" s="2075">
        <f t="shared" si="3"/>
        <v>0</v>
      </c>
    </row>
    <row r="10" spans="1:20" s="1616" customFormat="1" ht="14.25" customHeight="1">
      <c r="A10" s="1897">
        <v>5</v>
      </c>
      <c r="B10" s="1619"/>
      <c r="C10" s="2076"/>
      <c r="D10" s="2076"/>
      <c r="E10" s="2076"/>
      <c r="F10" s="2076"/>
      <c r="G10" s="2076"/>
      <c r="H10" s="2076"/>
      <c r="I10" s="2076"/>
      <c r="J10" s="2075">
        <f t="shared" si="0"/>
        <v>0</v>
      </c>
      <c r="K10" s="2076"/>
      <c r="L10" s="2076"/>
      <c r="M10" s="2076"/>
      <c r="N10" s="2075">
        <f t="shared" si="1"/>
        <v>0</v>
      </c>
      <c r="O10" s="2075">
        <f t="shared" si="2"/>
        <v>0</v>
      </c>
      <c r="P10" s="2076"/>
      <c r="Q10" s="2076"/>
      <c r="R10" s="2076"/>
      <c r="S10" s="2075">
        <f t="shared" si="3"/>
        <v>0</v>
      </c>
    </row>
    <row r="11" spans="1:20" s="1616" customFormat="1" ht="14.25" customHeight="1">
      <c r="A11" s="1897">
        <v>6</v>
      </c>
      <c r="B11" s="1619"/>
      <c r="C11" s="2076"/>
      <c r="D11" s="2076"/>
      <c r="E11" s="2076"/>
      <c r="F11" s="2076"/>
      <c r="G11" s="2076"/>
      <c r="H11" s="2076"/>
      <c r="I11" s="2076"/>
      <c r="J11" s="2075">
        <f t="shared" si="0"/>
        <v>0</v>
      </c>
      <c r="K11" s="2076"/>
      <c r="L11" s="2076"/>
      <c r="M11" s="2076"/>
      <c r="N11" s="2075">
        <f t="shared" si="1"/>
        <v>0</v>
      </c>
      <c r="O11" s="2075">
        <f t="shared" si="2"/>
        <v>0</v>
      </c>
      <c r="P11" s="2076"/>
      <c r="Q11" s="2076"/>
      <c r="R11" s="2076"/>
      <c r="S11" s="2075">
        <f t="shared" si="3"/>
        <v>0</v>
      </c>
    </row>
    <row r="12" spans="1:20" s="1616" customFormat="1" ht="14.25" customHeight="1">
      <c r="A12" s="1897">
        <v>7</v>
      </c>
      <c r="B12" s="1619"/>
      <c r="C12" s="2076"/>
      <c r="D12" s="2076"/>
      <c r="E12" s="2076"/>
      <c r="F12" s="2076"/>
      <c r="G12" s="2076"/>
      <c r="H12" s="2076"/>
      <c r="I12" s="2076"/>
      <c r="J12" s="2075">
        <f t="shared" si="0"/>
        <v>0</v>
      </c>
      <c r="K12" s="2076"/>
      <c r="L12" s="2076"/>
      <c r="M12" s="2076"/>
      <c r="N12" s="2075">
        <f t="shared" si="1"/>
        <v>0</v>
      </c>
      <c r="O12" s="2075">
        <f t="shared" si="2"/>
        <v>0</v>
      </c>
      <c r="P12" s="2076"/>
      <c r="Q12" s="2076"/>
      <c r="R12" s="2076"/>
      <c r="S12" s="2075">
        <f t="shared" si="3"/>
        <v>0</v>
      </c>
    </row>
    <row r="13" spans="1:20" s="1616" customFormat="1" ht="14.25" customHeight="1">
      <c r="A13" s="1897">
        <v>8</v>
      </c>
      <c r="B13" s="1619"/>
      <c r="C13" s="2076"/>
      <c r="D13" s="2076"/>
      <c r="E13" s="2076"/>
      <c r="F13" s="2076"/>
      <c r="G13" s="2076"/>
      <c r="H13" s="2076"/>
      <c r="I13" s="2076"/>
      <c r="J13" s="2075">
        <f t="shared" si="0"/>
        <v>0</v>
      </c>
      <c r="K13" s="2076"/>
      <c r="L13" s="2076"/>
      <c r="M13" s="2076"/>
      <c r="N13" s="2075">
        <f t="shared" si="1"/>
        <v>0</v>
      </c>
      <c r="O13" s="2075">
        <f t="shared" si="2"/>
        <v>0</v>
      </c>
      <c r="P13" s="2076"/>
      <c r="Q13" s="2076"/>
      <c r="R13" s="2076"/>
      <c r="S13" s="2075">
        <f t="shared" si="3"/>
        <v>0</v>
      </c>
    </row>
    <row r="14" spans="1:20" s="1616" customFormat="1" ht="14.25" customHeight="1">
      <c r="A14" s="1897">
        <v>9</v>
      </c>
      <c r="B14" s="1619"/>
      <c r="C14" s="2076"/>
      <c r="D14" s="2076"/>
      <c r="E14" s="2076"/>
      <c r="F14" s="2076"/>
      <c r="G14" s="2076"/>
      <c r="H14" s="2076"/>
      <c r="I14" s="2076"/>
      <c r="J14" s="2075">
        <f t="shared" si="0"/>
        <v>0</v>
      </c>
      <c r="K14" s="2076"/>
      <c r="L14" s="2076"/>
      <c r="M14" s="2076"/>
      <c r="N14" s="2075">
        <f t="shared" si="1"/>
        <v>0</v>
      </c>
      <c r="O14" s="2075">
        <f t="shared" si="2"/>
        <v>0</v>
      </c>
      <c r="P14" s="2076"/>
      <c r="Q14" s="2076"/>
      <c r="R14" s="2076"/>
      <c r="S14" s="2075">
        <f t="shared" si="3"/>
        <v>0</v>
      </c>
    </row>
    <row r="15" spans="1:20" s="1616" customFormat="1" ht="14.25" customHeight="1">
      <c r="A15" s="1897">
        <v>10</v>
      </c>
      <c r="B15" s="1897" t="s">
        <v>5482</v>
      </c>
      <c r="C15" s="2075">
        <f>SUM(C6:C14)</f>
        <v>0</v>
      </c>
      <c r="D15" s="2075">
        <f t="shared" ref="D15:S15" si="4">SUM(D6:D14)</f>
        <v>0</v>
      </c>
      <c r="E15" s="2075">
        <f t="shared" si="4"/>
        <v>0</v>
      </c>
      <c r="F15" s="2075">
        <f t="shared" si="4"/>
        <v>0</v>
      </c>
      <c r="G15" s="2075">
        <f t="shared" si="4"/>
        <v>0</v>
      </c>
      <c r="H15" s="2075">
        <f t="shared" si="4"/>
        <v>0</v>
      </c>
      <c r="I15" s="2075">
        <f t="shared" si="4"/>
        <v>0</v>
      </c>
      <c r="J15" s="2075">
        <f t="shared" si="4"/>
        <v>0</v>
      </c>
      <c r="K15" s="2075">
        <f t="shared" si="4"/>
        <v>0</v>
      </c>
      <c r="L15" s="2075">
        <f t="shared" si="4"/>
        <v>0</v>
      </c>
      <c r="M15" s="2075">
        <f t="shared" si="4"/>
        <v>0</v>
      </c>
      <c r="N15" s="2075">
        <f t="shared" si="4"/>
        <v>0</v>
      </c>
      <c r="O15" s="2075">
        <f t="shared" si="4"/>
        <v>0</v>
      </c>
      <c r="P15" s="2075">
        <f t="shared" si="4"/>
        <v>0</v>
      </c>
      <c r="Q15" s="2075">
        <f t="shared" si="4"/>
        <v>0</v>
      </c>
      <c r="R15" s="2075">
        <f t="shared" si="4"/>
        <v>0</v>
      </c>
      <c r="S15" s="2075">
        <f t="shared" si="4"/>
        <v>0</v>
      </c>
      <c r="T15" s="1770" t="s">
        <v>6478</v>
      </c>
    </row>
    <row r="16" spans="1:20" ht="192" customHeight="1">
      <c r="A16" s="1900"/>
      <c r="B16" s="1897"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69921875" defaultRowHeight="19.95" customHeight="1"/>
  <cols>
    <col min="1" max="1" width="5.1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68" t="str">
        <f>"索引号："&amp;档案索引!D19</f>
        <v>索引号：2B-14</v>
      </c>
      <c r="B1" s="3468"/>
      <c r="C1" s="3468"/>
      <c r="D1" s="3468"/>
      <c r="E1" s="3468"/>
      <c r="F1" s="3468"/>
      <c r="G1" s="3468"/>
      <c r="H1" s="3468"/>
      <c r="I1" s="3468"/>
      <c r="J1" s="3468"/>
      <c r="K1" s="3468"/>
      <c r="L1" s="3468"/>
      <c r="M1" s="3468"/>
      <c r="N1" s="3468"/>
      <c r="O1" s="3468"/>
      <c r="P1" s="3468"/>
      <c r="Q1" s="3468"/>
      <c r="R1" s="3468"/>
      <c r="S1" s="3468"/>
      <c r="T1" s="3468"/>
    </row>
    <row r="2" spans="1:20" s="1622" customFormat="1" ht="25.5" customHeight="1">
      <c r="A2" s="1906" t="s">
        <v>5945</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8">
        <f>境外所得纳税调整后所得审核表!B6</f>
        <v>0</v>
      </c>
      <c r="C9" s="2076"/>
      <c r="D9" s="2076"/>
      <c r="E9" s="2076"/>
      <c r="F9" s="2075">
        <f>SUM(C9:E9)</f>
        <v>0</v>
      </c>
      <c r="G9" s="2076"/>
      <c r="H9" s="2076"/>
      <c r="I9" s="2076"/>
      <c r="J9" s="2076"/>
      <c r="K9" s="2076"/>
      <c r="L9" s="2075">
        <f>SUM(G9:K9)</f>
        <v>0</v>
      </c>
      <c r="M9" s="2076"/>
      <c r="N9" s="2076"/>
      <c r="O9" s="2076"/>
      <c r="P9" s="2076"/>
      <c r="Q9" s="2076"/>
      <c r="R9" s="2076"/>
      <c r="S9" s="2076"/>
      <c r="T9" s="2075">
        <f>SUM(O9:S9)</f>
        <v>0</v>
      </c>
    </row>
    <row r="10" spans="1:20" ht="14.25" customHeight="1">
      <c r="A10" s="1910">
        <v>2</v>
      </c>
      <c r="B10" s="1908">
        <f>境外所得纳税调整后所得审核表!B7</f>
        <v>0</v>
      </c>
      <c r="C10" s="2076"/>
      <c r="D10" s="2076"/>
      <c r="E10" s="2076"/>
      <c r="F10" s="2075">
        <f t="shared" ref="F10:F17" si="0">SUM(C10:E10)</f>
        <v>0</v>
      </c>
      <c r="G10" s="2076"/>
      <c r="H10" s="2076"/>
      <c r="I10" s="2076"/>
      <c r="J10" s="2076"/>
      <c r="K10" s="2076"/>
      <c r="L10" s="2075">
        <f t="shared" ref="L10:L17" si="1">SUM(G10:K10)</f>
        <v>0</v>
      </c>
      <c r="M10" s="2076"/>
      <c r="N10" s="2076"/>
      <c r="O10" s="2076"/>
      <c r="P10" s="2076"/>
      <c r="Q10" s="2076"/>
      <c r="R10" s="2076"/>
      <c r="S10" s="2076"/>
      <c r="T10" s="2075">
        <f t="shared" ref="T10:T17" si="2">SUM(O10:S10)</f>
        <v>0</v>
      </c>
    </row>
    <row r="11" spans="1:20" ht="14.25" customHeight="1">
      <c r="A11" s="1910">
        <v>3</v>
      </c>
      <c r="B11" s="1908">
        <f>境外所得纳税调整后所得审核表!B8</f>
        <v>0</v>
      </c>
      <c r="C11" s="2076"/>
      <c r="D11" s="2076"/>
      <c r="E11" s="2076"/>
      <c r="F11" s="2075">
        <f t="shared" si="0"/>
        <v>0</v>
      </c>
      <c r="G11" s="2076"/>
      <c r="H11" s="2076"/>
      <c r="I11" s="2076"/>
      <c r="J11" s="2076"/>
      <c r="K11" s="2076"/>
      <c r="L11" s="2075">
        <f t="shared" si="1"/>
        <v>0</v>
      </c>
      <c r="M11" s="2076"/>
      <c r="N11" s="2076"/>
      <c r="O11" s="2076"/>
      <c r="P11" s="2076"/>
      <c r="Q11" s="2076"/>
      <c r="R11" s="2076"/>
      <c r="S11" s="2076"/>
      <c r="T11" s="2075">
        <f t="shared" si="2"/>
        <v>0</v>
      </c>
    </row>
    <row r="12" spans="1:20" ht="14.25" customHeight="1">
      <c r="A12" s="1910">
        <v>4</v>
      </c>
      <c r="B12" s="1908">
        <f>境外所得纳税调整后所得审核表!B9</f>
        <v>0</v>
      </c>
      <c r="C12" s="2076"/>
      <c r="D12" s="2076"/>
      <c r="E12" s="2076"/>
      <c r="F12" s="2075">
        <f t="shared" si="0"/>
        <v>0</v>
      </c>
      <c r="G12" s="2076"/>
      <c r="H12" s="2076"/>
      <c r="I12" s="2076"/>
      <c r="J12" s="2076"/>
      <c r="K12" s="2076"/>
      <c r="L12" s="2075">
        <f t="shared" si="1"/>
        <v>0</v>
      </c>
      <c r="M12" s="2076"/>
      <c r="N12" s="2076"/>
      <c r="O12" s="2076"/>
      <c r="P12" s="2076"/>
      <c r="Q12" s="2076"/>
      <c r="R12" s="2076"/>
      <c r="S12" s="2076"/>
      <c r="T12" s="2075">
        <f t="shared" si="2"/>
        <v>0</v>
      </c>
    </row>
    <row r="13" spans="1:20" ht="14.25" customHeight="1">
      <c r="A13" s="1910">
        <v>5</v>
      </c>
      <c r="B13" s="1908">
        <f>境外所得纳税调整后所得审核表!B10</f>
        <v>0</v>
      </c>
      <c r="C13" s="2076"/>
      <c r="D13" s="2076"/>
      <c r="E13" s="2076"/>
      <c r="F13" s="2075">
        <f t="shared" si="0"/>
        <v>0</v>
      </c>
      <c r="G13" s="2076"/>
      <c r="H13" s="2076"/>
      <c r="I13" s="2076"/>
      <c r="J13" s="2076"/>
      <c r="K13" s="2076"/>
      <c r="L13" s="2075">
        <f t="shared" si="1"/>
        <v>0</v>
      </c>
      <c r="M13" s="2076"/>
      <c r="N13" s="2076"/>
      <c r="O13" s="2076"/>
      <c r="P13" s="2076"/>
      <c r="Q13" s="2076"/>
      <c r="R13" s="2076"/>
      <c r="S13" s="2076"/>
      <c r="T13" s="2075">
        <f t="shared" si="2"/>
        <v>0</v>
      </c>
    </row>
    <row r="14" spans="1:20" ht="14.25" customHeight="1">
      <c r="A14" s="1910">
        <v>6</v>
      </c>
      <c r="B14" s="1908">
        <f>境外所得纳税调整后所得审核表!B11</f>
        <v>0</v>
      </c>
      <c r="C14" s="2076"/>
      <c r="D14" s="2076"/>
      <c r="E14" s="2076"/>
      <c r="F14" s="2075">
        <f t="shared" si="0"/>
        <v>0</v>
      </c>
      <c r="G14" s="2076"/>
      <c r="H14" s="2076"/>
      <c r="I14" s="2076"/>
      <c r="J14" s="2076"/>
      <c r="K14" s="2076"/>
      <c r="L14" s="2075">
        <f t="shared" si="1"/>
        <v>0</v>
      </c>
      <c r="M14" s="2076"/>
      <c r="N14" s="2076"/>
      <c r="O14" s="2076"/>
      <c r="P14" s="2076"/>
      <c r="Q14" s="2076"/>
      <c r="R14" s="2076"/>
      <c r="S14" s="2076"/>
      <c r="T14" s="2075">
        <f t="shared" si="2"/>
        <v>0</v>
      </c>
    </row>
    <row r="15" spans="1:20" ht="14.25" customHeight="1">
      <c r="A15" s="1910">
        <v>7</v>
      </c>
      <c r="B15" s="1908">
        <f>境外所得纳税调整后所得审核表!B12</f>
        <v>0</v>
      </c>
      <c r="C15" s="2076"/>
      <c r="D15" s="2076"/>
      <c r="E15" s="2076"/>
      <c r="F15" s="2075">
        <f t="shared" si="0"/>
        <v>0</v>
      </c>
      <c r="G15" s="2076"/>
      <c r="H15" s="2076"/>
      <c r="I15" s="2076"/>
      <c r="J15" s="2076"/>
      <c r="K15" s="2076"/>
      <c r="L15" s="2075">
        <f t="shared" si="1"/>
        <v>0</v>
      </c>
      <c r="M15" s="2076"/>
      <c r="N15" s="2076"/>
      <c r="O15" s="2076"/>
      <c r="P15" s="2076"/>
      <c r="Q15" s="2076"/>
      <c r="R15" s="2076"/>
      <c r="S15" s="2076"/>
      <c r="T15" s="2075">
        <f t="shared" si="2"/>
        <v>0</v>
      </c>
    </row>
    <row r="16" spans="1:20" ht="14.25" customHeight="1">
      <c r="A16" s="1910">
        <v>8</v>
      </c>
      <c r="B16" s="1908">
        <f>境外所得纳税调整后所得审核表!B13</f>
        <v>0</v>
      </c>
      <c r="C16" s="2076"/>
      <c r="D16" s="2076"/>
      <c r="E16" s="2076"/>
      <c r="F16" s="2075">
        <f t="shared" si="0"/>
        <v>0</v>
      </c>
      <c r="G16" s="2076"/>
      <c r="H16" s="2076"/>
      <c r="I16" s="2076"/>
      <c r="J16" s="2076"/>
      <c r="K16" s="2076"/>
      <c r="L16" s="2075">
        <f t="shared" si="1"/>
        <v>0</v>
      </c>
      <c r="M16" s="2076"/>
      <c r="N16" s="2076"/>
      <c r="O16" s="2076"/>
      <c r="P16" s="2076"/>
      <c r="Q16" s="2076"/>
      <c r="R16" s="2076"/>
      <c r="S16" s="2076"/>
      <c r="T16" s="2075">
        <f t="shared" si="2"/>
        <v>0</v>
      </c>
    </row>
    <row r="17" spans="1:21" ht="14.25" customHeight="1">
      <c r="A17" s="1910">
        <v>9</v>
      </c>
      <c r="B17" s="1908">
        <f>境外所得纳税调整后所得审核表!B14</f>
        <v>0</v>
      </c>
      <c r="C17" s="2076"/>
      <c r="D17" s="2076"/>
      <c r="E17" s="2076"/>
      <c r="F17" s="2075">
        <f t="shared" si="0"/>
        <v>0</v>
      </c>
      <c r="G17" s="2076"/>
      <c r="H17" s="2076"/>
      <c r="I17" s="2076"/>
      <c r="J17" s="2076"/>
      <c r="K17" s="2076"/>
      <c r="L17" s="2075">
        <f t="shared" si="1"/>
        <v>0</v>
      </c>
      <c r="M17" s="2076"/>
      <c r="N17" s="2076"/>
      <c r="O17" s="2076"/>
      <c r="P17" s="2076"/>
      <c r="Q17" s="2076"/>
      <c r="R17" s="2076"/>
      <c r="S17" s="2076"/>
      <c r="T17" s="2075">
        <f t="shared" si="2"/>
        <v>0</v>
      </c>
    </row>
    <row r="18" spans="1:21" ht="14.25" customHeight="1">
      <c r="A18" s="1910">
        <v>10</v>
      </c>
      <c r="B18" s="1910" t="s">
        <v>5482</v>
      </c>
      <c r="C18" s="2075">
        <f>SUM(C9:C17)</f>
        <v>0</v>
      </c>
      <c r="D18" s="2075">
        <f t="shared" ref="D18:F18" si="3">SUM(D9:D17)</f>
        <v>0</v>
      </c>
      <c r="E18" s="2075">
        <f t="shared" si="3"/>
        <v>0</v>
      </c>
      <c r="F18" s="2075">
        <f t="shared" si="3"/>
        <v>0</v>
      </c>
      <c r="G18" s="2075">
        <f t="shared" ref="G18" si="4">SUM(G9:G17)</f>
        <v>0</v>
      </c>
      <c r="H18" s="2075">
        <f t="shared" ref="H18" si="5">SUM(H9:H17)</f>
        <v>0</v>
      </c>
      <c r="I18" s="2075">
        <f t="shared" ref="I18" si="6">SUM(I9:I17)</f>
        <v>0</v>
      </c>
      <c r="J18" s="2075">
        <f t="shared" ref="J18" si="7">SUM(J9:J17)</f>
        <v>0</v>
      </c>
      <c r="K18" s="2075">
        <f t="shared" ref="K18" si="8">SUM(K9:K17)</f>
        <v>0</v>
      </c>
      <c r="L18" s="2075">
        <f t="shared" ref="L18" si="9">SUM(L9:L17)</f>
        <v>0</v>
      </c>
      <c r="M18" s="2075">
        <f t="shared" ref="M18" si="10">SUM(M9:M17)</f>
        <v>0</v>
      </c>
      <c r="N18" s="2075">
        <f t="shared" ref="N18" si="11">SUM(N9:N17)</f>
        <v>0</v>
      </c>
      <c r="O18" s="2075">
        <f t="shared" ref="O18" si="12">SUM(O9:O17)</f>
        <v>0</v>
      </c>
      <c r="P18" s="2075">
        <f t="shared" ref="P18" si="13">SUM(P9:P17)</f>
        <v>0</v>
      </c>
      <c r="Q18" s="2075">
        <f t="shared" ref="Q18" si="14">SUM(Q9:Q17)</f>
        <v>0</v>
      </c>
      <c r="R18" s="2075">
        <f t="shared" ref="R18" si="15">SUM(R9:R17)</f>
        <v>0</v>
      </c>
      <c r="S18" s="2075">
        <f t="shared" ref="S18" si="16">SUM(S9:S17)</f>
        <v>0</v>
      </c>
      <c r="T18" s="2075">
        <f t="shared" ref="T18" si="17">SUM(T9:T17)</f>
        <v>0</v>
      </c>
      <c r="U18" s="1770" t="s">
        <v>6479</v>
      </c>
    </row>
    <row r="19" spans="1:21" ht="106.5" customHeight="1">
      <c r="A19" s="1914"/>
      <c r="B19" s="1902" t="s">
        <v>5861</v>
      </c>
      <c r="C19" s="1914"/>
      <c r="D19" s="1897"/>
      <c r="E19" s="1897" t="s">
        <v>5862</v>
      </c>
      <c r="F19" s="1914"/>
      <c r="G19" s="1914"/>
      <c r="H19" s="1914"/>
      <c r="I19" s="1914"/>
      <c r="J19" s="1914"/>
      <c r="K19" s="1914"/>
      <c r="L19" s="1914"/>
      <c r="M19" s="1914"/>
      <c r="N19" s="1897"/>
      <c r="O19" s="1897"/>
      <c r="P19" s="1897"/>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3.2"/>
  <cols>
    <col min="1" max="1" width="5.199218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68" t="str">
        <f>"索引号："&amp;档案索引!D20</f>
        <v>索引号：2B-15</v>
      </c>
      <c r="B1" s="3468"/>
      <c r="C1" s="3468"/>
      <c r="D1" s="3468"/>
      <c r="E1" s="3468"/>
      <c r="F1" s="3468"/>
      <c r="G1" s="3468"/>
      <c r="H1" s="3468"/>
      <c r="I1" s="3468"/>
      <c r="J1" s="3468"/>
      <c r="K1" s="3468"/>
      <c r="L1" s="3468"/>
      <c r="M1" s="3468"/>
      <c r="N1" s="3468"/>
      <c r="O1" s="3468"/>
      <c r="P1" s="3468"/>
      <c r="Q1" s="3468"/>
      <c r="R1" s="3468"/>
      <c r="S1" s="3468"/>
      <c r="T1" s="3468"/>
    </row>
    <row r="2" spans="1:21" s="1624" customFormat="1" ht="25.5" customHeight="1">
      <c r="A2" s="3401" t="s">
        <v>5946</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1">
        <f>境外所得纳税调整后所得审核表!B6</f>
        <v>0</v>
      </c>
      <c r="C6" s="2076"/>
      <c r="D6" s="2076"/>
      <c r="E6" s="2076"/>
      <c r="F6" s="2076"/>
      <c r="G6" s="2076"/>
      <c r="H6" s="2075">
        <f>SUM(C6:G6)</f>
        <v>0</v>
      </c>
      <c r="I6" s="2076"/>
      <c r="J6" s="2076"/>
      <c r="K6" s="2076"/>
      <c r="L6" s="2076"/>
      <c r="M6" s="2076"/>
      <c r="N6" s="2075">
        <f>SUM(I6:M6)</f>
        <v>0</v>
      </c>
      <c r="O6" s="2075">
        <f>D6-J6</f>
        <v>0</v>
      </c>
      <c r="P6" s="2075">
        <f t="shared" ref="P6:R6" si="0">E6-K6</f>
        <v>0</v>
      </c>
      <c r="Q6" s="2075">
        <f t="shared" si="0"/>
        <v>0</v>
      </c>
      <c r="R6" s="2075">
        <f t="shared" si="0"/>
        <v>0</v>
      </c>
      <c r="S6" s="2075">
        <f>境外所得税收抵免审核表!K6-境外所得税收抵免审核表!M6</f>
        <v>0</v>
      </c>
      <c r="T6" s="2075">
        <f>SUM(O6:S6)</f>
        <v>0</v>
      </c>
    </row>
    <row r="7" spans="1:21" s="1616" customFormat="1" ht="14.25" customHeight="1">
      <c r="A7" s="1897">
        <v>2</v>
      </c>
      <c r="B7" s="1901">
        <f>境外所得纳税调整后所得审核表!B7</f>
        <v>0</v>
      </c>
      <c r="C7" s="2076"/>
      <c r="D7" s="2076"/>
      <c r="E7" s="2076"/>
      <c r="F7" s="2076"/>
      <c r="G7" s="2076"/>
      <c r="H7" s="2075">
        <f t="shared" ref="H7:H14" si="1">SUM(C7:G7)</f>
        <v>0</v>
      </c>
      <c r="I7" s="2076"/>
      <c r="J7" s="2076"/>
      <c r="K7" s="2076"/>
      <c r="L7" s="2076"/>
      <c r="M7" s="2076"/>
      <c r="N7" s="2075">
        <f t="shared" ref="N7:N14" si="2">SUM(I7:M7)</f>
        <v>0</v>
      </c>
      <c r="O7" s="2075">
        <f t="shared" ref="O7:O14" si="3">D7-J7</f>
        <v>0</v>
      </c>
      <c r="P7" s="2075">
        <f t="shared" ref="P7:P14" si="4">E7-K7</f>
        <v>0</v>
      </c>
      <c r="Q7" s="2075">
        <f t="shared" ref="Q7:Q14" si="5">F7-L7</f>
        <v>0</v>
      </c>
      <c r="R7" s="2075">
        <f t="shared" ref="R7:R14" si="6">G7-M7</f>
        <v>0</v>
      </c>
      <c r="S7" s="2075">
        <f>境外所得税收抵免审核表!K7-境外所得税收抵免审核表!M7</f>
        <v>0</v>
      </c>
      <c r="T7" s="2075">
        <f t="shared" ref="T7:T14" si="7">SUM(O7:S7)</f>
        <v>0</v>
      </c>
    </row>
    <row r="8" spans="1:21" s="1616" customFormat="1" ht="14.25" customHeight="1">
      <c r="A8" s="1897">
        <v>3</v>
      </c>
      <c r="B8" s="1901">
        <f>境外所得纳税调整后所得审核表!B8</f>
        <v>0</v>
      </c>
      <c r="C8" s="2076"/>
      <c r="D8" s="2076"/>
      <c r="E8" s="2076"/>
      <c r="F8" s="2076"/>
      <c r="G8" s="2076"/>
      <c r="H8" s="2075">
        <f t="shared" si="1"/>
        <v>0</v>
      </c>
      <c r="I8" s="2076"/>
      <c r="J8" s="2076"/>
      <c r="K8" s="2076"/>
      <c r="L8" s="2076"/>
      <c r="M8" s="2076"/>
      <c r="N8" s="2075">
        <f t="shared" si="2"/>
        <v>0</v>
      </c>
      <c r="O8" s="2075">
        <f t="shared" si="3"/>
        <v>0</v>
      </c>
      <c r="P8" s="2075">
        <f t="shared" si="4"/>
        <v>0</v>
      </c>
      <c r="Q8" s="2075">
        <f t="shared" si="5"/>
        <v>0</v>
      </c>
      <c r="R8" s="2075">
        <f t="shared" si="6"/>
        <v>0</v>
      </c>
      <c r="S8" s="2075">
        <f>境外所得税收抵免审核表!K8-境外所得税收抵免审核表!M8</f>
        <v>0</v>
      </c>
      <c r="T8" s="2075">
        <f t="shared" si="7"/>
        <v>0</v>
      </c>
    </row>
    <row r="9" spans="1:21" s="1616" customFormat="1" ht="14.25" customHeight="1">
      <c r="A9" s="1897">
        <v>4</v>
      </c>
      <c r="B9" s="1901">
        <f>境外所得纳税调整后所得审核表!B9</f>
        <v>0</v>
      </c>
      <c r="C9" s="2076"/>
      <c r="D9" s="2076"/>
      <c r="E9" s="2076"/>
      <c r="F9" s="2076"/>
      <c r="G9" s="2076"/>
      <c r="H9" s="2075">
        <f t="shared" si="1"/>
        <v>0</v>
      </c>
      <c r="I9" s="2076"/>
      <c r="J9" s="2076"/>
      <c r="K9" s="2076"/>
      <c r="L9" s="2076"/>
      <c r="M9" s="2076"/>
      <c r="N9" s="2075">
        <f t="shared" si="2"/>
        <v>0</v>
      </c>
      <c r="O9" s="2075">
        <f t="shared" si="3"/>
        <v>0</v>
      </c>
      <c r="P9" s="2075">
        <f t="shared" si="4"/>
        <v>0</v>
      </c>
      <c r="Q9" s="2075">
        <f t="shared" si="5"/>
        <v>0</v>
      </c>
      <c r="R9" s="2075">
        <f t="shared" si="6"/>
        <v>0</v>
      </c>
      <c r="S9" s="2075">
        <f>境外所得税收抵免审核表!K9-境外所得税收抵免审核表!M9</f>
        <v>0</v>
      </c>
      <c r="T9" s="2075">
        <f t="shared" si="7"/>
        <v>0</v>
      </c>
    </row>
    <row r="10" spans="1:21" s="1616" customFormat="1" ht="14.25" customHeight="1">
      <c r="A10" s="1897">
        <v>5</v>
      </c>
      <c r="B10" s="1901">
        <f>境外所得纳税调整后所得审核表!B10</f>
        <v>0</v>
      </c>
      <c r="C10" s="2076"/>
      <c r="D10" s="2076"/>
      <c r="E10" s="2076"/>
      <c r="F10" s="2076"/>
      <c r="G10" s="2076"/>
      <c r="H10" s="2075">
        <f t="shared" si="1"/>
        <v>0</v>
      </c>
      <c r="I10" s="2076"/>
      <c r="J10" s="2076"/>
      <c r="K10" s="2076"/>
      <c r="L10" s="2076"/>
      <c r="M10" s="2076"/>
      <c r="N10" s="2075">
        <f t="shared" si="2"/>
        <v>0</v>
      </c>
      <c r="O10" s="2075">
        <f t="shared" si="3"/>
        <v>0</v>
      </c>
      <c r="P10" s="2075">
        <f t="shared" si="4"/>
        <v>0</v>
      </c>
      <c r="Q10" s="2075">
        <f t="shared" si="5"/>
        <v>0</v>
      </c>
      <c r="R10" s="2075">
        <f t="shared" si="6"/>
        <v>0</v>
      </c>
      <c r="S10" s="2075">
        <f>境外所得税收抵免审核表!K10-境外所得税收抵免审核表!M10</f>
        <v>0</v>
      </c>
      <c r="T10" s="2075">
        <f t="shared" si="7"/>
        <v>0</v>
      </c>
    </row>
    <row r="11" spans="1:21" s="1616" customFormat="1" ht="14.25" customHeight="1">
      <c r="A11" s="1897">
        <v>6</v>
      </c>
      <c r="B11" s="1901">
        <f>境外所得纳税调整后所得审核表!B11</f>
        <v>0</v>
      </c>
      <c r="C11" s="2076"/>
      <c r="D11" s="2076"/>
      <c r="E11" s="2076"/>
      <c r="F11" s="2076"/>
      <c r="G11" s="2076"/>
      <c r="H11" s="2075">
        <f t="shared" si="1"/>
        <v>0</v>
      </c>
      <c r="I11" s="2076"/>
      <c r="J11" s="2076"/>
      <c r="K11" s="2076"/>
      <c r="L11" s="2076"/>
      <c r="M11" s="2076"/>
      <c r="N11" s="2075">
        <f t="shared" si="2"/>
        <v>0</v>
      </c>
      <c r="O11" s="2075">
        <f t="shared" si="3"/>
        <v>0</v>
      </c>
      <c r="P11" s="2075">
        <f t="shared" si="4"/>
        <v>0</v>
      </c>
      <c r="Q11" s="2075">
        <f t="shared" si="5"/>
        <v>0</v>
      </c>
      <c r="R11" s="2075">
        <f t="shared" si="6"/>
        <v>0</v>
      </c>
      <c r="S11" s="2075">
        <f>境外所得税收抵免审核表!K11-境外所得税收抵免审核表!M11</f>
        <v>0</v>
      </c>
      <c r="T11" s="2075">
        <f t="shared" si="7"/>
        <v>0</v>
      </c>
    </row>
    <row r="12" spans="1:21" s="1616" customFormat="1" ht="14.25" customHeight="1">
      <c r="A12" s="1897">
        <v>7</v>
      </c>
      <c r="B12" s="1901">
        <f>境外所得纳税调整后所得审核表!B12</f>
        <v>0</v>
      </c>
      <c r="C12" s="2076"/>
      <c r="D12" s="2076"/>
      <c r="E12" s="2076"/>
      <c r="F12" s="2076"/>
      <c r="G12" s="2076"/>
      <c r="H12" s="2075">
        <f t="shared" si="1"/>
        <v>0</v>
      </c>
      <c r="I12" s="2076"/>
      <c r="J12" s="2076"/>
      <c r="K12" s="2076"/>
      <c r="L12" s="2076"/>
      <c r="M12" s="2076"/>
      <c r="N12" s="2075">
        <f t="shared" si="2"/>
        <v>0</v>
      </c>
      <c r="O12" s="2075">
        <f t="shared" si="3"/>
        <v>0</v>
      </c>
      <c r="P12" s="2075">
        <f t="shared" si="4"/>
        <v>0</v>
      </c>
      <c r="Q12" s="2075">
        <f t="shared" si="5"/>
        <v>0</v>
      </c>
      <c r="R12" s="2075">
        <f t="shared" si="6"/>
        <v>0</v>
      </c>
      <c r="S12" s="2075">
        <f>境外所得税收抵免审核表!K12-境外所得税收抵免审核表!M12</f>
        <v>0</v>
      </c>
      <c r="T12" s="2075">
        <f t="shared" si="7"/>
        <v>0</v>
      </c>
    </row>
    <row r="13" spans="1:21" s="1616" customFormat="1" ht="14.25" customHeight="1">
      <c r="A13" s="1897">
        <v>8</v>
      </c>
      <c r="B13" s="1901">
        <f>境外所得纳税调整后所得审核表!B13</f>
        <v>0</v>
      </c>
      <c r="C13" s="2076"/>
      <c r="D13" s="2076"/>
      <c r="E13" s="2076"/>
      <c r="F13" s="2076"/>
      <c r="G13" s="2076"/>
      <c r="H13" s="2075">
        <f t="shared" si="1"/>
        <v>0</v>
      </c>
      <c r="I13" s="2076"/>
      <c r="J13" s="2076"/>
      <c r="K13" s="2076"/>
      <c r="L13" s="2076"/>
      <c r="M13" s="2076"/>
      <c r="N13" s="2075">
        <f t="shared" si="2"/>
        <v>0</v>
      </c>
      <c r="O13" s="2075">
        <f t="shared" si="3"/>
        <v>0</v>
      </c>
      <c r="P13" s="2075">
        <f t="shared" si="4"/>
        <v>0</v>
      </c>
      <c r="Q13" s="2075">
        <f t="shared" si="5"/>
        <v>0</v>
      </c>
      <c r="R13" s="2075">
        <f t="shared" si="6"/>
        <v>0</v>
      </c>
      <c r="S13" s="2075">
        <f>境外所得税收抵免审核表!K13-境外所得税收抵免审核表!M13</f>
        <v>0</v>
      </c>
      <c r="T13" s="2075">
        <f t="shared" si="7"/>
        <v>0</v>
      </c>
    </row>
    <row r="14" spans="1:21" s="1625" customFormat="1" ht="14.25" customHeight="1">
      <c r="A14" s="1897">
        <v>9</v>
      </c>
      <c r="B14" s="1901">
        <f>境外所得纳税调整后所得审核表!B14</f>
        <v>0</v>
      </c>
      <c r="C14" s="2076"/>
      <c r="D14" s="2076"/>
      <c r="E14" s="2076"/>
      <c r="F14" s="2076"/>
      <c r="G14" s="2076"/>
      <c r="H14" s="2075">
        <f t="shared" si="1"/>
        <v>0</v>
      </c>
      <c r="I14" s="2076"/>
      <c r="J14" s="2076"/>
      <c r="K14" s="2076"/>
      <c r="L14" s="2076"/>
      <c r="M14" s="2076"/>
      <c r="N14" s="2075">
        <f t="shared" si="2"/>
        <v>0</v>
      </c>
      <c r="O14" s="2075">
        <f t="shared" si="3"/>
        <v>0</v>
      </c>
      <c r="P14" s="2075">
        <f t="shared" si="4"/>
        <v>0</v>
      </c>
      <c r="Q14" s="2075">
        <f t="shared" si="5"/>
        <v>0</v>
      </c>
      <c r="R14" s="2075">
        <f t="shared" si="6"/>
        <v>0</v>
      </c>
      <c r="S14" s="2075">
        <f>境外所得税收抵免审核表!K14-境外所得税收抵免审核表!M14</f>
        <v>0</v>
      </c>
      <c r="T14" s="2075">
        <f t="shared" si="7"/>
        <v>0</v>
      </c>
    </row>
    <row r="15" spans="1:21" s="1625" customFormat="1" ht="14.25" customHeight="1">
      <c r="A15" s="1897">
        <v>10</v>
      </c>
      <c r="B15" s="1910" t="s">
        <v>5482</v>
      </c>
      <c r="C15" s="2075">
        <f>SUM(C6:C14)</f>
        <v>0</v>
      </c>
      <c r="D15" s="2075">
        <f t="shared" ref="D15:T15" si="8">SUM(D6:D14)</f>
        <v>0</v>
      </c>
      <c r="E15" s="2075">
        <f t="shared" si="8"/>
        <v>0</v>
      </c>
      <c r="F15" s="2075">
        <f t="shared" si="8"/>
        <v>0</v>
      </c>
      <c r="G15" s="2075">
        <f t="shared" si="8"/>
        <v>0</v>
      </c>
      <c r="H15" s="2075">
        <f t="shared" si="8"/>
        <v>0</v>
      </c>
      <c r="I15" s="2075">
        <f t="shared" si="8"/>
        <v>0</v>
      </c>
      <c r="J15" s="2075">
        <f t="shared" si="8"/>
        <v>0</v>
      </c>
      <c r="K15" s="2075">
        <f t="shared" si="8"/>
        <v>0</v>
      </c>
      <c r="L15" s="2075">
        <f t="shared" si="8"/>
        <v>0</v>
      </c>
      <c r="M15" s="2075">
        <f t="shared" si="8"/>
        <v>0</v>
      </c>
      <c r="N15" s="2075">
        <f t="shared" si="8"/>
        <v>0</v>
      </c>
      <c r="O15" s="2075">
        <f t="shared" si="8"/>
        <v>0</v>
      </c>
      <c r="P15" s="2075">
        <f t="shared" si="8"/>
        <v>0</v>
      </c>
      <c r="Q15" s="2075">
        <f t="shared" si="8"/>
        <v>0</v>
      </c>
      <c r="R15" s="2075">
        <f t="shared" si="8"/>
        <v>0</v>
      </c>
      <c r="S15" s="2075">
        <f t="shared" si="8"/>
        <v>0</v>
      </c>
      <c r="T15" s="2075">
        <f t="shared" si="8"/>
        <v>0</v>
      </c>
      <c r="U15" s="1770" t="s">
        <v>6481</v>
      </c>
    </row>
    <row r="16" spans="1:21" s="1625" customFormat="1" ht="280.5" customHeight="1">
      <c r="A16" s="1911"/>
      <c r="B16" s="1911" t="s">
        <v>4899</v>
      </c>
      <c r="C16" s="1897"/>
      <c r="D16" s="1897"/>
      <c r="E16" s="1897"/>
      <c r="F16" s="1911"/>
      <c r="G16" s="1911"/>
      <c r="H16" s="1911"/>
      <c r="I16" s="1911"/>
      <c r="J16" s="1911"/>
      <c r="K16" s="1911"/>
      <c r="L16" s="1911"/>
      <c r="M16" s="1911"/>
      <c r="N16" s="1902" t="s">
        <v>5874</v>
      </c>
      <c r="O16" s="1897"/>
      <c r="P16" s="1897"/>
      <c r="Q16" s="1897"/>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5.6"/>
  <cols>
    <col min="1" max="1" width="5.19921875" style="1656" customWidth="1"/>
    <col min="2" max="2" width="56.09765625" style="1656" customWidth="1"/>
    <col min="3" max="3" width="19.19921875" style="1656" customWidth="1"/>
    <col min="4" max="4" width="22.5" style="1656" customWidth="1"/>
    <col min="5" max="256" width="9" style="1656"/>
    <col min="257" max="257" width="5.19921875" style="1656" customWidth="1"/>
    <col min="258" max="258" width="56.09765625" style="1656" customWidth="1"/>
    <col min="259" max="259" width="19.19921875" style="1656" customWidth="1"/>
    <col min="260" max="260" width="22.5" style="1656" customWidth="1"/>
    <col min="261" max="512" width="9" style="1656"/>
    <col min="513" max="513" width="5.19921875" style="1656" customWidth="1"/>
    <col min="514" max="514" width="56.09765625" style="1656" customWidth="1"/>
    <col min="515" max="515" width="19.19921875" style="1656" customWidth="1"/>
    <col min="516" max="516" width="22.5" style="1656" customWidth="1"/>
    <col min="517" max="768" width="9" style="1656"/>
    <col min="769" max="769" width="5.19921875" style="1656" customWidth="1"/>
    <col min="770" max="770" width="56.09765625" style="1656" customWidth="1"/>
    <col min="771" max="771" width="19.19921875" style="1656" customWidth="1"/>
    <col min="772" max="772" width="22.5" style="1656" customWidth="1"/>
    <col min="773" max="1024" width="9" style="1656"/>
    <col min="1025" max="1025" width="5.19921875" style="1656" customWidth="1"/>
    <col min="1026" max="1026" width="56.09765625" style="1656" customWidth="1"/>
    <col min="1027" max="1027" width="19.19921875" style="1656" customWidth="1"/>
    <col min="1028" max="1028" width="22.5" style="1656" customWidth="1"/>
    <col min="1029" max="1280" width="9" style="1656"/>
    <col min="1281" max="1281" width="5.19921875" style="1656" customWidth="1"/>
    <col min="1282" max="1282" width="56.09765625" style="1656" customWidth="1"/>
    <col min="1283" max="1283" width="19.19921875" style="1656" customWidth="1"/>
    <col min="1284" max="1284" width="22.5" style="1656" customWidth="1"/>
    <col min="1285" max="1536" width="9" style="1656"/>
    <col min="1537" max="1537" width="5.19921875" style="1656" customWidth="1"/>
    <col min="1538" max="1538" width="56.09765625" style="1656" customWidth="1"/>
    <col min="1539" max="1539" width="19.19921875" style="1656" customWidth="1"/>
    <col min="1540" max="1540" width="22.5" style="1656" customWidth="1"/>
    <col min="1541" max="1792" width="9" style="1656"/>
    <col min="1793" max="1793" width="5.19921875" style="1656" customWidth="1"/>
    <col min="1794" max="1794" width="56.09765625" style="1656" customWidth="1"/>
    <col min="1795" max="1795" width="19.19921875" style="1656" customWidth="1"/>
    <col min="1796" max="1796" width="22.5" style="1656" customWidth="1"/>
    <col min="1797" max="2048" width="9" style="1656"/>
    <col min="2049" max="2049" width="5.19921875" style="1656" customWidth="1"/>
    <col min="2050" max="2050" width="56.09765625" style="1656" customWidth="1"/>
    <col min="2051" max="2051" width="19.19921875" style="1656" customWidth="1"/>
    <col min="2052" max="2052" width="22.5" style="1656" customWidth="1"/>
    <col min="2053" max="2304" width="9" style="1656"/>
    <col min="2305" max="2305" width="5.19921875" style="1656" customWidth="1"/>
    <col min="2306" max="2306" width="56.09765625" style="1656" customWidth="1"/>
    <col min="2307" max="2307" width="19.19921875" style="1656" customWidth="1"/>
    <col min="2308" max="2308" width="22.5" style="1656" customWidth="1"/>
    <col min="2309" max="2560" width="9" style="1656"/>
    <col min="2561" max="2561" width="5.19921875" style="1656" customWidth="1"/>
    <col min="2562" max="2562" width="56.09765625" style="1656" customWidth="1"/>
    <col min="2563" max="2563" width="19.19921875" style="1656" customWidth="1"/>
    <col min="2564" max="2564" width="22.5" style="1656" customWidth="1"/>
    <col min="2565" max="2816" width="9" style="1656"/>
    <col min="2817" max="2817" width="5.19921875" style="1656" customWidth="1"/>
    <col min="2818" max="2818" width="56.09765625" style="1656" customWidth="1"/>
    <col min="2819" max="2819" width="19.19921875" style="1656" customWidth="1"/>
    <col min="2820" max="2820" width="22.5" style="1656" customWidth="1"/>
    <col min="2821" max="3072" width="9" style="1656"/>
    <col min="3073" max="3073" width="5.19921875" style="1656" customWidth="1"/>
    <col min="3074" max="3074" width="56.09765625" style="1656" customWidth="1"/>
    <col min="3075" max="3075" width="19.19921875" style="1656" customWidth="1"/>
    <col min="3076" max="3076" width="22.5" style="1656" customWidth="1"/>
    <col min="3077" max="3328" width="9" style="1656"/>
    <col min="3329" max="3329" width="5.19921875" style="1656" customWidth="1"/>
    <col min="3330" max="3330" width="56.09765625" style="1656" customWidth="1"/>
    <col min="3331" max="3331" width="19.19921875" style="1656" customWidth="1"/>
    <col min="3332" max="3332" width="22.5" style="1656" customWidth="1"/>
    <col min="3333" max="3584" width="9" style="1656"/>
    <col min="3585" max="3585" width="5.19921875" style="1656" customWidth="1"/>
    <col min="3586" max="3586" width="56.09765625" style="1656" customWidth="1"/>
    <col min="3587" max="3587" width="19.19921875" style="1656" customWidth="1"/>
    <col min="3588" max="3588" width="22.5" style="1656" customWidth="1"/>
    <col min="3589" max="3840" width="9" style="1656"/>
    <col min="3841" max="3841" width="5.19921875" style="1656" customWidth="1"/>
    <col min="3842" max="3842" width="56.09765625" style="1656" customWidth="1"/>
    <col min="3843" max="3843" width="19.19921875" style="1656" customWidth="1"/>
    <col min="3844" max="3844" width="22.5" style="1656" customWidth="1"/>
    <col min="3845" max="4096" width="9" style="1656"/>
    <col min="4097" max="4097" width="5.19921875" style="1656" customWidth="1"/>
    <col min="4098" max="4098" width="56.09765625" style="1656" customWidth="1"/>
    <col min="4099" max="4099" width="19.19921875" style="1656" customWidth="1"/>
    <col min="4100" max="4100" width="22.5" style="1656" customWidth="1"/>
    <col min="4101" max="4352" width="9" style="1656"/>
    <col min="4353" max="4353" width="5.19921875" style="1656" customWidth="1"/>
    <col min="4354" max="4354" width="56.09765625" style="1656" customWidth="1"/>
    <col min="4355" max="4355" width="19.19921875" style="1656" customWidth="1"/>
    <col min="4356" max="4356" width="22.5" style="1656" customWidth="1"/>
    <col min="4357" max="4608" width="9" style="1656"/>
    <col min="4609" max="4609" width="5.19921875" style="1656" customWidth="1"/>
    <col min="4610" max="4610" width="56.09765625" style="1656" customWidth="1"/>
    <col min="4611" max="4611" width="19.19921875" style="1656" customWidth="1"/>
    <col min="4612" max="4612" width="22.5" style="1656" customWidth="1"/>
    <col min="4613" max="4864" width="9" style="1656"/>
    <col min="4865" max="4865" width="5.19921875" style="1656" customWidth="1"/>
    <col min="4866" max="4866" width="56.09765625" style="1656" customWidth="1"/>
    <col min="4867" max="4867" width="19.19921875" style="1656" customWidth="1"/>
    <col min="4868" max="4868" width="22.5" style="1656" customWidth="1"/>
    <col min="4869" max="5120" width="9" style="1656"/>
    <col min="5121" max="5121" width="5.19921875" style="1656" customWidth="1"/>
    <col min="5122" max="5122" width="56.09765625" style="1656" customWidth="1"/>
    <col min="5123" max="5123" width="19.19921875" style="1656" customWidth="1"/>
    <col min="5124" max="5124" width="22.5" style="1656" customWidth="1"/>
    <col min="5125" max="5376" width="9" style="1656"/>
    <col min="5377" max="5377" width="5.19921875" style="1656" customWidth="1"/>
    <col min="5378" max="5378" width="56.09765625" style="1656" customWidth="1"/>
    <col min="5379" max="5379" width="19.19921875" style="1656" customWidth="1"/>
    <col min="5380" max="5380" width="22.5" style="1656" customWidth="1"/>
    <col min="5381" max="5632" width="9" style="1656"/>
    <col min="5633" max="5633" width="5.19921875" style="1656" customWidth="1"/>
    <col min="5634" max="5634" width="56.09765625" style="1656" customWidth="1"/>
    <col min="5635" max="5635" width="19.19921875" style="1656" customWidth="1"/>
    <col min="5636" max="5636" width="22.5" style="1656" customWidth="1"/>
    <col min="5637" max="5888" width="9" style="1656"/>
    <col min="5889" max="5889" width="5.19921875" style="1656" customWidth="1"/>
    <col min="5890" max="5890" width="56.09765625" style="1656" customWidth="1"/>
    <col min="5891" max="5891" width="19.19921875" style="1656" customWidth="1"/>
    <col min="5892" max="5892" width="22.5" style="1656" customWidth="1"/>
    <col min="5893" max="6144" width="9" style="1656"/>
    <col min="6145" max="6145" width="5.19921875" style="1656" customWidth="1"/>
    <col min="6146" max="6146" width="56.09765625" style="1656" customWidth="1"/>
    <col min="6147" max="6147" width="19.19921875" style="1656" customWidth="1"/>
    <col min="6148" max="6148" width="22.5" style="1656" customWidth="1"/>
    <col min="6149" max="6400" width="9" style="1656"/>
    <col min="6401" max="6401" width="5.19921875" style="1656" customWidth="1"/>
    <col min="6402" max="6402" width="56.09765625" style="1656" customWidth="1"/>
    <col min="6403" max="6403" width="19.19921875" style="1656" customWidth="1"/>
    <col min="6404" max="6404" width="22.5" style="1656" customWidth="1"/>
    <col min="6405" max="6656" width="9" style="1656"/>
    <col min="6657" max="6657" width="5.19921875" style="1656" customWidth="1"/>
    <col min="6658" max="6658" width="56.09765625" style="1656" customWidth="1"/>
    <col min="6659" max="6659" width="19.19921875" style="1656" customWidth="1"/>
    <col min="6660" max="6660" width="22.5" style="1656" customWidth="1"/>
    <col min="6661" max="6912" width="9" style="1656"/>
    <col min="6913" max="6913" width="5.19921875" style="1656" customWidth="1"/>
    <col min="6914" max="6914" width="56.09765625" style="1656" customWidth="1"/>
    <col min="6915" max="6915" width="19.19921875" style="1656" customWidth="1"/>
    <col min="6916" max="6916" width="22.5" style="1656" customWidth="1"/>
    <col min="6917" max="7168" width="9" style="1656"/>
    <col min="7169" max="7169" width="5.19921875" style="1656" customWidth="1"/>
    <col min="7170" max="7170" width="56.09765625" style="1656" customWidth="1"/>
    <col min="7171" max="7171" width="19.19921875" style="1656" customWidth="1"/>
    <col min="7172" max="7172" width="22.5" style="1656" customWidth="1"/>
    <col min="7173" max="7424" width="9" style="1656"/>
    <col min="7425" max="7425" width="5.19921875" style="1656" customWidth="1"/>
    <col min="7426" max="7426" width="56.09765625" style="1656" customWidth="1"/>
    <col min="7427" max="7427" width="19.19921875" style="1656" customWidth="1"/>
    <col min="7428" max="7428" width="22.5" style="1656" customWidth="1"/>
    <col min="7429" max="7680" width="9" style="1656"/>
    <col min="7681" max="7681" width="5.19921875" style="1656" customWidth="1"/>
    <col min="7682" max="7682" width="56.09765625" style="1656" customWidth="1"/>
    <col min="7683" max="7683" width="19.19921875" style="1656" customWidth="1"/>
    <col min="7684" max="7684" width="22.5" style="1656" customWidth="1"/>
    <col min="7685" max="7936" width="9" style="1656"/>
    <col min="7937" max="7937" width="5.19921875" style="1656" customWidth="1"/>
    <col min="7938" max="7938" width="56.09765625" style="1656" customWidth="1"/>
    <col min="7939" max="7939" width="19.19921875" style="1656" customWidth="1"/>
    <col min="7940" max="7940" width="22.5" style="1656" customWidth="1"/>
    <col min="7941" max="8192" width="9" style="1656"/>
    <col min="8193" max="8193" width="5.19921875" style="1656" customWidth="1"/>
    <col min="8194" max="8194" width="56.09765625" style="1656" customWidth="1"/>
    <col min="8195" max="8195" width="19.19921875" style="1656" customWidth="1"/>
    <col min="8196" max="8196" width="22.5" style="1656" customWidth="1"/>
    <col min="8197" max="8448" width="9" style="1656"/>
    <col min="8449" max="8449" width="5.19921875" style="1656" customWidth="1"/>
    <col min="8450" max="8450" width="56.09765625" style="1656" customWidth="1"/>
    <col min="8451" max="8451" width="19.19921875" style="1656" customWidth="1"/>
    <col min="8452" max="8452" width="22.5" style="1656" customWidth="1"/>
    <col min="8453" max="8704" width="9" style="1656"/>
    <col min="8705" max="8705" width="5.19921875" style="1656" customWidth="1"/>
    <col min="8706" max="8706" width="56.09765625" style="1656" customWidth="1"/>
    <col min="8707" max="8707" width="19.19921875" style="1656" customWidth="1"/>
    <col min="8708" max="8708" width="22.5" style="1656" customWidth="1"/>
    <col min="8709" max="8960" width="9" style="1656"/>
    <col min="8961" max="8961" width="5.19921875" style="1656" customWidth="1"/>
    <col min="8962" max="8962" width="56.09765625" style="1656" customWidth="1"/>
    <col min="8963" max="8963" width="19.19921875" style="1656" customWidth="1"/>
    <col min="8964" max="8964" width="22.5" style="1656" customWidth="1"/>
    <col min="8965" max="9216" width="9" style="1656"/>
    <col min="9217" max="9217" width="5.19921875" style="1656" customWidth="1"/>
    <col min="9218" max="9218" width="56.09765625" style="1656" customWidth="1"/>
    <col min="9219" max="9219" width="19.19921875" style="1656" customWidth="1"/>
    <col min="9220" max="9220" width="22.5" style="1656" customWidth="1"/>
    <col min="9221" max="9472" width="9" style="1656"/>
    <col min="9473" max="9473" width="5.19921875" style="1656" customWidth="1"/>
    <col min="9474" max="9474" width="56.09765625" style="1656" customWidth="1"/>
    <col min="9475" max="9475" width="19.19921875" style="1656" customWidth="1"/>
    <col min="9476" max="9476" width="22.5" style="1656" customWidth="1"/>
    <col min="9477" max="9728" width="9" style="1656"/>
    <col min="9729" max="9729" width="5.19921875" style="1656" customWidth="1"/>
    <col min="9730" max="9730" width="56.09765625" style="1656" customWidth="1"/>
    <col min="9731" max="9731" width="19.19921875" style="1656" customWidth="1"/>
    <col min="9732" max="9732" width="22.5" style="1656" customWidth="1"/>
    <col min="9733" max="9984" width="9" style="1656"/>
    <col min="9985" max="9985" width="5.19921875" style="1656" customWidth="1"/>
    <col min="9986" max="9986" width="56.09765625" style="1656" customWidth="1"/>
    <col min="9987" max="9987" width="19.19921875" style="1656" customWidth="1"/>
    <col min="9988" max="9988" width="22.5" style="1656" customWidth="1"/>
    <col min="9989" max="10240" width="9" style="1656"/>
    <col min="10241" max="10241" width="5.19921875" style="1656" customWidth="1"/>
    <col min="10242" max="10242" width="56.09765625" style="1656" customWidth="1"/>
    <col min="10243" max="10243" width="19.19921875" style="1656" customWidth="1"/>
    <col min="10244" max="10244" width="22.5" style="1656" customWidth="1"/>
    <col min="10245" max="10496" width="9" style="1656"/>
    <col min="10497" max="10497" width="5.19921875" style="1656" customWidth="1"/>
    <col min="10498" max="10498" width="56.09765625" style="1656" customWidth="1"/>
    <col min="10499" max="10499" width="19.19921875" style="1656" customWidth="1"/>
    <col min="10500" max="10500" width="22.5" style="1656" customWidth="1"/>
    <col min="10501" max="10752" width="9" style="1656"/>
    <col min="10753" max="10753" width="5.19921875" style="1656" customWidth="1"/>
    <col min="10754" max="10754" width="56.09765625" style="1656" customWidth="1"/>
    <col min="10755" max="10755" width="19.19921875" style="1656" customWidth="1"/>
    <col min="10756" max="10756" width="22.5" style="1656" customWidth="1"/>
    <col min="10757" max="11008" width="9" style="1656"/>
    <col min="11009" max="11009" width="5.19921875" style="1656" customWidth="1"/>
    <col min="11010" max="11010" width="56.09765625" style="1656" customWidth="1"/>
    <col min="11011" max="11011" width="19.19921875" style="1656" customWidth="1"/>
    <col min="11012" max="11012" width="22.5" style="1656" customWidth="1"/>
    <col min="11013" max="11264" width="9" style="1656"/>
    <col min="11265" max="11265" width="5.19921875" style="1656" customWidth="1"/>
    <col min="11266" max="11266" width="56.09765625" style="1656" customWidth="1"/>
    <col min="11267" max="11267" width="19.19921875" style="1656" customWidth="1"/>
    <col min="11268" max="11268" width="22.5" style="1656" customWidth="1"/>
    <col min="11269" max="11520" width="9" style="1656"/>
    <col min="11521" max="11521" width="5.19921875" style="1656" customWidth="1"/>
    <col min="11522" max="11522" width="56.09765625" style="1656" customWidth="1"/>
    <col min="11523" max="11523" width="19.19921875" style="1656" customWidth="1"/>
    <col min="11524" max="11524" width="22.5" style="1656" customWidth="1"/>
    <col min="11525" max="11776" width="9" style="1656"/>
    <col min="11777" max="11777" width="5.19921875" style="1656" customWidth="1"/>
    <col min="11778" max="11778" width="56.09765625" style="1656" customWidth="1"/>
    <col min="11779" max="11779" width="19.19921875" style="1656" customWidth="1"/>
    <col min="11780" max="11780" width="22.5" style="1656" customWidth="1"/>
    <col min="11781" max="12032" width="9" style="1656"/>
    <col min="12033" max="12033" width="5.19921875" style="1656" customWidth="1"/>
    <col min="12034" max="12034" width="56.09765625" style="1656" customWidth="1"/>
    <col min="12035" max="12035" width="19.19921875" style="1656" customWidth="1"/>
    <col min="12036" max="12036" width="22.5" style="1656" customWidth="1"/>
    <col min="12037" max="12288" width="9" style="1656"/>
    <col min="12289" max="12289" width="5.19921875" style="1656" customWidth="1"/>
    <col min="12290" max="12290" width="56.09765625" style="1656" customWidth="1"/>
    <col min="12291" max="12291" width="19.19921875" style="1656" customWidth="1"/>
    <col min="12292" max="12292" width="22.5" style="1656" customWidth="1"/>
    <col min="12293" max="12544" width="9" style="1656"/>
    <col min="12545" max="12545" width="5.19921875" style="1656" customWidth="1"/>
    <col min="12546" max="12546" width="56.09765625" style="1656" customWidth="1"/>
    <col min="12547" max="12547" width="19.19921875" style="1656" customWidth="1"/>
    <col min="12548" max="12548" width="22.5" style="1656" customWidth="1"/>
    <col min="12549" max="12800" width="9" style="1656"/>
    <col min="12801" max="12801" width="5.19921875" style="1656" customWidth="1"/>
    <col min="12802" max="12802" width="56.09765625" style="1656" customWidth="1"/>
    <col min="12803" max="12803" width="19.19921875" style="1656" customWidth="1"/>
    <col min="12804" max="12804" width="22.5" style="1656" customWidth="1"/>
    <col min="12805" max="13056" width="9" style="1656"/>
    <col min="13057" max="13057" width="5.19921875" style="1656" customWidth="1"/>
    <col min="13058" max="13058" width="56.09765625" style="1656" customWidth="1"/>
    <col min="13059" max="13059" width="19.19921875" style="1656" customWidth="1"/>
    <col min="13060" max="13060" width="22.5" style="1656" customWidth="1"/>
    <col min="13061" max="13312" width="9" style="1656"/>
    <col min="13313" max="13313" width="5.19921875" style="1656" customWidth="1"/>
    <col min="13314" max="13314" width="56.09765625" style="1656" customWidth="1"/>
    <col min="13315" max="13315" width="19.19921875" style="1656" customWidth="1"/>
    <col min="13316" max="13316" width="22.5" style="1656" customWidth="1"/>
    <col min="13317" max="13568" width="9" style="1656"/>
    <col min="13569" max="13569" width="5.19921875" style="1656" customWidth="1"/>
    <col min="13570" max="13570" width="56.09765625" style="1656" customWidth="1"/>
    <col min="13571" max="13571" width="19.19921875" style="1656" customWidth="1"/>
    <col min="13572" max="13572" width="22.5" style="1656" customWidth="1"/>
    <col min="13573" max="13824" width="9" style="1656"/>
    <col min="13825" max="13825" width="5.19921875" style="1656" customWidth="1"/>
    <col min="13826" max="13826" width="56.09765625" style="1656" customWidth="1"/>
    <col min="13827" max="13827" width="19.19921875" style="1656" customWidth="1"/>
    <col min="13828" max="13828" width="22.5" style="1656" customWidth="1"/>
    <col min="13829" max="14080" width="9" style="1656"/>
    <col min="14081" max="14081" width="5.19921875" style="1656" customWidth="1"/>
    <col min="14082" max="14082" width="56.09765625" style="1656" customWidth="1"/>
    <col min="14083" max="14083" width="19.19921875" style="1656" customWidth="1"/>
    <col min="14084" max="14084" width="22.5" style="1656" customWidth="1"/>
    <col min="14085" max="14336" width="9" style="1656"/>
    <col min="14337" max="14337" width="5.19921875" style="1656" customWidth="1"/>
    <col min="14338" max="14338" width="56.09765625" style="1656" customWidth="1"/>
    <col min="14339" max="14339" width="19.19921875" style="1656" customWidth="1"/>
    <col min="14340" max="14340" width="22.5" style="1656" customWidth="1"/>
    <col min="14341" max="14592" width="9" style="1656"/>
    <col min="14593" max="14593" width="5.19921875" style="1656" customWidth="1"/>
    <col min="14594" max="14594" width="56.09765625" style="1656" customWidth="1"/>
    <col min="14595" max="14595" width="19.19921875" style="1656" customWidth="1"/>
    <col min="14596" max="14596" width="22.5" style="1656" customWidth="1"/>
    <col min="14597" max="14848" width="9" style="1656"/>
    <col min="14849" max="14849" width="5.19921875" style="1656" customWidth="1"/>
    <col min="14850" max="14850" width="56.09765625" style="1656" customWidth="1"/>
    <col min="14851" max="14851" width="19.19921875" style="1656" customWidth="1"/>
    <col min="14852" max="14852" width="22.5" style="1656" customWidth="1"/>
    <col min="14853" max="15104" width="9" style="1656"/>
    <col min="15105" max="15105" width="5.19921875" style="1656" customWidth="1"/>
    <col min="15106" max="15106" width="56.09765625" style="1656" customWidth="1"/>
    <col min="15107" max="15107" width="19.19921875" style="1656" customWidth="1"/>
    <col min="15108" max="15108" width="22.5" style="1656" customWidth="1"/>
    <col min="15109" max="15360" width="9" style="1656"/>
    <col min="15361" max="15361" width="5.19921875" style="1656" customWidth="1"/>
    <col min="15362" max="15362" width="56.09765625" style="1656" customWidth="1"/>
    <col min="15363" max="15363" width="19.19921875" style="1656" customWidth="1"/>
    <col min="15364" max="15364" width="22.5" style="1656" customWidth="1"/>
    <col min="15365" max="15616" width="9" style="1656"/>
    <col min="15617" max="15617" width="5.19921875" style="1656" customWidth="1"/>
    <col min="15618" max="15618" width="56.09765625" style="1656" customWidth="1"/>
    <col min="15619" max="15619" width="19.19921875" style="1656" customWidth="1"/>
    <col min="15620" max="15620" width="22.5" style="1656" customWidth="1"/>
    <col min="15621" max="15872" width="9" style="1656"/>
    <col min="15873" max="15873" width="5.19921875" style="1656" customWidth="1"/>
    <col min="15874" max="15874" width="56.09765625" style="1656" customWidth="1"/>
    <col min="15875" max="15875" width="19.19921875" style="1656" customWidth="1"/>
    <col min="15876" max="15876" width="22.5" style="1656" customWidth="1"/>
    <col min="15877" max="16128" width="9" style="1656"/>
    <col min="16129" max="16129" width="5.19921875" style="1656" customWidth="1"/>
    <col min="16130" max="16130" width="56.09765625" style="1656" customWidth="1"/>
    <col min="16131" max="16131" width="19.19921875" style="1656" customWidth="1"/>
    <col min="16132" max="16132" width="22.5" style="1656" customWidth="1"/>
    <col min="16133" max="16384" width="9" style="1656"/>
  </cols>
  <sheetData>
    <row r="1" spans="1:7" s="1621" customFormat="1" ht="20.100000000000001" customHeight="1">
      <c r="A1" s="3460"/>
      <c r="B1" s="3460"/>
      <c r="C1" s="3460"/>
      <c r="D1" s="2182" t="str">
        <f>"索引号："&amp;档案索引!A45</f>
        <v>索引号：2A-25</v>
      </c>
    </row>
    <row r="2" spans="1:7" s="1622" customFormat="1" ht="25.5" customHeight="1">
      <c r="A2" s="3401" t="s">
        <v>5942</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5">
        <f>IF(A000000企业基础信息表!B5="否",0,'A100000中华人民共和国企业所得税年度纳税申报表（A类）'!D34)</f>
        <v>0</v>
      </c>
      <c r="D4" s="1913" t="s">
        <v>5880</v>
      </c>
    </row>
    <row r="5" spans="1:7" s="1627" customFormat="1" ht="14.25" customHeight="1">
      <c r="A5" s="1910">
        <v>2</v>
      </c>
      <c r="B5" s="1913" t="s">
        <v>5881</v>
      </c>
      <c r="C5" s="2075">
        <f>IF(A000000企业基础信息表!B5="否",0,'A100000中华人民共和国企业所得税年度纳税申报表（A类）'!D32)</f>
        <v>0</v>
      </c>
      <c r="D5" s="1913" t="s">
        <v>5882</v>
      </c>
    </row>
    <row r="6" spans="1:7" s="1627" customFormat="1" ht="14.25" customHeight="1">
      <c r="A6" s="1910">
        <v>3</v>
      </c>
      <c r="B6" s="1913" t="s">
        <v>5883</v>
      </c>
      <c r="C6" s="2075">
        <f>IF(A000000企业基础信息表!B5="否",0,'A100000中华人民共和国企业所得税年度纳税申报表（A类）'!D33)</f>
        <v>0</v>
      </c>
      <c r="D6" s="1913" t="s">
        <v>5884</v>
      </c>
    </row>
    <row r="7" spans="1:7" s="1627" customFormat="1" ht="14.25" customHeight="1">
      <c r="A7" s="1910">
        <v>4</v>
      </c>
      <c r="B7" s="1914" t="s">
        <v>5885</v>
      </c>
      <c r="C7" s="2075">
        <f>C4-C5+C6</f>
        <v>0</v>
      </c>
      <c r="D7" s="1913"/>
    </row>
    <row r="8" spans="1:7" s="1627" customFormat="1" ht="14.25" customHeight="1">
      <c r="A8" s="1910">
        <v>5</v>
      </c>
      <c r="B8" s="1914" t="s">
        <v>5886</v>
      </c>
      <c r="C8" s="2075">
        <f>SUM(C9:C12)</f>
        <v>0</v>
      </c>
      <c r="D8" s="1913" t="s">
        <v>5887</v>
      </c>
      <c r="E8" s="1627">
        <f>'A100000中华人民共和国企业所得税年度纳税申报表（A类）'!D35</f>
        <v>0</v>
      </c>
    </row>
    <row r="9" spans="1:7" s="1627" customFormat="1" ht="14.25" customHeight="1">
      <c r="A9" s="1910">
        <v>6</v>
      </c>
      <c r="B9" s="1914" t="s">
        <v>5888</v>
      </c>
      <c r="C9" s="2076"/>
      <c r="D9" s="1913"/>
    </row>
    <row r="10" spans="1:7" s="1627" customFormat="1" ht="14.25" customHeight="1">
      <c r="A10" s="1910">
        <v>7</v>
      </c>
      <c r="B10" s="1914" t="s">
        <v>5889</v>
      </c>
      <c r="C10" s="2076"/>
      <c r="D10" s="1913"/>
    </row>
    <row r="11" spans="1:7" s="1627" customFormat="1" ht="14.25" customHeight="1">
      <c r="A11" s="1910">
        <v>8</v>
      </c>
      <c r="B11" s="1914" t="s">
        <v>5890</v>
      </c>
      <c r="C11" s="2076"/>
      <c r="D11" s="1913"/>
    </row>
    <row r="12" spans="1:7" s="1627" customFormat="1" ht="14.25" customHeight="1">
      <c r="A12" s="1910">
        <v>9</v>
      </c>
      <c r="B12" s="1914" t="s">
        <v>5891</v>
      </c>
      <c r="C12" s="2076"/>
      <c r="D12" s="1913"/>
    </row>
    <row r="13" spans="1:7" s="1627" customFormat="1" ht="14.25" customHeight="1">
      <c r="A13" s="1910">
        <v>10</v>
      </c>
      <c r="B13" s="1914" t="s">
        <v>5892</v>
      </c>
      <c r="C13" s="2076"/>
      <c r="D13" s="1913"/>
    </row>
    <row r="14" spans="1:7" s="1627" customFormat="1" ht="14.25" customHeight="1">
      <c r="A14" s="1910">
        <v>11</v>
      </c>
      <c r="B14" s="1914" t="s">
        <v>5893</v>
      </c>
      <c r="C14" s="2075">
        <f>C7-C8</f>
        <v>0</v>
      </c>
      <c r="D14" s="1913"/>
    </row>
    <row r="15" spans="1:7" s="1627" customFormat="1" ht="14.25" customHeight="1">
      <c r="A15" s="1910">
        <v>12</v>
      </c>
      <c r="B15" s="1914" t="s">
        <v>5894</v>
      </c>
      <c r="C15" s="2075">
        <f>ROUND(C14*0.25,2)</f>
        <v>0</v>
      </c>
      <c r="D15" s="1913" t="s">
        <v>5895</v>
      </c>
      <c r="E15" s="1627">
        <f>C15+C19</f>
        <v>0</v>
      </c>
      <c r="F15" s="1627">
        <f>'A100000中华人民共和国企业所得税年度纳税申报表（A类）'!D37</f>
        <v>0</v>
      </c>
    </row>
    <row r="16" spans="1:7" s="1627" customFormat="1" ht="14.25" customHeight="1">
      <c r="A16" s="1910">
        <v>13</v>
      </c>
      <c r="B16" s="1914" t="s">
        <v>5896</v>
      </c>
      <c r="C16" s="2075">
        <f>ROUND(C14*0.25,2)</f>
        <v>0</v>
      </c>
      <c r="D16" s="1913" t="s">
        <v>5897</v>
      </c>
      <c r="E16" s="1627">
        <f>'A100000中华人民共和国企业所得税年度纳税申报表（A类）'!D38</f>
        <v>0</v>
      </c>
    </row>
    <row r="17" spans="1:5" s="1627" customFormat="1" ht="14.25" customHeight="1">
      <c r="A17" s="1910">
        <v>14</v>
      </c>
      <c r="B17" s="1902" t="s">
        <v>5898</v>
      </c>
      <c r="C17" s="2075">
        <f>ROUND(C14*0.5,2)</f>
        <v>0</v>
      </c>
      <c r="D17" s="1913"/>
    </row>
    <row r="18" spans="1:5" s="1627" customFormat="1" ht="28.5" customHeight="1">
      <c r="A18" s="1910">
        <v>15</v>
      </c>
      <c r="B18" s="1902" t="s">
        <v>5899</v>
      </c>
      <c r="C18" s="2076"/>
      <c r="D18" s="1987" t="s">
        <v>5900</v>
      </c>
    </row>
    <row r="19" spans="1:5" s="1627" customFormat="1" ht="14.25" customHeight="1">
      <c r="A19" s="1910">
        <v>16</v>
      </c>
      <c r="B19" s="1914" t="s">
        <v>5901</v>
      </c>
      <c r="C19" s="2075">
        <f>C5-C6</f>
        <v>0</v>
      </c>
      <c r="D19" s="1913"/>
    </row>
    <row r="20" spans="1:5" s="1627" customFormat="1" ht="14.25" customHeight="1">
      <c r="A20" s="1910">
        <v>17</v>
      </c>
      <c r="B20" s="1914" t="s">
        <v>5902</v>
      </c>
      <c r="C20" s="2075">
        <f>C15+C16+C18+C19</f>
        <v>0</v>
      </c>
      <c r="D20" s="1913"/>
      <c r="E20" s="1770" t="s">
        <v>6483</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19921875" style="1554" customWidth="1"/>
    <col min="2" max="2" width="20.3984375" style="1630" customWidth="1"/>
    <col min="3" max="3" width="17.59765625" style="1630" customWidth="1"/>
    <col min="4" max="6" width="12.3984375" style="1630" customWidth="1"/>
    <col min="7" max="7" width="8.69921875" style="1630" customWidth="1"/>
    <col min="8" max="8" width="12.39843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2"/>
      <c r="B1" s="3462"/>
      <c r="C1" s="3462"/>
      <c r="D1" s="3462"/>
      <c r="E1" s="3462"/>
      <c r="F1" s="3462"/>
      <c r="G1" s="3462"/>
      <c r="H1" s="3462"/>
      <c r="I1" s="1802" t="str">
        <f>"索引号："&amp;档案索引!A46</f>
        <v>索引号：2A-26</v>
      </c>
    </row>
    <row r="2" spans="1:9" ht="25.5" customHeight="1">
      <c r="A2" s="3505" t="s">
        <v>2409</v>
      </c>
      <c r="B2" s="3505"/>
      <c r="C2" s="3505"/>
      <c r="D2" s="3505"/>
      <c r="E2" s="3505"/>
      <c r="F2" s="3505"/>
      <c r="G2" s="3505"/>
      <c r="H2" s="3505"/>
      <c r="I2" s="1802"/>
    </row>
    <row r="3" spans="1:9" s="1554" customFormat="1" ht="14.25" customHeight="1">
      <c r="A3" s="3506" t="str">
        <f>"税款所属期间： "&amp;基本情况!B7</f>
        <v>税款所属期间： 2016年01月01日至2016年12月31日</v>
      </c>
      <c r="B3" s="3506"/>
      <c r="C3" s="3506"/>
      <c r="D3" s="3506"/>
      <c r="E3" s="3506"/>
      <c r="F3" s="3506"/>
      <c r="G3" s="3506"/>
      <c r="H3" s="3506"/>
      <c r="I3" s="1803"/>
    </row>
    <row r="4" spans="1:9" s="1554" customFormat="1" ht="14.25" customHeight="1">
      <c r="A4" s="3507" t="str">
        <f>"总机构名称（盖章）: "&amp;基本情况!B23</f>
        <v xml:space="preserve">总机构名称（盖章）: </v>
      </c>
      <c r="B4" s="3507"/>
      <c r="C4" s="3508"/>
      <c r="D4" s="3508"/>
      <c r="E4" s="1803"/>
      <c r="F4" s="1804"/>
      <c r="G4" s="1804"/>
      <c r="H4" s="1805" t="s">
        <v>5904</v>
      </c>
      <c r="I4" s="1803"/>
    </row>
    <row r="5" spans="1:9" s="1554" customFormat="1" ht="21" customHeight="1">
      <c r="A5" s="3407" t="s">
        <v>5905</v>
      </c>
      <c r="B5" s="3407"/>
      <c r="C5" s="1806" t="s">
        <v>1622</v>
      </c>
      <c r="D5" s="3407" t="s">
        <v>2415</v>
      </c>
      <c r="E5" s="3407"/>
      <c r="F5" s="3407" t="s">
        <v>2416</v>
      </c>
      <c r="G5" s="3407"/>
      <c r="H5" s="1807" t="s">
        <v>2417</v>
      </c>
      <c r="I5" s="1807" t="s">
        <v>4899</v>
      </c>
    </row>
    <row r="6" spans="1:9" s="1631" customFormat="1" ht="24" customHeight="1">
      <c r="A6" s="3509"/>
      <c r="B6" s="3509"/>
      <c r="C6" s="2072">
        <f>跨地区经营汇总纳税企业年度分摊企业所得税审核表!C14</f>
        <v>0</v>
      </c>
      <c r="D6" s="3510">
        <f>跨地区经营汇总纳税企业年度分摊企业所得税审核表!C15</f>
        <v>0</v>
      </c>
      <c r="E6" s="3510"/>
      <c r="F6" s="3510">
        <f>跨地区经营汇总纳税企业年度分摊企业所得税审核表!C16</f>
        <v>0</v>
      </c>
      <c r="G6" s="3510"/>
      <c r="H6" s="2072">
        <f>跨地区经营汇总纳税企业年度分摊企业所得税审核表!C17</f>
        <v>0</v>
      </c>
      <c r="I6" s="1988" t="s">
        <v>5906</v>
      </c>
    </row>
    <row r="7" spans="1:9" s="1631" customFormat="1" ht="14.25" customHeight="1">
      <c r="A7" s="3511" t="s">
        <v>2419</v>
      </c>
      <c r="B7" s="3399" t="s">
        <v>5907</v>
      </c>
      <c r="C7" s="3407" t="s">
        <v>2421</v>
      </c>
      <c r="D7" s="3399" t="s">
        <v>2422</v>
      </c>
      <c r="E7" s="3399"/>
      <c r="F7" s="3399"/>
      <c r="G7" s="3407" t="s">
        <v>5908</v>
      </c>
      <c r="H7" s="3407" t="s">
        <v>2471</v>
      </c>
      <c r="I7" s="3407"/>
    </row>
    <row r="8" spans="1:9" s="1631" customFormat="1" ht="14.25" customHeight="1">
      <c r="A8" s="3511"/>
      <c r="B8" s="3399"/>
      <c r="C8" s="3407"/>
      <c r="D8" s="1849" t="s">
        <v>2439</v>
      </c>
      <c r="E8" s="1849" t="s">
        <v>5909</v>
      </c>
      <c r="F8" s="1849" t="s">
        <v>5910</v>
      </c>
      <c r="G8" s="3407"/>
      <c r="H8" s="3407"/>
      <c r="I8" s="3407"/>
    </row>
    <row r="9" spans="1:9" s="1554" customFormat="1" ht="14.25" customHeight="1">
      <c r="A9" s="3511"/>
      <c r="B9" s="1657"/>
      <c r="C9" s="1657"/>
      <c r="D9" s="2077"/>
      <c r="E9" s="2077"/>
      <c r="F9" s="2077"/>
      <c r="G9" s="2075">
        <f>IFERROR(ROUND((D9/D$23*0.35+E9/E$23*0.35+F9/F$23*0.3)*100,4),0)</f>
        <v>0</v>
      </c>
      <c r="H9" s="2075">
        <f>ROUND(H$6*G9/100,2)</f>
        <v>0</v>
      </c>
      <c r="I9" s="1989"/>
    </row>
    <row r="10" spans="1:9" s="1554" customFormat="1" ht="14.25" customHeight="1">
      <c r="A10" s="3511"/>
      <c r="B10" s="1657"/>
      <c r="C10" s="1657"/>
      <c r="D10" s="2077"/>
      <c r="E10" s="2077"/>
      <c r="F10" s="2077"/>
      <c r="G10" s="2075">
        <f t="shared" ref="G10:G22" si="0">IFERROR(ROUND((D10/D$23*0.35+E10/E$23*0.35+F10/F$23*0.3)*100,4),0)</f>
        <v>0</v>
      </c>
      <c r="H10" s="2075">
        <f t="shared" ref="H10:H22" si="1">ROUND(H$6*G10/100,2)</f>
        <v>0</v>
      </c>
      <c r="I10" s="1989"/>
    </row>
    <row r="11" spans="1:9" s="1554" customFormat="1" ht="14.25" customHeight="1">
      <c r="A11" s="3511"/>
      <c r="B11" s="1657"/>
      <c r="C11" s="1657"/>
      <c r="D11" s="2077"/>
      <c r="E11" s="2077"/>
      <c r="F11" s="2077"/>
      <c r="G11" s="2075">
        <f t="shared" si="0"/>
        <v>0</v>
      </c>
      <c r="H11" s="2075">
        <f t="shared" si="1"/>
        <v>0</v>
      </c>
      <c r="I11" s="1989"/>
    </row>
    <row r="12" spans="1:9" s="1554" customFormat="1" ht="14.25" customHeight="1">
      <c r="A12" s="3511"/>
      <c r="B12" s="1658"/>
      <c r="C12" s="1658"/>
      <c r="D12" s="2077"/>
      <c r="E12" s="2077"/>
      <c r="F12" s="2077"/>
      <c r="G12" s="2075">
        <f t="shared" si="0"/>
        <v>0</v>
      </c>
      <c r="H12" s="2075">
        <f t="shared" si="1"/>
        <v>0</v>
      </c>
      <c r="I12" s="1989"/>
    </row>
    <row r="13" spans="1:9" s="1554" customFormat="1" ht="14.25" customHeight="1">
      <c r="A13" s="3511"/>
      <c r="B13" s="1658"/>
      <c r="C13" s="1658"/>
      <c r="D13" s="2077"/>
      <c r="E13" s="2077"/>
      <c r="F13" s="2077"/>
      <c r="G13" s="2075">
        <f t="shared" si="0"/>
        <v>0</v>
      </c>
      <c r="H13" s="2075">
        <f t="shared" si="1"/>
        <v>0</v>
      </c>
      <c r="I13" s="1989"/>
    </row>
    <row r="14" spans="1:9" s="1554" customFormat="1" ht="14.25" customHeight="1">
      <c r="A14" s="3511"/>
      <c r="B14" s="1658"/>
      <c r="C14" s="1658"/>
      <c r="D14" s="2077"/>
      <c r="E14" s="2077"/>
      <c r="F14" s="2077"/>
      <c r="G14" s="2075">
        <f t="shared" si="0"/>
        <v>0</v>
      </c>
      <c r="H14" s="2075">
        <f t="shared" si="1"/>
        <v>0</v>
      </c>
      <c r="I14" s="1989"/>
    </row>
    <row r="15" spans="1:9" s="1554" customFormat="1" ht="14.25" customHeight="1">
      <c r="A15" s="3511"/>
      <c r="B15" s="1658"/>
      <c r="C15" s="1658"/>
      <c r="D15" s="2077"/>
      <c r="E15" s="2077"/>
      <c r="F15" s="2077"/>
      <c r="G15" s="2075">
        <f t="shared" si="0"/>
        <v>0</v>
      </c>
      <c r="H15" s="2075">
        <f t="shared" si="1"/>
        <v>0</v>
      </c>
      <c r="I15" s="1989"/>
    </row>
    <row r="16" spans="1:9" s="1554" customFormat="1" ht="14.25" customHeight="1">
      <c r="A16" s="3511"/>
      <c r="B16" s="1658"/>
      <c r="C16" s="1658"/>
      <c r="D16" s="2077"/>
      <c r="E16" s="2077"/>
      <c r="F16" s="2077"/>
      <c r="G16" s="2075">
        <f t="shared" si="0"/>
        <v>0</v>
      </c>
      <c r="H16" s="2075">
        <f t="shared" si="1"/>
        <v>0</v>
      </c>
      <c r="I16" s="1989"/>
    </row>
    <row r="17" spans="1:10" s="1554" customFormat="1" ht="14.25" customHeight="1">
      <c r="A17" s="3511"/>
      <c r="B17" s="1658"/>
      <c r="C17" s="1658"/>
      <c r="D17" s="2077"/>
      <c r="E17" s="2077"/>
      <c r="F17" s="2077"/>
      <c r="G17" s="2075">
        <f t="shared" si="0"/>
        <v>0</v>
      </c>
      <c r="H17" s="2075">
        <f t="shared" si="1"/>
        <v>0</v>
      </c>
      <c r="I17" s="1989"/>
    </row>
    <row r="18" spans="1:10" s="1554" customFormat="1" ht="14.25" customHeight="1">
      <c r="A18" s="3511"/>
      <c r="B18" s="1658"/>
      <c r="C18" s="1658"/>
      <c r="D18" s="2077"/>
      <c r="E18" s="2077"/>
      <c r="F18" s="2077"/>
      <c r="G18" s="2075">
        <f t="shared" si="0"/>
        <v>0</v>
      </c>
      <c r="H18" s="2075">
        <f t="shared" si="1"/>
        <v>0</v>
      </c>
      <c r="I18" s="1989"/>
    </row>
    <row r="19" spans="1:10" s="1554" customFormat="1" ht="14.25" customHeight="1">
      <c r="A19" s="3511"/>
      <c r="B19" s="1658"/>
      <c r="C19" s="1658"/>
      <c r="D19" s="2077"/>
      <c r="E19" s="2077"/>
      <c r="F19" s="2077"/>
      <c r="G19" s="2075">
        <f t="shared" si="0"/>
        <v>0</v>
      </c>
      <c r="H19" s="2075">
        <f t="shared" si="1"/>
        <v>0</v>
      </c>
      <c r="I19" s="1989"/>
    </row>
    <row r="20" spans="1:10" s="1554" customFormat="1" ht="14.25" customHeight="1">
      <c r="A20" s="3511"/>
      <c r="B20" s="1658"/>
      <c r="C20" s="1658"/>
      <c r="D20" s="2077"/>
      <c r="E20" s="2077"/>
      <c r="F20" s="2077"/>
      <c r="G20" s="2075">
        <f t="shared" si="0"/>
        <v>0</v>
      </c>
      <c r="H20" s="2075">
        <f t="shared" si="1"/>
        <v>0</v>
      </c>
      <c r="I20" s="1989"/>
    </row>
    <row r="21" spans="1:10" s="1554" customFormat="1" ht="14.25" customHeight="1">
      <c r="A21" s="3511"/>
      <c r="B21" s="1658"/>
      <c r="C21" s="1658"/>
      <c r="D21" s="2077"/>
      <c r="E21" s="2077"/>
      <c r="F21" s="2077"/>
      <c r="G21" s="2075">
        <f t="shared" si="0"/>
        <v>0</v>
      </c>
      <c r="H21" s="2075">
        <f t="shared" si="1"/>
        <v>0</v>
      </c>
      <c r="I21" s="1989"/>
    </row>
    <row r="22" spans="1:10" s="1554" customFormat="1" ht="14.25" customHeight="1">
      <c r="A22" s="3511"/>
      <c r="B22" s="1658"/>
      <c r="C22" s="1658"/>
      <c r="D22" s="2077"/>
      <c r="E22" s="2077"/>
      <c r="F22" s="2077"/>
      <c r="G22" s="2075">
        <f t="shared" si="0"/>
        <v>0</v>
      </c>
      <c r="H22" s="2075">
        <f t="shared" si="1"/>
        <v>0</v>
      </c>
      <c r="I22" s="1989"/>
    </row>
    <row r="23" spans="1:10" s="1554" customFormat="1" ht="14.25" customHeight="1">
      <c r="A23" s="3511"/>
      <c r="B23" s="1806" t="s">
        <v>5482</v>
      </c>
      <c r="C23" s="1916" t="s">
        <v>1242</v>
      </c>
      <c r="D23" s="2075">
        <f>SUM(D9:D22)</f>
        <v>0</v>
      </c>
      <c r="E23" s="2075">
        <f t="shared" ref="E23:H23" si="2">SUM(E9:E22)</f>
        <v>0</v>
      </c>
      <c r="F23" s="2075">
        <f t="shared" si="2"/>
        <v>0</v>
      </c>
      <c r="G23" s="2075">
        <f t="shared" si="2"/>
        <v>0</v>
      </c>
      <c r="H23" s="2075">
        <f t="shared" si="2"/>
        <v>0</v>
      </c>
      <c r="I23" s="1989"/>
      <c r="J23" s="1770" t="s">
        <v>6485</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5.6"/>
    <row r="453" ht="15.6"/>
    <row r="454" ht="15.6"/>
    <row r="455" ht="15.6"/>
    <row r="456" ht="15.6"/>
    <row r="457" ht="15.6"/>
    <row r="458" ht="15.6"/>
    <row r="459" ht="15.6"/>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H3"/>
    <mergeCell ref="A4:B4"/>
    <mergeCell ref="C4:D4"/>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5.6"/>
  <cols>
    <col min="1" max="1" width="5" style="500" customWidth="1"/>
    <col min="2" max="2" width="31.09765625" style="500" customWidth="1"/>
    <col min="3" max="8" width="13.59765625" style="500" customWidth="1"/>
    <col min="9" max="9" width="30.5" customWidth="1"/>
  </cols>
  <sheetData>
    <row r="1" spans="1:12">
      <c r="A1" s="470"/>
      <c r="B1" s="470"/>
      <c r="C1" s="470"/>
      <c r="D1" s="470"/>
      <c r="E1" s="470"/>
      <c r="F1" s="470"/>
      <c r="G1" s="470"/>
      <c r="H1" s="2183" t="str">
        <f>"索引号："&amp;档案索引!A47</f>
        <v>索引号：2A-27</v>
      </c>
      <c r="I1" s="84"/>
      <c r="J1" s="84"/>
      <c r="K1" s="84"/>
    </row>
    <row r="2" spans="1:12" ht="22.2">
      <c r="A2" s="2729" t="s">
        <v>6499</v>
      </c>
      <c r="B2" s="2729"/>
      <c r="C2" s="2729"/>
      <c r="D2" s="2729"/>
      <c r="E2" s="2729"/>
      <c r="F2" s="2729"/>
      <c r="G2" s="2729"/>
      <c r="H2" s="2729"/>
      <c r="I2" s="84"/>
      <c r="J2" s="84"/>
      <c r="K2" s="84"/>
    </row>
    <row r="3" spans="1:12" ht="27.75" customHeight="1">
      <c r="A3" s="470"/>
      <c r="B3" s="3512" t="str">
        <f>"税款所属期间："&amp;基本情况!B7</f>
        <v>税款所属期间：2016年01月01日至2016年12月31日</v>
      </c>
      <c r="C3" s="3512"/>
      <c r="D3" s="3512"/>
      <c r="E3" s="3512"/>
      <c r="F3" s="2955" t="s">
        <v>932</v>
      </c>
      <c r="G3" s="2955"/>
      <c r="H3" s="2955"/>
      <c r="I3" s="84"/>
      <c r="J3" s="84"/>
      <c r="K3" s="84"/>
    </row>
    <row r="4" spans="1:12" ht="19.5" customHeight="1">
      <c r="A4" s="2916" t="s">
        <v>645</v>
      </c>
      <c r="B4" s="2916" t="s">
        <v>933</v>
      </c>
      <c r="C4" s="1717" t="s">
        <v>1251</v>
      </c>
      <c r="D4" s="1717" t="s">
        <v>934</v>
      </c>
      <c r="E4" s="1717" t="s">
        <v>935</v>
      </c>
      <c r="F4" s="1717" t="s">
        <v>1254</v>
      </c>
      <c r="G4" s="1717"/>
      <c r="H4" s="1717" t="s">
        <v>1522</v>
      </c>
      <c r="I4" s="84"/>
      <c r="J4" s="84"/>
      <c r="K4" s="84"/>
    </row>
    <row r="5" spans="1:12" ht="19.5" customHeight="1">
      <c r="A5" s="2916"/>
      <c r="B5" s="2916"/>
      <c r="C5" s="1717">
        <v>1</v>
      </c>
      <c r="D5" s="1717">
        <v>2</v>
      </c>
      <c r="E5" s="1717">
        <v>3</v>
      </c>
      <c r="F5" s="1717">
        <v>4</v>
      </c>
      <c r="G5" s="1717">
        <v>5</v>
      </c>
      <c r="H5" s="1717">
        <v>6</v>
      </c>
      <c r="I5" s="1060" t="s">
        <v>395</v>
      </c>
      <c r="J5" s="84"/>
      <c r="K5" s="84"/>
    </row>
    <row r="6" spans="1:12" ht="19.5" customHeight="1">
      <c r="A6" s="1717">
        <v>1</v>
      </c>
      <c r="B6" s="794" t="s">
        <v>936</v>
      </c>
      <c r="C6" s="1223"/>
      <c r="D6" s="1223"/>
      <c r="E6" s="1223"/>
      <c r="F6" s="1223"/>
      <c r="G6" s="1223"/>
      <c r="H6" s="1061">
        <f>E6-D6-G6</f>
        <v>0</v>
      </c>
      <c r="I6" s="84"/>
      <c r="J6" s="84"/>
      <c r="K6" s="84"/>
    </row>
    <row r="7" spans="1:12" ht="19.5" customHeight="1">
      <c r="A7" s="1717">
        <v>2</v>
      </c>
      <c r="B7" s="794" t="s">
        <v>1000</v>
      </c>
      <c r="C7" s="1223"/>
      <c r="D7" s="1223"/>
      <c r="E7" s="1223"/>
      <c r="F7" s="1223"/>
      <c r="G7" s="1223"/>
      <c r="H7" s="1061">
        <f>E7-D7-G7</f>
        <v>0</v>
      </c>
      <c r="I7" s="84"/>
      <c r="J7" s="84"/>
      <c r="K7" s="84"/>
    </row>
    <row r="8" spans="1:12" ht="19.5" customHeight="1">
      <c r="A8" s="1717">
        <v>3</v>
      </c>
      <c r="B8" s="794" t="s">
        <v>937</v>
      </c>
      <c r="C8" s="1223"/>
      <c r="D8" s="1223"/>
      <c r="E8" s="1223"/>
      <c r="F8" s="1223"/>
      <c r="G8" s="1223"/>
      <c r="H8" s="1061">
        <f t="shared" ref="H8:H21" si="0">E8-D8-G8</f>
        <v>0</v>
      </c>
      <c r="I8" s="84"/>
      <c r="J8" s="84"/>
      <c r="K8" s="84"/>
    </row>
    <row r="9" spans="1:12" ht="19.5" customHeight="1">
      <c r="A9" s="1717">
        <v>4</v>
      </c>
      <c r="B9" s="794" t="s">
        <v>938</v>
      </c>
      <c r="C9" s="1223"/>
      <c r="D9" s="1223"/>
      <c r="E9" s="1223"/>
      <c r="F9" s="1223"/>
      <c r="G9" s="1223"/>
      <c r="H9" s="1061">
        <f t="shared" si="0"/>
        <v>0</v>
      </c>
      <c r="I9" s="84"/>
      <c r="J9" s="84"/>
      <c r="K9" s="84"/>
    </row>
    <row r="10" spans="1:12" ht="19.5" customHeight="1">
      <c r="A10" s="1717">
        <v>5</v>
      </c>
      <c r="B10" s="794" t="s">
        <v>939</v>
      </c>
      <c r="C10" s="1223"/>
      <c r="D10" s="1062" t="s">
        <v>509</v>
      </c>
      <c r="E10" s="1223"/>
      <c r="F10" s="1223"/>
      <c r="G10" s="1223"/>
      <c r="H10" s="1224"/>
      <c r="I10" s="493" t="s">
        <v>940</v>
      </c>
      <c r="J10" s="84"/>
      <c r="K10" s="84"/>
    </row>
    <row r="11" spans="1:12" ht="19.5" customHeight="1">
      <c r="A11" s="1717">
        <v>6</v>
      </c>
      <c r="B11" s="794" t="s">
        <v>941</v>
      </c>
      <c r="C11" s="1223"/>
      <c r="D11" s="1223"/>
      <c r="E11" s="1223"/>
      <c r="F11" s="1223"/>
      <c r="G11" s="1223"/>
      <c r="H11" s="1061">
        <f t="shared" si="0"/>
        <v>0</v>
      </c>
      <c r="I11" s="84"/>
      <c r="J11" s="84"/>
      <c r="K11" s="84"/>
    </row>
    <row r="12" spans="1:12" ht="19.5" customHeight="1">
      <c r="A12" s="1717">
        <v>7</v>
      </c>
      <c r="B12" s="794" t="s">
        <v>942</v>
      </c>
      <c r="C12" s="1223"/>
      <c r="D12" s="1223"/>
      <c r="E12" s="1223"/>
      <c r="F12" s="1223"/>
      <c r="G12" s="1223"/>
      <c r="H12" s="1061">
        <f t="shared" si="0"/>
        <v>0</v>
      </c>
      <c r="I12" s="1725" t="s">
        <v>943</v>
      </c>
      <c r="J12" s="84"/>
      <c r="K12" s="84"/>
    </row>
    <row r="13" spans="1:12" ht="19.5" customHeight="1">
      <c r="A13" s="1717">
        <v>8</v>
      </c>
      <c r="B13" s="794" t="s">
        <v>944</v>
      </c>
      <c r="C13" s="1223"/>
      <c r="D13" s="1223"/>
      <c r="E13" s="1223"/>
      <c r="F13" s="1223"/>
      <c r="G13" s="1223"/>
      <c r="H13" s="1061">
        <f t="shared" si="0"/>
        <v>0</v>
      </c>
      <c r="I13" s="84" t="s">
        <v>456</v>
      </c>
      <c r="J13" s="84"/>
      <c r="K13" s="84"/>
    </row>
    <row r="14" spans="1:12" ht="19.5" customHeight="1">
      <c r="A14" s="1717">
        <v>9</v>
      </c>
      <c r="B14" s="794" t="s">
        <v>945</v>
      </c>
      <c r="C14" s="1223"/>
      <c r="D14" s="1223"/>
      <c r="E14" s="1223"/>
      <c r="F14" s="1223"/>
      <c r="G14" s="1223"/>
      <c r="H14" s="1061">
        <f t="shared" si="0"/>
        <v>0</v>
      </c>
      <c r="I14" s="3112" t="s">
        <v>946</v>
      </c>
      <c r="J14" s="3112"/>
      <c r="K14" s="3112"/>
      <c r="L14" s="673"/>
    </row>
    <row r="15" spans="1:12" ht="19.5" customHeight="1">
      <c r="A15" s="1717">
        <v>10</v>
      </c>
      <c r="B15" s="794" t="s">
        <v>947</v>
      </c>
      <c r="C15" s="1223"/>
      <c r="D15" s="1223"/>
      <c r="E15" s="1223"/>
      <c r="F15" s="1223"/>
      <c r="G15" s="1223"/>
      <c r="H15" s="1061">
        <f t="shared" si="0"/>
        <v>0</v>
      </c>
      <c r="I15" s="3112"/>
      <c r="J15" s="3112"/>
      <c r="K15" s="3112"/>
      <c r="L15" s="673"/>
    </row>
    <row r="16" spans="1:12" ht="19.5" customHeight="1">
      <c r="A16" s="1717">
        <v>11</v>
      </c>
      <c r="B16" s="794" t="s">
        <v>948</v>
      </c>
      <c r="C16" s="1223"/>
      <c r="D16" s="1223"/>
      <c r="E16" s="1223"/>
      <c r="F16" s="1223"/>
      <c r="G16" s="1223"/>
      <c r="H16" s="1061">
        <f t="shared" si="0"/>
        <v>0</v>
      </c>
      <c r="I16" s="1719"/>
      <c r="J16" s="592"/>
      <c r="K16" s="592"/>
      <c r="L16" s="673"/>
    </row>
    <row r="17" spans="1:11" ht="19.5" customHeight="1">
      <c r="A17" s="1717">
        <v>12</v>
      </c>
      <c r="B17" s="794" t="s">
        <v>949</v>
      </c>
      <c r="C17" s="1223"/>
      <c r="D17" s="1223"/>
      <c r="E17" s="1223"/>
      <c r="F17" s="1223"/>
      <c r="G17" s="1223"/>
      <c r="H17" s="1061">
        <f t="shared" si="0"/>
        <v>0</v>
      </c>
      <c r="I17" s="84"/>
      <c r="J17" s="84"/>
      <c r="K17" s="84"/>
    </row>
    <row r="18" spans="1:11" ht="19.5" customHeight="1">
      <c r="A18" s="1717">
        <v>13</v>
      </c>
      <c r="B18" s="794" t="s">
        <v>950</v>
      </c>
      <c r="C18" s="1223"/>
      <c r="D18" s="1223"/>
      <c r="E18" s="1223"/>
      <c r="F18" s="1223"/>
      <c r="G18" s="1223"/>
      <c r="H18" s="1061">
        <f t="shared" si="0"/>
        <v>0</v>
      </c>
      <c r="I18" s="84"/>
      <c r="J18" s="84"/>
      <c r="K18" s="84"/>
    </row>
    <row r="19" spans="1:11" ht="19.5" customHeight="1">
      <c r="A19" s="1717">
        <v>14</v>
      </c>
      <c r="B19" s="794" t="s">
        <v>951</v>
      </c>
      <c r="C19" s="1223"/>
      <c r="D19" s="1223"/>
      <c r="E19" s="1223"/>
      <c r="F19" s="1223"/>
      <c r="G19" s="1223"/>
      <c r="H19" s="1061">
        <f t="shared" si="0"/>
        <v>0</v>
      </c>
      <c r="I19" s="84"/>
      <c r="J19" s="84"/>
      <c r="K19" s="84"/>
    </row>
    <row r="20" spans="1:11" ht="19.5" customHeight="1">
      <c r="A20" s="1717">
        <v>15</v>
      </c>
      <c r="B20" s="794" t="s">
        <v>952</v>
      </c>
      <c r="C20" s="1223"/>
      <c r="D20" s="1223"/>
      <c r="E20" s="1223"/>
      <c r="F20" s="1223"/>
      <c r="G20" s="1223"/>
      <c r="H20" s="1061">
        <f t="shared" si="0"/>
        <v>0</v>
      </c>
      <c r="I20" s="84"/>
      <c r="J20" s="84"/>
      <c r="K20" s="84"/>
    </row>
    <row r="21" spans="1:11" ht="19.5" customHeight="1">
      <c r="A21" s="1717">
        <v>16</v>
      </c>
      <c r="B21" s="794" t="s">
        <v>1295</v>
      </c>
      <c r="C21" s="1223"/>
      <c r="D21" s="1223"/>
      <c r="E21" s="1223"/>
      <c r="F21" s="1223"/>
      <c r="G21" s="1223"/>
      <c r="H21" s="1061">
        <f t="shared" si="0"/>
        <v>0</v>
      </c>
      <c r="I21" s="84"/>
      <c r="J21" s="84"/>
      <c r="K21" s="84"/>
    </row>
    <row r="22" spans="1:11" ht="19.5" customHeight="1">
      <c r="A22" s="1717">
        <v>17</v>
      </c>
      <c r="B22" s="794" t="s">
        <v>702</v>
      </c>
      <c r="C22" s="1061">
        <f>SUM(C6:C21)</f>
        <v>0</v>
      </c>
      <c r="D22" s="1061">
        <f>SUM(D6:D21)</f>
        <v>0</v>
      </c>
      <c r="E22" s="1061">
        <f>SUM(E6:E21)</f>
        <v>0</v>
      </c>
      <c r="F22" s="1061">
        <f>SUM(F6:F21)</f>
        <v>0</v>
      </c>
      <c r="G22" s="2315"/>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5.6"/>
  <cols>
    <col min="1" max="1" width="3.69921875" customWidth="1"/>
    <col min="2" max="2" width="46.19921875" customWidth="1"/>
    <col min="3" max="7" width="14.69921875" customWidth="1"/>
    <col min="8" max="8" width="12.19921875" customWidth="1"/>
  </cols>
  <sheetData>
    <row r="1" spans="1:13">
      <c r="A1" s="470"/>
      <c r="B1" s="470"/>
      <c r="C1" s="470"/>
      <c r="D1" s="470"/>
      <c r="E1" s="470"/>
      <c r="F1" s="470"/>
      <c r="G1" s="2183" t="str">
        <f>"索引号："&amp;档案索引!A48</f>
        <v>索引号：2A-28</v>
      </c>
      <c r="H1" s="84"/>
      <c r="I1" s="84"/>
      <c r="J1" s="84"/>
      <c r="K1" s="84"/>
      <c r="L1" s="84"/>
      <c r="M1" s="84"/>
    </row>
    <row r="2" spans="1:13" ht="22.2">
      <c r="A2" s="2729" t="s">
        <v>6100</v>
      </c>
      <c r="B2" s="2729"/>
      <c r="C2" s="2729"/>
      <c r="D2" s="2729"/>
      <c r="E2" s="2729"/>
      <c r="F2" s="2729"/>
      <c r="G2" s="2729"/>
      <c r="H2" s="84"/>
      <c r="I2" s="84"/>
      <c r="J2" s="84"/>
      <c r="K2" s="84"/>
      <c r="L2" s="84"/>
      <c r="M2" s="84"/>
    </row>
    <row r="3" spans="1:13">
      <c r="A3" s="470"/>
      <c r="B3" s="3261"/>
      <c r="C3" s="3261"/>
      <c r="D3" s="3261"/>
      <c r="E3" s="3261"/>
      <c r="F3" s="470"/>
      <c r="G3" s="470"/>
      <c r="H3" s="84"/>
      <c r="I3" s="84"/>
      <c r="J3" s="84"/>
      <c r="K3" s="84"/>
      <c r="L3" s="84"/>
      <c r="M3" s="84"/>
    </row>
    <row r="4" spans="1:13">
      <c r="A4" s="470"/>
      <c r="B4" s="3513" t="str">
        <f>"税款所属期间："&amp;基本情况!B7</f>
        <v>税款所属期间：2016年01月01日至2016年12月31日</v>
      </c>
      <c r="C4" s="3513"/>
      <c r="D4" s="3513"/>
      <c r="E4" s="3513"/>
      <c r="F4" s="3514" t="s">
        <v>109</v>
      </c>
      <c r="G4" s="3514"/>
      <c r="H4" s="84"/>
      <c r="I4" s="84"/>
      <c r="J4" s="84"/>
      <c r="K4" s="84"/>
      <c r="L4" s="84"/>
      <c r="M4" s="84"/>
    </row>
    <row r="5" spans="1:13" ht="15.15" customHeight="1">
      <c r="A5" s="2916" t="s">
        <v>645</v>
      </c>
      <c r="B5" s="2916" t="s">
        <v>110</v>
      </c>
      <c r="C5" s="2916" t="s">
        <v>111</v>
      </c>
      <c r="D5" s="2916"/>
      <c r="E5" s="2916" t="s">
        <v>112</v>
      </c>
      <c r="F5" s="2916"/>
      <c r="G5" s="2981" t="s">
        <v>113</v>
      </c>
      <c r="H5" s="84"/>
      <c r="I5" s="84"/>
      <c r="J5" s="84"/>
      <c r="K5" s="84"/>
      <c r="L5" s="84"/>
      <c r="M5" s="84"/>
    </row>
    <row r="6" spans="1:13" ht="35.25" customHeight="1">
      <c r="A6" s="2916"/>
      <c r="B6" s="2916"/>
      <c r="C6" s="1678" t="s">
        <v>114</v>
      </c>
      <c r="D6" s="1677" t="s">
        <v>1255</v>
      </c>
      <c r="E6" s="1678" t="s">
        <v>114</v>
      </c>
      <c r="F6" s="1677" t="s">
        <v>1255</v>
      </c>
      <c r="G6" s="2981"/>
      <c r="H6" s="84"/>
      <c r="I6" s="84"/>
      <c r="J6" s="84"/>
      <c r="K6" s="84"/>
      <c r="L6" s="84"/>
      <c r="M6" s="84"/>
    </row>
    <row r="7" spans="1:13" ht="21" customHeight="1">
      <c r="A7" s="2916"/>
      <c r="B7" s="2916"/>
      <c r="C7" s="1677">
        <v>1</v>
      </c>
      <c r="D7" s="1677">
        <v>2</v>
      </c>
      <c r="E7" s="1677">
        <v>3</v>
      </c>
      <c r="F7" s="1677">
        <v>4</v>
      </c>
      <c r="G7" s="1677">
        <v>5</v>
      </c>
      <c r="H7" s="1060" t="s">
        <v>395</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3" t="s">
        <v>5987</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456</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112" t="s">
        <v>120</v>
      </c>
      <c r="I12" s="3112"/>
      <c r="J12" s="3112"/>
      <c r="K12" s="3112"/>
      <c r="L12" s="3112"/>
      <c r="M12" s="3112"/>
    </row>
    <row r="13" spans="1:13" ht="25.5" customHeight="1">
      <c r="A13" s="1677">
        <v>6</v>
      </c>
      <c r="B13" s="794" t="s">
        <v>121</v>
      </c>
      <c r="C13" s="1225"/>
      <c r="D13" s="1225"/>
      <c r="E13" s="1225"/>
      <c r="F13" s="1225"/>
      <c r="G13" s="1061">
        <f>(D13-F13)-(C13-E13)</f>
        <v>0</v>
      </c>
      <c r="H13" s="3112"/>
      <c r="I13" s="3112"/>
      <c r="J13" s="3112"/>
      <c r="K13" s="3112"/>
      <c r="L13" s="3112"/>
      <c r="M13" s="3112"/>
    </row>
    <row r="14" spans="1:13" ht="25.5" customHeight="1">
      <c r="A14" s="1677">
        <v>7</v>
      </c>
      <c r="B14" s="794" t="s">
        <v>117</v>
      </c>
      <c r="C14" s="1225"/>
      <c r="D14" s="1225"/>
      <c r="E14" s="1225"/>
      <c r="F14" s="1225"/>
      <c r="G14" s="1061">
        <f>(D14-F14)-(C14-E14)</f>
        <v>0</v>
      </c>
      <c r="H14" s="3112" t="s">
        <v>122</v>
      </c>
      <c r="I14" s="3112"/>
      <c r="J14" s="3112"/>
      <c r="K14" s="3112"/>
      <c r="L14" s="3112"/>
      <c r="M14" s="3112"/>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702</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workbookViewId="0">
      <selection activeCell="D17" sqref="D17"/>
    </sheetView>
  </sheetViews>
  <sheetFormatPr defaultColWidth="9" defaultRowHeight="15.6"/>
  <cols>
    <col min="1" max="1" width="3.8984375" style="796" customWidth="1"/>
    <col min="2" max="2" width="16.5" style="797" customWidth="1"/>
    <col min="3" max="3" width="22.8984375" style="797" customWidth="1"/>
    <col min="4" max="4" width="27.5" style="797" customWidth="1"/>
    <col min="5" max="5" width="20.3984375" style="797" customWidth="1"/>
    <col min="6" max="7" width="21.19921875" style="797" customWidth="1"/>
    <col min="8" max="8" width="18.59765625" style="797" customWidth="1"/>
    <col min="9" max="9" width="21.19921875" style="797" customWidth="1"/>
    <col min="10" max="10" width="16.8984375" style="797" customWidth="1"/>
    <col min="11" max="12" width="25.5" style="796" customWidth="1"/>
    <col min="13" max="16384" width="9" style="796"/>
  </cols>
  <sheetData>
    <row r="1" spans="1:13" ht="25.8">
      <c r="C1" s="798"/>
      <c r="D1" s="798"/>
      <c r="E1" s="798"/>
      <c r="F1" s="798"/>
      <c r="G1" s="798"/>
      <c r="H1" s="798"/>
      <c r="I1" s="798"/>
      <c r="J1" s="1092"/>
      <c r="K1" s="799"/>
      <c r="L1" s="799"/>
      <c r="M1" s="799"/>
    </row>
    <row r="3" spans="1:13" ht="17.399999999999999">
      <c r="H3" s="2462" t="str">
        <f>首页!A1</f>
        <v>V20170517</v>
      </c>
    </row>
    <row r="4" spans="1:13" ht="14.25" customHeight="1" thickBot="1">
      <c r="B4" s="800" t="s">
        <v>50</v>
      </c>
      <c r="C4" s="3515" t="s">
        <v>51</v>
      </c>
      <c r="D4" s="3515"/>
      <c r="E4" s="3515"/>
      <c r="F4" s="3515"/>
      <c r="G4" s="3515"/>
      <c r="H4" s="3515"/>
      <c r="I4" s="3515"/>
      <c r="J4" s="801"/>
      <c r="K4" s="802"/>
      <c r="L4" s="803"/>
    </row>
    <row r="5" spans="1:13" s="804" customFormat="1" ht="19.5" customHeight="1" thickBot="1">
      <c r="B5" s="3516" t="s">
        <v>52</v>
      </c>
      <c r="C5" s="3527" t="s">
        <v>53</v>
      </c>
      <c r="D5" s="3525"/>
      <c r="E5" s="3526"/>
      <c r="F5" s="3521" t="s">
        <v>6432</v>
      </c>
      <c r="G5" s="3522"/>
      <c r="H5" s="3525" t="s">
        <v>53</v>
      </c>
      <c r="I5" s="3526"/>
      <c r="J5" s="3517" t="s">
        <v>6429</v>
      </c>
      <c r="K5" s="805"/>
      <c r="L5" s="806"/>
    </row>
    <row r="6" spans="1:13" s="804" customFormat="1" ht="19.5" customHeight="1">
      <c r="B6" s="3516"/>
      <c r="C6" s="3519" t="s">
        <v>54</v>
      </c>
      <c r="D6" s="3520"/>
      <c r="E6" s="807" t="s">
        <v>55</v>
      </c>
      <c r="F6" s="3523"/>
      <c r="G6" s="3524"/>
      <c r="H6" s="1768" t="s">
        <v>33</v>
      </c>
      <c r="I6" s="808" t="s">
        <v>56</v>
      </c>
      <c r="J6" s="3518"/>
      <c r="K6" s="805"/>
      <c r="L6" s="806"/>
    </row>
    <row r="7" spans="1:13" s="804" customFormat="1" ht="14.25" customHeight="1">
      <c r="A7" s="809"/>
      <c r="B7" s="2112" t="s">
        <v>57</v>
      </c>
      <c r="C7" s="2113" t="s">
        <v>58</v>
      </c>
      <c r="D7" s="2113" t="s">
        <v>5950</v>
      </c>
      <c r="E7" s="2114" t="s">
        <v>296</v>
      </c>
      <c r="F7" s="2115" t="s">
        <v>7695</v>
      </c>
      <c r="G7" s="2115" t="s">
        <v>4896</v>
      </c>
      <c r="H7" s="2116" t="s">
        <v>339</v>
      </c>
      <c r="I7" s="2114" t="s">
        <v>362</v>
      </c>
      <c r="J7" s="2117" t="s">
        <v>59</v>
      </c>
      <c r="K7" s="796"/>
      <c r="L7" s="806"/>
    </row>
    <row r="8" spans="1:13" s="804" customFormat="1" ht="14.25" customHeight="1">
      <c r="A8" s="809"/>
      <c r="B8" s="2112" t="s">
        <v>60</v>
      </c>
      <c r="C8" s="2113" t="s">
        <v>1329</v>
      </c>
      <c r="D8" s="2113" t="s">
        <v>5951</v>
      </c>
      <c r="E8" s="2114" t="s">
        <v>669</v>
      </c>
      <c r="F8" s="2118" t="s">
        <v>2476</v>
      </c>
      <c r="G8" s="2115" t="s">
        <v>4972</v>
      </c>
      <c r="H8" s="2116" t="s">
        <v>61</v>
      </c>
      <c r="I8" s="2113" t="s">
        <v>366</v>
      </c>
      <c r="J8" s="2117" t="s">
        <v>650</v>
      </c>
      <c r="K8" s="796"/>
      <c r="L8" s="806"/>
    </row>
    <row r="9" spans="1:13" s="804" customFormat="1" ht="14.25" customHeight="1">
      <c r="A9" s="809"/>
      <c r="B9" s="2112" t="s">
        <v>62</v>
      </c>
      <c r="C9" s="2113" t="s">
        <v>63</v>
      </c>
      <c r="D9" s="2113" t="s">
        <v>5952</v>
      </c>
      <c r="E9" s="2114" t="s">
        <v>64</v>
      </c>
      <c r="F9" s="2119" t="s">
        <v>1631</v>
      </c>
      <c r="G9" s="2115" t="s">
        <v>5012</v>
      </c>
      <c r="H9" s="2116" t="s">
        <v>343</v>
      </c>
      <c r="I9" s="2113" t="s">
        <v>370</v>
      </c>
      <c r="J9" s="2117" t="s">
        <v>399</v>
      </c>
      <c r="K9" s="796"/>
      <c r="L9" s="806"/>
    </row>
    <row r="10" spans="1:13" s="804" customFormat="1" ht="14.25" customHeight="1">
      <c r="A10" s="809"/>
      <c r="B10" s="2112" t="s">
        <v>446</v>
      </c>
      <c r="C10" s="2113" t="s">
        <v>65</v>
      </c>
      <c r="D10" s="2113" t="s">
        <v>5953</v>
      </c>
      <c r="E10" s="2114" t="s">
        <v>1296</v>
      </c>
      <c r="F10" s="2115" t="s">
        <v>1856</v>
      </c>
      <c r="G10" s="2115" t="s">
        <v>5452</v>
      </c>
      <c r="H10" s="2116" t="s">
        <v>347</v>
      </c>
      <c r="I10" s="2120" t="s">
        <v>66</v>
      </c>
      <c r="J10" s="2117" t="s">
        <v>1538</v>
      </c>
      <c r="K10" s="796"/>
      <c r="L10" s="806"/>
    </row>
    <row r="11" spans="1:13" s="804" customFormat="1" ht="14.25" customHeight="1">
      <c r="A11" s="809"/>
      <c r="B11" s="2112" t="s">
        <v>67</v>
      </c>
      <c r="C11" s="2113" t="s">
        <v>353</v>
      </c>
      <c r="D11" s="2113" t="s">
        <v>5954</v>
      </c>
      <c r="E11" s="2114" t="s">
        <v>68</v>
      </c>
      <c r="F11" s="2115" t="s">
        <v>4944</v>
      </c>
      <c r="G11" s="2115" t="s">
        <v>5545</v>
      </c>
      <c r="H11" s="2116" t="s">
        <v>351</v>
      </c>
      <c r="I11" s="2113" t="s">
        <v>378</v>
      </c>
      <c r="J11" s="2117" t="s">
        <v>676</v>
      </c>
      <c r="K11" s="796"/>
      <c r="L11" s="806"/>
    </row>
    <row r="12" spans="1:13" s="804" customFormat="1" ht="14.25" customHeight="1">
      <c r="A12" s="809"/>
      <c r="B12" s="2112" t="s">
        <v>69</v>
      </c>
      <c r="C12" s="2113" t="s">
        <v>70</v>
      </c>
      <c r="D12" s="2113" t="s">
        <v>5955</v>
      </c>
      <c r="E12" s="2114" t="s">
        <v>71</v>
      </c>
      <c r="F12" s="2115" t="s">
        <v>5049</v>
      </c>
      <c r="G12" s="2115" t="s">
        <v>5562</v>
      </c>
      <c r="H12" s="2116" t="s">
        <v>355</v>
      </c>
      <c r="I12" s="1" t="s">
        <v>10133</v>
      </c>
      <c r="J12" s="2117" t="s">
        <v>7147</v>
      </c>
      <c r="K12" s="796"/>
      <c r="L12" s="806"/>
    </row>
    <row r="13" spans="1:13" s="804" customFormat="1" ht="14.25" customHeight="1">
      <c r="A13" s="809"/>
      <c r="B13" s="2112" t="s">
        <v>298</v>
      </c>
      <c r="C13" s="2113" t="s">
        <v>73</v>
      </c>
      <c r="D13" s="2113" t="s">
        <v>5956</v>
      </c>
      <c r="E13" s="2114" t="s">
        <v>673</v>
      </c>
      <c r="F13" s="2115" t="s">
        <v>921</v>
      </c>
      <c r="G13" s="2115" t="s">
        <v>5610</v>
      </c>
      <c r="H13" s="2116" t="s">
        <v>74</v>
      </c>
      <c r="J13" s="2117" t="s">
        <v>6023</v>
      </c>
      <c r="K13" s="796"/>
      <c r="L13" s="806"/>
    </row>
    <row r="14" spans="1:13" s="804" customFormat="1" ht="14.25" customHeight="1">
      <c r="A14" s="809"/>
      <c r="B14" s="2112" t="s">
        <v>76</v>
      </c>
      <c r="C14" s="2113" t="s">
        <v>77</v>
      </c>
      <c r="D14" s="2121" t="s">
        <v>5959</v>
      </c>
      <c r="E14" s="2114" t="s">
        <v>78</v>
      </c>
      <c r="F14" s="2115" t="s">
        <v>5149</v>
      </c>
      <c r="G14" s="2115" t="s">
        <v>5658</v>
      </c>
      <c r="H14" s="2116" t="s">
        <v>1263</v>
      </c>
      <c r="I14" s="810"/>
      <c r="J14" s="2117" t="s">
        <v>6024</v>
      </c>
      <c r="K14" s="796"/>
      <c r="L14" s="806"/>
    </row>
    <row r="15" spans="1:13" s="804" customFormat="1" ht="14.25" customHeight="1">
      <c r="A15" s="809"/>
      <c r="B15" s="2112" t="s">
        <v>79</v>
      </c>
      <c r="C15" s="2113" t="s">
        <v>80</v>
      </c>
      <c r="D15" s="2121" t="s">
        <v>5957</v>
      </c>
      <c r="E15" s="2114" t="s">
        <v>679</v>
      </c>
      <c r="F15" s="2115" t="s">
        <v>5185</v>
      </c>
      <c r="G15" s="2115" t="s">
        <v>5667</v>
      </c>
      <c r="H15" s="2116" t="s">
        <v>10120</v>
      </c>
      <c r="I15" s="810"/>
      <c r="J15" s="2117" t="s">
        <v>6025</v>
      </c>
      <c r="K15" s="796"/>
      <c r="L15" s="806"/>
    </row>
    <row r="16" spans="1:13" s="804" customFormat="1" ht="14.25" customHeight="1">
      <c r="A16" s="809"/>
      <c r="B16" s="2112" t="s">
        <v>81</v>
      </c>
      <c r="C16" s="2113" t="s">
        <v>368</v>
      </c>
      <c r="D16" s="2113" t="s">
        <v>5958</v>
      </c>
      <c r="E16" s="2114" t="s">
        <v>320</v>
      </c>
      <c r="F16" s="2115" t="s">
        <v>5207</v>
      </c>
      <c r="G16" s="2115" t="s">
        <v>5765</v>
      </c>
      <c r="H16" s="2116"/>
      <c r="I16" s="810"/>
      <c r="J16" s="2117" t="s">
        <v>6026</v>
      </c>
      <c r="K16" s="796"/>
      <c r="L16" s="806"/>
    </row>
    <row r="17" spans="1:12" s="804" customFormat="1" ht="14.25" customHeight="1">
      <c r="A17" s="809"/>
      <c r="B17" s="2112" t="s">
        <v>318</v>
      </c>
      <c r="C17" s="2113" t="s">
        <v>372</v>
      </c>
      <c r="D17" s="2121" t="s">
        <v>10293</v>
      </c>
      <c r="E17" s="2114" t="s">
        <v>324</v>
      </c>
      <c r="F17" s="2115" t="s">
        <v>5233</v>
      </c>
      <c r="G17" s="2115" t="s">
        <v>5786</v>
      </c>
      <c r="H17" s="1763"/>
      <c r="I17" s="811"/>
      <c r="J17" s="2117" t="s">
        <v>6027</v>
      </c>
      <c r="K17" s="796"/>
      <c r="L17" s="806"/>
    </row>
    <row r="18" spans="1:12" s="804" customFormat="1" ht="14.25" customHeight="1">
      <c r="A18" s="809"/>
      <c r="B18" s="2112" t="s">
        <v>322</v>
      </c>
      <c r="C18" s="2121" t="s">
        <v>376</v>
      </c>
      <c r="D18" s="2121" t="s">
        <v>5960</v>
      </c>
      <c r="E18" s="2114" t="s">
        <v>328</v>
      </c>
      <c r="F18" s="2115" t="s">
        <v>5256</v>
      </c>
      <c r="G18" s="2122" t="s">
        <v>5816</v>
      </c>
      <c r="H18" s="1763"/>
      <c r="I18" s="811"/>
      <c r="J18" s="2117" t="s">
        <v>6028</v>
      </c>
      <c r="K18" s="796"/>
      <c r="L18" s="806"/>
    </row>
    <row r="19" spans="1:12" s="804" customFormat="1" ht="14.25" customHeight="1">
      <c r="A19" s="809"/>
      <c r="B19" s="2112" t="s">
        <v>326</v>
      </c>
      <c r="C19" s="2121" t="s">
        <v>83</v>
      </c>
      <c r="D19" s="2121" t="s">
        <v>5961</v>
      </c>
      <c r="E19" s="2114" t="s">
        <v>332</v>
      </c>
      <c r="F19" s="2115" t="s">
        <v>5277</v>
      </c>
      <c r="G19" s="2115" t="s">
        <v>5841</v>
      </c>
      <c r="H19" s="1763"/>
      <c r="I19" s="811"/>
      <c r="J19" s="2117" t="s">
        <v>6029</v>
      </c>
      <c r="K19" s="796"/>
      <c r="L19" s="805"/>
    </row>
    <row r="20" spans="1:12" s="804" customFormat="1" ht="14.25" customHeight="1">
      <c r="A20" s="809"/>
      <c r="B20" s="2112" t="s">
        <v>330</v>
      </c>
      <c r="C20" s="2113" t="s">
        <v>653</v>
      </c>
      <c r="D20" s="2123" t="s">
        <v>5962</v>
      </c>
      <c r="E20" s="2114" t="s">
        <v>6020</v>
      </c>
      <c r="F20" s="2115" t="s">
        <v>5296</v>
      </c>
      <c r="G20" s="2115" t="s">
        <v>5864</v>
      </c>
      <c r="H20" s="1763"/>
      <c r="I20" s="811"/>
      <c r="J20" s="2117" t="s">
        <v>6042</v>
      </c>
      <c r="K20" s="796"/>
      <c r="L20" s="805"/>
    </row>
    <row r="21" spans="1:12" s="804" customFormat="1" ht="14.25" customHeight="1">
      <c r="A21" s="809"/>
      <c r="B21" s="2112" t="s">
        <v>87</v>
      </c>
      <c r="C21" s="2113" t="s">
        <v>86</v>
      </c>
      <c r="D21" s="2123" t="s">
        <v>5963</v>
      </c>
      <c r="E21" s="2114"/>
      <c r="F21" s="2115" t="s">
        <v>6430</v>
      </c>
      <c r="G21" s="2115" t="s">
        <v>10288</v>
      </c>
      <c r="H21" s="1763"/>
      <c r="I21" s="811"/>
      <c r="J21" s="2117" t="s">
        <v>2431</v>
      </c>
      <c r="K21" s="796"/>
      <c r="L21" s="805"/>
    </row>
    <row r="22" spans="1:12" s="804" customFormat="1" ht="14.25" customHeight="1">
      <c r="A22" s="809"/>
      <c r="B22" s="2124" t="s">
        <v>90</v>
      </c>
      <c r="C22" s="2121" t="s">
        <v>88</v>
      </c>
      <c r="D22" s="2125" t="s">
        <v>6667</v>
      </c>
      <c r="E22" s="2114"/>
      <c r="F22" s="2115" t="s">
        <v>6431</v>
      </c>
      <c r="G22" s="2115" t="s">
        <v>7420</v>
      </c>
      <c r="H22" s="1763"/>
      <c r="I22" s="811"/>
      <c r="J22" s="2117" t="s">
        <v>6043</v>
      </c>
      <c r="K22" s="796"/>
      <c r="L22" s="805"/>
    </row>
    <row r="23" spans="1:12" ht="14.25" customHeight="1">
      <c r="A23" s="809"/>
      <c r="B23" s="2126" t="s">
        <v>92</v>
      </c>
      <c r="C23" s="2121" t="s">
        <v>469</v>
      </c>
      <c r="D23" s="2123" t="s">
        <v>5966</v>
      </c>
      <c r="E23" s="2114"/>
      <c r="F23" s="2115" t="s">
        <v>5357</v>
      </c>
      <c r="G23" s="2115" t="s">
        <v>10289</v>
      </c>
      <c r="H23" s="1763"/>
      <c r="I23" s="811"/>
      <c r="J23" s="2117" t="s">
        <v>6044</v>
      </c>
      <c r="L23" s="802"/>
    </row>
    <row r="24" spans="1:12">
      <c r="A24" s="809"/>
      <c r="B24" s="2124" t="s">
        <v>1288</v>
      </c>
      <c r="C24" s="2123" t="s">
        <v>1430</v>
      </c>
      <c r="D24" s="2123" t="s">
        <v>5967</v>
      </c>
      <c r="E24" s="2114"/>
      <c r="F24" s="2115" t="s">
        <v>5383</v>
      </c>
      <c r="G24" s="2115" t="s">
        <v>10290</v>
      </c>
      <c r="H24" s="1763"/>
      <c r="I24" s="811"/>
      <c r="J24" s="2115" t="s">
        <v>7696</v>
      </c>
    </row>
    <row r="25" spans="1:12">
      <c r="A25" s="809"/>
      <c r="B25" s="2126" t="s">
        <v>642</v>
      </c>
      <c r="C25" s="2113" t="s">
        <v>5948</v>
      </c>
      <c r="D25" s="2123" t="s">
        <v>5944</v>
      </c>
      <c r="E25" s="2114"/>
      <c r="F25" s="2115" t="s">
        <v>5402</v>
      </c>
      <c r="G25" s="2115" t="s">
        <v>10291</v>
      </c>
      <c r="H25" s="1763"/>
      <c r="I25" s="811"/>
      <c r="J25" s="2115" t="s">
        <v>7697</v>
      </c>
    </row>
    <row r="26" spans="1:12">
      <c r="A26" s="809"/>
      <c r="B26" s="2127" t="s">
        <v>93</v>
      </c>
      <c r="C26" s="2113" t="s">
        <v>5949</v>
      </c>
      <c r="D26" s="2123" t="s">
        <v>5964</v>
      </c>
      <c r="E26" s="2128"/>
      <c r="F26" s="2115" t="s">
        <v>5424</v>
      </c>
      <c r="G26" s="2115"/>
      <c r="H26" s="1764"/>
      <c r="I26" s="1667"/>
      <c r="J26" s="1668"/>
    </row>
    <row r="27" spans="1:12">
      <c r="A27" s="809"/>
      <c r="B27" s="2126" t="s">
        <v>7151</v>
      </c>
      <c r="C27" s="2113" t="s">
        <v>5925</v>
      </c>
      <c r="D27" s="2123" t="s">
        <v>5965</v>
      </c>
      <c r="E27" s="1761"/>
      <c r="F27" s="2115" t="s">
        <v>1347</v>
      </c>
      <c r="G27" s="2115"/>
      <c r="H27" s="1765"/>
      <c r="I27" s="1670"/>
      <c r="J27" s="1671"/>
    </row>
    <row r="28" spans="1:12">
      <c r="A28" s="809"/>
      <c r="B28" s="2127" t="s">
        <v>6019</v>
      </c>
      <c r="C28" s="2113" t="s">
        <v>5926</v>
      </c>
      <c r="D28" s="2123" t="s">
        <v>5969</v>
      </c>
      <c r="E28" s="1761"/>
      <c r="F28" s="2115" t="s">
        <v>5487</v>
      </c>
      <c r="G28" s="2115"/>
      <c r="H28" s="1765"/>
      <c r="I28" s="1670"/>
      <c r="J28" s="1671"/>
    </row>
    <row r="29" spans="1:12">
      <c r="A29" s="809"/>
      <c r="B29" s="2127" t="s">
        <v>6021</v>
      </c>
      <c r="C29" s="1670"/>
      <c r="D29" s="2125" t="s">
        <v>5968</v>
      </c>
      <c r="E29" s="1761"/>
      <c r="F29" s="2122" t="s">
        <v>5522</v>
      </c>
      <c r="G29" s="2115"/>
      <c r="H29" s="1765"/>
      <c r="I29" s="1670"/>
      <c r="J29" s="1671"/>
    </row>
    <row r="30" spans="1:12">
      <c r="A30" s="809"/>
      <c r="B30" s="1669"/>
      <c r="C30" s="1670"/>
      <c r="D30" s="2123" t="s">
        <v>6500</v>
      </c>
      <c r="E30" s="1761"/>
      <c r="F30" s="2115" t="s">
        <v>5579</v>
      </c>
      <c r="G30" s="2115"/>
      <c r="H30" s="1765"/>
      <c r="I30" s="1670"/>
      <c r="J30" s="1671"/>
    </row>
    <row r="31" spans="1:12">
      <c r="A31" s="809"/>
      <c r="B31" s="1669"/>
      <c r="C31" s="1670"/>
      <c r="D31" s="2123" t="s">
        <v>6501</v>
      </c>
      <c r="E31" s="1761"/>
      <c r="F31" s="2115" t="s">
        <v>5670</v>
      </c>
      <c r="G31" s="2115"/>
      <c r="H31" s="1765"/>
      <c r="I31" s="1670"/>
      <c r="J31" s="1671"/>
    </row>
    <row r="32" spans="1:12">
      <c r="A32" s="809"/>
      <c r="B32" s="1669"/>
      <c r="C32" s="1670"/>
      <c r="D32" s="2123"/>
      <c r="E32" s="1761"/>
      <c r="F32" s="2115" t="s">
        <v>5709</v>
      </c>
      <c r="G32" s="2129"/>
      <c r="H32" s="1765"/>
      <c r="I32" s="1670"/>
      <c r="J32" s="1671"/>
    </row>
    <row r="33" spans="1:10">
      <c r="A33" s="809"/>
      <c r="B33" s="2046"/>
      <c r="C33" s="2047"/>
      <c r="D33" s="2125"/>
      <c r="E33" s="2048"/>
      <c r="F33" s="2115" t="s">
        <v>5877</v>
      </c>
      <c r="G33" s="2130"/>
      <c r="H33" s="2049"/>
      <c r="I33" s="2047"/>
      <c r="J33" s="2050"/>
    </row>
    <row r="34" spans="1:10" ht="16.2" thickBot="1">
      <c r="A34" s="809"/>
      <c r="B34" s="1672"/>
      <c r="C34" s="1673"/>
      <c r="D34" s="2131"/>
      <c r="E34" s="1762"/>
      <c r="F34" s="2132" t="s">
        <v>2409</v>
      </c>
      <c r="G34" s="2133"/>
      <c r="H34" s="1766"/>
      <c r="I34" s="1673"/>
      <c r="J34" s="1674"/>
    </row>
    <row r="35" spans="1:10">
      <c r="F35" s="1767"/>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加计扣除归集审核表!A1" tooltip="#研发加计扣除归集审核表!A1" display="研发加计扣除归集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H15" location="对外投资!A1" display="对外投资!A1"/>
    <hyperlink ref="I12" location="借款!A1" display="借款!A1"/>
    <hyperlink ref="G25" location="研发项目可加计扣除研究开发费用情况归集表!A1" tooltip="#研发项目可加计扣除研究开发费用情况归集表!A1" display="研发项目可加计扣除研究开发费用情况归集表"/>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5.6"/>
  <cols>
    <col min="1" max="1" width="12.59765625" customWidth="1"/>
    <col min="3" max="3" width="19.8984375" customWidth="1"/>
    <col min="4" max="4" width="63" customWidth="1"/>
  </cols>
  <sheetData>
    <row r="1" spans="1:8">
      <c r="A1" t="s">
        <v>5972</v>
      </c>
      <c r="B1" s="1675"/>
      <c r="C1" s="1681"/>
      <c r="D1" s="1681" t="s">
        <v>2474</v>
      </c>
    </row>
    <row r="2" spans="1:8">
      <c r="A2" t="s">
        <v>57</v>
      </c>
      <c r="C2" s="1680" t="s">
        <v>6110</v>
      </c>
      <c r="D2" s="1518" t="s">
        <v>2476</v>
      </c>
      <c r="E2" t="e">
        <f ca="1">VLOOKUP(TRIM(C2),H:H,1,0)</f>
        <v>#N/A</v>
      </c>
      <c r="G2" t="s">
        <v>5989</v>
      </c>
      <c r="H2" t="str">
        <f ca="1">TRIM(INDIRECT("'"&amp;G2&amp;"'!A1"))</f>
        <v>视同销售和房地产开发企业特定业务审核表</v>
      </c>
    </row>
    <row r="3" spans="1:8">
      <c r="A3" t="s">
        <v>446</v>
      </c>
      <c r="C3" s="1680" t="s">
        <v>6109</v>
      </c>
      <c r="D3" s="1518" t="s">
        <v>2478</v>
      </c>
      <c r="E3" t="e">
        <f t="shared" ref="E3:E42" ca="1" si="0">VLOOKUP(TRIM(C3),H:H,1,0)</f>
        <v>#N/A</v>
      </c>
      <c r="G3" t="s">
        <v>5990</v>
      </c>
      <c r="H3" t="str">
        <f t="shared" ref="H3:H28" ca="1" si="1">TRIM(INDIRECT("'"&amp;G3&amp;"'!A1"))</f>
        <v/>
      </c>
    </row>
    <row r="4" spans="1:8">
      <c r="A4" t="s">
        <v>60</v>
      </c>
      <c r="C4" s="1680" t="s">
        <v>6108</v>
      </c>
      <c r="D4" s="1518" t="s">
        <v>2479</v>
      </c>
      <c r="E4" t="e">
        <f t="shared" ca="1" si="0"/>
        <v>#N/A</v>
      </c>
      <c r="G4" t="s">
        <v>5991</v>
      </c>
      <c r="H4" t="str">
        <f t="shared" ca="1" si="1"/>
        <v/>
      </c>
    </row>
    <row r="5" spans="1:8">
      <c r="A5" t="s">
        <v>67</v>
      </c>
      <c r="C5" s="1680" t="s">
        <v>2480</v>
      </c>
      <c r="D5" s="1518" t="s">
        <v>2481</v>
      </c>
      <c r="E5" t="e">
        <f t="shared" ca="1" si="0"/>
        <v>#N/A</v>
      </c>
      <c r="G5" t="s">
        <v>5992</v>
      </c>
      <c r="H5" t="str">
        <f t="shared" ca="1" si="1"/>
        <v/>
      </c>
    </row>
    <row r="6" spans="1:8">
      <c r="A6" t="s">
        <v>69</v>
      </c>
      <c r="C6" s="1680" t="s">
        <v>2482</v>
      </c>
      <c r="D6" s="1518" t="s">
        <v>2483</v>
      </c>
      <c r="E6" t="e">
        <f t="shared" ca="1" si="0"/>
        <v>#N/A</v>
      </c>
      <c r="G6" t="s">
        <v>5993</v>
      </c>
      <c r="H6" t="str">
        <f t="shared" ca="1" si="1"/>
        <v/>
      </c>
    </row>
    <row r="7" spans="1:8">
      <c r="A7" t="s">
        <v>5973</v>
      </c>
      <c r="C7" s="1680" t="s">
        <v>2484</v>
      </c>
      <c r="D7" s="1518" t="s">
        <v>2485</v>
      </c>
      <c r="E7" t="e">
        <f t="shared" ca="1" si="0"/>
        <v>#N/A</v>
      </c>
      <c r="G7" t="s">
        <v>5994</v>
      </c>
      <c r="H7" t="str">
        <f t="shared" ca="1" si="1"/>
        <v/>
      </c>
    </row>
    <row r="8" spans="1:8">
      <c r="A8" t="s">
        <v>5974</v>
      </c>
      <c r="C8" s="1680" t="s">
        <v>2486</v>
      </c>
      <c r="D8" s="1518" t="s">
        <v>2487</v>
      </c>
      <c r="E8" t="e">
        <f t="shared" ca="1" si="0"/>
        <v>#N/A</v>
      </c>
      <c r="G8" t="s">
        <v>5995</v>
      </c>
      <c r="H8" t="str">
        <f t="shared" ca="1" si="1"/>
        <v/>
      </c>
    </row>
    <row r="9" spans="1:8">
      <c r="A9" t="s">
        <v>5975</v>
      </c>
      <c r="C9" s="1680" t="s">
        <v>2488</v>
      </c>
      <c r="D9" s="1518" t="s">
        <v>2489</v>
      </c>
      <c r="E9" t="e">
        <f t="shared" ca="1" si="0"/>
        <v>#N/A</v>
      </c>
      <c r="G9" t="s">
        <v>5996</v>
      </c>
      <c r="H9" t="str">
        <f t="shared" ca="1" si="1"/>
        <v/>
      </c>
    </row>
    <row r="10" spans="1:8">
      <c r="A10" t="s">
        <v>5976</v>
      </c>
      <c r="C10" s="1680" t="s">
        <v>2490</v>
      </c>
      <c r="D10" s="1518" t="s">
        <v>2491</v>
      </c>
      <c r="E10" t="e">
        <f t="shared" ca="1" si="0"/>
        <v>#N/A</v>
      </c>
      <c r="G10" t="s">
        <v>5997</v>
      </c>
      <c r="H10" t="str">
        <f t="shared" ca="1" si="1"/>
        <v/>
      </c>
    </row>
    <row r="11" spans="1:8">
      <c r="A11" t="s">
        <v>5977</v>
      </c>
      <c r="C11" s="1680" t="s">
        <v>2492</v>
      </c>
      <c r="D11" s="1518" t="s">
        <v>2493</v>
      </c>
      <c r="E11" t="e">
        <f t="shared" ca="1" si="0"/>
        <v>#N/A</v>
      </c>
      <c r="G11" t="s">
        <v>5998</v>
      </c>
      <c r="H11" t="str">
        <f t="shared" ca="1" si="1"/>
        <v/>
      </c>
    </row>
    <row r="12" spans="1:8">
      <c r="A12" t="s">
        <v>5978</v>
      </c>
      <c r="C12" s="1680" t="s">
        <v>2494</v>
      </c>
      <c r="D12" s="1518" t="s">
        <v>2495</v>
      </c>
      <c r="E12" t="e">
        <f t="shared" ca="1" si="0"/>
        <v>#N/A</v>
      </c>
      <c r="G12" t="s">
        <v>5999</v>
      </c>
      <c r="H12" t="str">
        <f t="shared" ca="1" si="1"/>
        <v/>
      </c>
    </row>
    <row r="13" spans="1:8">
      <c r="A13" t="s">
        <v>5979</v>
      </c>
      <c r="C13" s="1680" t="s">
        <v>2496</v>
      </c>
      <c r="D13" s="1518" t="s">
        <v>2497</v>
      </c>
      <c r="E13" t="e">
        <f t="shared" ca="1" si="0"/>
        <v>#N/A</v>
      </c>
      <c r="G13" t="s">
        <v>6000</v>
      </c>
      <c r="H13" t="str">
        <f t="shared" ca="1" si="1"/>
        <v>索引号：2B-2</v>
      </c>
    </row>
    <row r="14" spans="1:8">
      <c r="A14" t="s">
        <v>5980</v>
      </c>
      <c r="C14" s="1680" t="s">
        <v>2498</v>
      </c>
      <c r="D14" s="1518" t="s">
        <v>2499</v>
      </c>
      <c r="E14" t="e">
        <f t="shared" ca="1" si="0"/>
        <v>#N/A</v>
      </c>
      <c r="G14" t="s">
        <v>6001</v>
      </c>
      <c r="H14" t="str">
        <f t="shared" ca="1" si="1"/>
        <v/>
      </c>
    </row>
    <row r="15" spans="1:8">
      <c r="A15" t="s">
        <v>5981</v>
      </c>
      <c r="C15" s="1680" t="s">
        <v>2500</v>
      </c>
      <c r="D15" s="1518" t="s">
        <v>2501</v>
      </c>
      <c r="E15" s="1695" t="e">
        <f t="shared" ca="1" si="0"/>
        <v>#N/A</v>
      </c>
      <c r="G15" t="s">
        <v>6002</v>
      </c>
      <c r="H15" t="str">
        <f t="shared" ca="1" si="1"/>
        <v/>
      </c>
    </row>
    <row r="16" spans="1:8">
      <c r="A16" t="s">
        <v>5982</v>
      </c>
      <c r="C16" s="1680" t="s">
        <v>2502</v>
      </c>
      <c r="D16" s="1518" t="s">
        <v>2503</v>
      </c>
      <c r="E16" s="1684" t="e">
        <f t="shared" ca="1" si="0"/>
        <v>#N/A</v>
      </c>
      <c r="G16" t="s">
        <v>6003</v>
      </c>
      <c r="H16" t="str">
        <f t="shared" ca="1" si="1"/>
        <v/>
      </c>
    </row>
    <row r="17" spans="1:8">
      <c r="A17" t="s">
        <v>5983</v>
      </c>
      <c r="C17" s="1680" t="s">
        <v>2504</v>
      </c>
      <c r="D17" s="1518" t="s">
        <v>2505</v>
      </c>
      <c r="E17" s="1684" t="e">
        <f t="shared" ca="1" si="0"/>
        <v>#N/A</v>
      </c>
      <c r="G17" t="s">
        <v>6004</v>
      </c>
      <c r="H17" t="str">
        <f t="shared" ca="1" si="1"/>
        <v/>
      </c>
    </row>
    <row r="18" spans="1:8">
      <c r="A18" t="s">
        <v>5984</v>
      </c>
      <c r="C18" s="1680" t="s">
        <v>2506</v>
      </c>
      <c r="D18" s="1518" t="s">
        <v>2507</v>
      </c>
      <c r="E18" s="1684" t="e">
        <f t="shared" ca="1" si="0"/>
        <v>#N/A</v>
      </c>
      <c r="G18" t="s">
        <v>6005</v>
      </c>
      <c r="H18" t="str">
        <f t="shared" ca="1" si="1"/>
        <v/>
      </c>
    </row>
    <row r="19" spans="1:8">
      <c r="A19" t="s">
        <v>5985</v>
      </c>
      <c r="C19" s="1680" t="s">
        <v>2508</v>
      </c>
      <c r="D19" s="1518" t="s">
        <v>2509</v>
      </c>
      <c r="E19" t="e">
        <f t="shared" ca="1" si="0"/>
        <v>#N/A</v>
      </c>
      <c r="G19" t="s">
        <v>6006</v>
      </c>
      <c r="H19" t="str">
        <f t="shared" ca="1" si="1"/>
        <v/>
      </c>
    </row>
    <row r="20" spans="1:8">
      <c r="A20" t="s">
        <v>1335</v>
      </c>
      <c r="C20" s="1680" t="s">
        <v>2510</v>
      </c>
      <c r="D20" s="1518" t="s">
        <v>2511</v>
      </c>
      <c r="E20" t="e">
        <f t="shared" ca="1" si="0"/>
        <v>#N/A</v>
      </c>
      <c r="G20" t="s">
        <v>6007</v>
      </c>
      <c r="H20" t="str">
        <f t="shared" ca="1" si="1"/>
        <v/>
      </c>
    </row>
    <row r="21" spans="1:8">
      <c r="A21" t="s">
        <v>93</v>
      </c>
      <c r="C21" s="1680" t="s">
        <v>2512</v>
      </c>
      <c r="D21" s="1518" t="s">
        <v>2513</v>
      </c>
      <c r="E21" t="e">
        <f t="shared" ca="1" si="0"/>
        <v>#N/A</v>
      </c>
      <c r="G21" t="s">
        <v>6008</v>
      </c>
      <c r="H21" t="str">
        <f t="shared" ca="1" si="1"/>
        <v/>
      </c>
    </row>
    <row r="22" spans="1:8">
      <c r="A22" t="s">
        <v>5986</v>
      </c>
      <c r="C22" s="1680" t="s">
        <v>2514</v>
      </c>
      <c r="D22" s="1518" t="s">
        <v>2515</v>
      </c>
      <c r="E22" t="e">
        <f t="shared" ca="1" si="0"/>
        <v>#N/A</v>
      </c>
      <c r="G22" t="s">
        <v>6009</v>
      </c>
      <c r="H22" t="str">
        <f t="shared" ca="1" si="1"/>
        <v/>
      </c>
    </row>
    <row r="23" spans="1:8">
      <c r="A23" t="s">
        <v>5987</v>
      </c>
      <c r="C23" s="1680" t="s">
        <v>2516</v>
      </c>
      <c r="D23" s="1518" t="s">
        <v>2517</v>
      </c>
      <c r="E23" t="e">
        <f t="shared" ca="1" si="0"/>
        <v>#N/A</v>
      </c>
      <c r="G23" t="s">
        <v>6010</v>
      </c>
      <c r="H23" t="str">
        <f t="shared" ca="1" si="1"/>
        <v/>
      </c>
    </row>
    <row r="24" spans="1:8">
      <c r="A24" t="s">
        <v>653</v>
      </c>
      <c r="C24" s="1680" t="s">
        <v>2518</v>
      </c>
      <c r="D24" s="1518" t="s">
        <v>2519</v>
      </c>
      <c r="E24" t="e">
        <f t="shared" ca="1" si="0"/>
        <v>#N/A</v>
      </c>
      <c r="G24" t="s">
        <v>6011</v>
      </c>
      <c r="H24" t="str">
        <f t="shared" ca="1" si="1"/>
        <v>索引号：2B-13</v>
      </c>
    </row>
    <row r="25" spans="1:8">
      <c r="A25" t="s">
        <v>1484</v>
      </c>
      <c r="C25" s="1680" t="s">
        <v>2520</v>
      </c>
      <c r="D25" s="1518" t="s">
        <v>2521</v>
      </c>
      <c r="E25" s="1684" t="e">
        <f t="shared" ca="1" si="0"/>
        <v>#N/A</v>
      </c>
      <c r="G25" t="s">
        <v>6012</v>
      </c>
      <c r="H25" t="str">
        <f t="shared" ca="1" si="1"/>
        <v>索引号：2B-14</v>
      </c>
    </row>
    <row r="26" spans="1:8">
      <c r="A26" t="s">
        <v>1657</v>
      </c>
      <c r="C26" s="1680" t="s">
        <v>2522</v>
      </c>
      <c r="D26" s="1518" t="s">
        <v>2523</v>
      </c>
      <c r="E26" t="e">
        <f t="shared" ca="1" si="0"/>
        <v>#N/A</v>
      </c>
      <c r="G26" t="s">
        <v>6013</v>
      </c>
      <c r="H26" t="str">
        <f t="shared" ca="1" si="1"/>
        <v>索引号：2B-15</v>
      </c>
    </row>
    <row r="27" spans="1:8">
      <c r="A27" t="s">
        <v>1629</v>
      </c>
      <c r="C27" s="1680" t="s">
        <v>2524</v>
      </c>
      <c r="D27" s="1519" t="s">
        <v>2525</v>
      </c>
      <c r="E27" t="e">
        <f t="shared" ca="1" si="0"/>
        <v>#N/A</v>
      </c>
      <c r="G27" t="s">
        <v>6014</v>
      </c>
      <c r="H27" t="str">
        <f t="shared" ca="1" si="1"/>
        <v/>
      </c>
    </row>
    <row r="28" spans="1:8">
      <c r="A28" t="s">
        <v>1658</v>
      </c>
      <c r="C28" s="1680" t="s">
        <v>2526</v>
      </c>
      <c r="D28" s="1518" t="s">
        <v>2527</v>
      </c>
      <c r="E28" t="e">
        <f t="shared" ca="1" si="0"/>
        <v>#N/A</v>
      </c>
      <c r="G28" t="s">
        <v>2409</v>
      </c>
      <c r="H28" t="str">
        <f t="shared" ca="1" si="1"/>
        <v/>
      </c>
    </row>
    <row r="29" spans="1:8">
      <c r="A29" t="s">
        <v>1659</v>
      </c>
      <c r="C29" s="1680" t="s">
        <v>2528</v>
      </c>
      <c r="D29" s="1518" t="s">
        <v>2529</v>
      </c>
      <c r="E29" t="e">
        <f t="shared" ca="1" si="0"/>
        <v>#N/A</v>
      </c>
    </row>
    <row r="30" spans="1:8">
      <c r="A30" t="s">
        <v>1479</v>
      </c>
      <c r="C30" s="1680" t="s">
        <v>2530</v>
      </c>
      <c r="D30" s="1518" t="s">
        <v>2531</v>
      </c>
      <c r="E30" t="e">
        <f t="shared" ca="1" si="0"/>
        <v>#N/A</v>
      </c>
    </row>
    <row r="31" spans="1:8">
      <c r="A31" t="s">
        <v>262</v>
      </c>
      <c r="C31" s="1680" t="s">
        <v>2532</v>
      </c>
      <c r="D31" s="1518" t="s">
        <v>2533</v>
      </c>
      <c r="E31" t="e">
        <f t="shared" ca="1" si="0"/>
        <v>#N/A</v>
      </c>
    </row>
    <row r="32" spans="1:8">
      <c r="A32" t="s">
        <v>1660</v>
      </c>
      <c r="C32" s="1680" t="s">
        <v>2534</v>
      </c>
      <c r="D32" s="1518" t="s">
        <v>2535</v>
      </c>
      <c r="E32" t="e">
        <f t="shared" ca="1" si="0"/>
        <v>#N/A</v>
      </c>
    </row>
    <row r="33" spans="1:5">
      <c r="A33" t="s">
        <v>1360</v>
      </c>
      <c r="C33" s="1680" t="s">
        <v>2536</v>
      </c>
      <c r="D33" s="1518" t="s">
        <v>2537</v>
      </c>
      <c r="E33" t="e">
        <f t="shared" ca="1" si="0"/>
        <v>#N/A</v>
      </c>
    </row>
    <row r="34" spans="1:5">
      <c r="A34" t="s">
        <v>1661</v>
      </c>
      <c r="C34" s="1680" t="s">
        <v>2538</v>
      </c>
      <c r="D34" s="1518" t="s">
        <v>2539</v>
      </c>
      <c r="E34" t="e">
        <f t="shared" ca="1" si="0"/>
        <v>#N/A</v>
      </c>
    </row>
    <row r="35" spans="1:5">
      <c r="A35" t="s">
        <v>472</v>
      </c>
      <c r="C35" s="1680" t="s">
        <v>2540</v>
      </c>
      <c r="D35" s="1518" t="s">
        <v>2541</v>
      </c>
      <c r="E35" t="e">
        <f t="shared" ca="1" si="0"/>
        <v>#N/A</v>
      </c>
    </row>
    <row r="36" spans="1:5">
      <c r="A36" t="s">
        <v>5988</v>
      </c>
      <c r="C36" s="1680" t="s">
        <v>2542</v>
      </c>
      <c r="D36" s="1518" t="s">
        <v>2543</v>
      </c>
      <c r="E36" t="e">
        <f t="shared" ca="1" si="0"/>
        <v>#N/A</v>
      </c>
    </row>
    <row r="37" spans="1:5">
      <c r="A37" t="s">
        <v>469</v>
      </c>
      <c r="C37" s="1680" t="s">
        <v>2544</v>
      </c>
      <c r="D37" s="1518" t="s">
        <v>2545</v>
      </c>
      <c r="E37" t="e">
        <f t="shared" ca="1" si="0"/>
        <v>#N/A</v>
      </c>
    </row>
    <row r="38" spans="1:5">
      <c r="A38" t="s">
        <v>1430</v>
      </c>
      <c r="C38" s="1680" t="s">
        <v>2546</v>
      </c>
      <c r="D38" s="1519" t="s">
        <v>2547</v>
      </c>
      <c r="E38" t="e">
        <f t="shared" ca="1" si="0"/>
        <v>#N/A</v>
      </c>
    </row>
    <row r="39" spans="1:5">
      <c r="A39" t="s">
        <v>5989</v>
      </c>
      <c r="C39" s="1680" t="s">
        <v>2548</v>
      </c>
      <c r="D39" s="1518" t="s">
        <v>2549</v>
      </c>
      <c r="E39" t="e">
        <f t="shared" ca="1" si="0"/>
        <v>#N/A</v>
      </c>
    </row>
    <row r="40" spans="1:5">
      <c r="A40" t="s">
        <v>5990</v>
      </c>
      <c r="C40" s="1680" t="s">
        <v>2550</v>
      </c>
      <c r="D40" s="1518" t="s">
        <v>2551</v>
      </c>
      <c r="E40" t="e">
        <f t="shared" ca="1" si="0"/>
        <v>#N/A</v>
      </c>
    </row>
    <row r="41" spans="1:5">
      <c r="A41" t="s">
        <v>5991</v>
      </c>
      <c r="C41" s="1680" t="s">
        <v>2552</v>
      </c>
      <c r="D41" s="1518" t="s">
        <v>2553</v>
      </c>
      <c r="E41" t="e">
        <f t="shared" ca="1" si="0"/>
        <v>#N/A</v>
      </c>
    </row>
    <row r="42" spans="1:5">
      <c r="A42" t="s">
        <v>5992</v>
      </c>
      <c r="C42" s="1680" t="s">
        <v>2554</v>
      </c>
      <c r="D42" s="1520" t="s">
        <v>2555</v>
      </c>
      <c r="E42" t="e">
        <f t="shared" ca="1" si="0"/>
        <v>#N/A</v>
      </c>
    </row>
    <row r="43" spans="1:5">
      <c r="A43" t="s">
        <v>5993</v>
      </c>
    </row>
    <row r="44" spans="1:5">
      <c r="A44" t="s">
        <v>5994</v>
      </c>
    </row>
    <row r="45" spans="1:5">
      <c r="A45" t="s">
        <v>5995</v>
      </c>
    </row>
    <row r="46" spans="1:5">
      <c r="A46" t="s">
        <v>5996</v>
      </c>
    </row>
    <row r="47" spans="1:5">
      <c r="A47" t="s">
        <v>5997</v>
      </c>
    </row>
    <row r="48" spans="1:5">
      <c r="A48" t="s">
        <v>5998</v>
      </c>
    </row>
    <row r="49" spans="1:1">
      <c r="A49" t="s">
        <v>5999</v>
      </c>
    </row>
    <row r="50" spans="1:1">
      <c r="A50" t="s">
        <v>6000</v>
      </c>
    </row>
    <row r="51" spans="1:1">
      <c r="A51" t="s">
        <v>6001</v>
      </c>
    </row>
    <row r="52" spans="1:1">
      <c r="A52" t="s">
        <v>6002</v>
      </c>
    </row>
    <row r="53" spans="1:1">
      <c r="A53" t="s">
        <v>6003</v>
      </c>
    </row>
    <row r="54" spans="1:1">
      <c r="A54" t="s">
        <v>6004</v>
      </c>
    </row>
    <row r="55" spans="1:1">
      <c r="A55" t="s">
        <v>6005</v>
      </c>
    </row>
    <row r="56" spans="1:1">
      <c r="A56" t="s">
        <v>6006</v>
      </c>
    </row>
    <row r="57" spans="1:1">
      <c r="A57" t="s">
        <v>6007</v>
      </c>
    </row>
    <row r="58" spans="1:1">
      <c r="A58" t="s">
        <v>6008</v>
      </c>
    </row>
    <row r="59" spans="1:1">
      <c r="A59" t="s">
        <v>6009</v>
      </c>
    </row>
    <row r="60" spans="1:1">
      <c r="A60" t="s">
        <v>6010</v>
      </c>
    </row>
    <row r="61" spans="1:1">
      <c r="A61" t="s">
        <v>6011</v>
      </c>
    </row>
    <row r="62" spans="1:1">
      <c r="A62" t="s">
        <v>6012</v>
      </c>
    </row>
    <row r="63" spans="1:1">
      <c r="A63" t="s">
        <v>6013</v>
      </c>
    </row>
    <row r="64" spans="1:1">
      <c r="A64" t="s">
        <v>6014</v>
      </c>
    </row>
    <row r="65" spans="1:1">
      <c r="A65" t="s">
        <v>2409</v>
      </c>
    </row>
    <row r="66" spans="1:1">
      <c r="A66" t="s">
        <v>83</v>
      </c>
    </row>
    <row r="67" spans="1:1">
      <c r="A67" t="s">
        <v>6015</v>
      </c>
    </row>
    <row r="68" spans="1:1">
      <c r="A68" t="s">
        <v>6016</v>
      </c>
    </row>
    <row r="69" spans="1:1">
      <c r="A69" t="s">
        <v>1662</v>
      </c>
    </row>
    <row r="70" spans="1:1">
      <c r="A70" t="s">
        <v>669</v>
      </c>
    </row>
    <row r="71" spans="1:1">
      <c r="A71" t="s">
        <v>1663</v>
      </c>
    </row>
    <row r="72" spans="1:1">
      <c r="A72" t="s">
        <v>1664</v>
      </c>
    </row>
    <row r="73" spans="1:1">
      <c r="A73" t="s">
        <v>1665</v>
      </c>
    </row>
    <row r="74" spans="1:1">
      <c r="A74" t="s">
        <v>1666</v>
      </c>
    </row>
    <row r="75" spans="1:1">
      <c r="A75" t="s">
        <v>6017</v>
      </c>
    </row>
    <row r="76" spans="1:1">
      <c r="A76" t="s">
        <v>252</v>
      </c>
    </row>
    <row r="77" spans="1:1">
      <c r="A77" t="s">
        <v>1667</v>
      </c>
    </row>
    <row r="78" spans="1:1">
      <c r="A78" t="s">
        <v>855</v>
      </c>
    </row>
    <row r="79" spans="1:1">
      <c r="A79" t="s">
        <v>1292</v>
      </c>
    </row>
    <row r="80" spans="1:1">
      <c r="A80" t="s">
        <v>966</v>
      </c>
    </row>
    <row r="81" spans="1:1">
      <c r="A81" t="s">
        <v>1668</v>
      </c>
    </row>
    <row r="82" spans="1:1">
      <c r="A82" t="s">
        <v>1669</v>
      </c>
    </row>
    <row r="83" spans="1:1">
      <c r="A83" t="s">
        <v>1380</v>
      </c>
    </row>
    <row r="84" spans="1:1">
      <c r="A84" t="s">
        <v>6018</v>
      </c>
    </row>
    <row r="85" spans="1:1">
      <c r="A85" t="s">
        <v>1670</v>
      </c>
    </row>
    <row r="86" spans="1:1">
      <c r="A86" t="s">
        <v>1671</v>
      </c>
    </row>
    <row r="87" spans="1:1">
      <c r="A87" t="s">
        <v>1672</v>
      </c>
    </row>
    <row r="88" spans="1:1">
      <c r="A88" t="s">
        <v>1673</v>
      </c>
    </row>
    <row r="89" spans="1:1">
      <c r="A89" t="s">
        <v>1674</v>
      </c>
    </row>
    <row r="90" spans="1:1">
      <c r="A90" t="s">
        <v>1263</v>
      </c>
    </row>
    <row r="91" spans="1:1">
      <c r="A91" t="s">
        <v>1675</v>
      </c>
    </row>
    <row r="92" spans="1:1">
      <c r="A92" t="s">
        <v>1676</v>
      </c>
    </row>
    <row r="93" spans="1:1">
      <c r="A93" t="s">
        <v>1677</v>
      </c>
    </row>
    <row r="94" spans="1:1">
      <c r="A94" t="s">
        <v>1678</v>
      </c>
    </row>
    <row r="95" spans="1:1">
      <c r="A95" t="s">
        <v>1679</v>
      </c>
    </row>
    <row r="96" spans="1:1">
      <c r="A96" s="1684" t="s">
        <v>59</v>
      </c>
    </row>
    <row r="97" spans="1:1">
      <c r="A97" s="1684" t="s">
        <v>650</v>
      </c>
    </row>
    <row r="98" spans="1:1">
      <c r="A98" s="1684" t="s">
        <v>399</v>
      </c>
    </row>
    <row r="99" spans="1:1">
      <c r="A99" s="1684" t="s">
        <v>1538</v>
      </c>
    </row>
    <row r="100" spans="1:1">
      <c r="A100" t="s">
        <v>648</v>
      </c>
    </row>
    <row r="101" spans="1:1">
      <c r="A101" t="s">
        <v>72</v>
      </c>
    </row>
    <row r="102" spans="1:1">
      <c r="A102" t="s">
        <v>75</v>
      </c>
    </row>
    <row r="103" spans="1:1">
      <c r="A103" t="s">
        <v>1291</v>
      </c>
    </row>
    <row r="104" spans="1:1">
      <c r="A104" t="s">
        <v>22</v>
      </c>
    </row>
    <row r="105" spans="1:1">
      <c r="A105" t="s">
        <v>1485</v>
      </c>
    </row>
    <row r="106" spans="1:1">
      <c r="A106" t="s">
        <v>82</v>
      </c>
    </row>
    <row r="107" spans="1:1">
      <c r="A107" t="s">
        <v>84</v>
      </c>
    </row>
    <row r="108" spans="1:1">
      <c r="A108" t="s">
        <v>85</v>
      </c>
    </row>
    <row r="109" spans="1:1">
      <c r="A109" t="s">
        <v>619</v>
      </c>
    </row>
    <row r="110" spans="1:1">
      <c r="A110" t="s">
        <v>89</v>
      </c>
    </row>
    <row r="111" spans="1:1">
      <c r="A111" t="s">
        <v>91</v>
      </c>
    </row>
    <row r="112" spans="1:1">
      <c r="A112" t="s">
        <v>676</v>
      </c>
    </row>
    <row r="113" spans="1:1">
      <c r="A113" t="s">
        <v>6019</v>
      </c>
    </row>
    <row r="114" spans="1:1">
      <c r="A114" t="s">
        <v>6020</v>
      </c>
    </row>
    <row r="115" spans="1:1">
      <c r="A115" t="s">
        <v>6021</v>
      </c>
    </row>
    <row r="116" spans="1:1">
      <c r="A116" t="s">
        <v>6022</v>
      </c>
    </row>
    <row r="117" spans="1:1">
      <c r="A117" t="s">
        <v>6023</v>
      </c>
    </row>
    <row r="118" spans="1:1">
      <c r="A118" t="s">
        <v>6024</v>
      </c>
    </row>
    <row r="119" spans="1:1">
      <c r="A119" t="s">
        <v>6025</v>
      </c>
    </row>
    <row r="120" spans="1:1">
      <c r="A120" t="s">
        <v>6026</v>
      </c>
    </row>
    <row r="121" spans="1:1">
      <c r="A121" t="s">
        <v>6027</v>
      </c>
    </row>
    <row r="122" spans="1:1">
      <c r="A122" t="s">
        <v>6028</v>
      </c>
    </row>
    <row r="123" spans="1:1">
      <c r="A123" t="s">
        <v>6029</v>
      </c>
    </row>
    <row r="124" spans="1:1">
      <c r="A124" t="s">
        <v>6030</v>
      </c>
    </row>
    <row r="125" spans="1:1">
      <c r="A125" t="s">
        <v>6031</v>
      </c>
    </row>
    <row r="126" spans="1:1">
      <c r="A126" t="s">
        <v>6032</v>
      </c>
    </row>
    <row r="127" spans="1:1">
      <c r="A127" t="s">
        <v>6033</v>
      </c>
    </row>
    <row r="128" spans="1:1">
      <c r="A128" t="s">
        <v>6034</v>
      </c>
    </row>
    <row r="129" spans="1:1">
      <c r="A129" t="s">
        <v>6035</v>
      </c>
    </row>
    <row r="130" spans="1:1">
      <c r="A130" t="s">
        <v>6036</v>
      </c>
    </row>
    <row r="131" spans="1:1">
      <c r="A131" t="s">
        <v>6037</v>
      </c>
    </row>
    <row r="132" spans="1:1">
      <c r="A132" t="s">
        <v>6038</v>
      </c>
    </row>
    <row r="133" spans="1:1">
      <c r="A133" t="s">
        <v>6039</v>
      </c>
    </row>
    <row r="134" spans="1:1">
      <c r="A134" t="s">
        <v>6040</v>
      </c>
    </row>
    <row r="135" spans="1:1">
      <c r="A135" t="s">
        <v>6041</v>
      </c>
    </row>
    <row r="136" spans="1:1">
      <c r="A136" t="s">
        <v>6042</v>
      </c>
    </row>
    <row r="137" spans="1:1">
      <c r="A137" t="s">
        <v>2431</v>
      </c>
    </row>
    <row r="138" spans="1:1">
      <c r="A138" t="s">
        <v>6043</v>
      </c>
    </row>
    <row r="139" spans="1:1">
      <c r="A139" t="s">
        <v>6044</v>
      </c>
    </row>
    <row r="140" spans="1:1">
      <c r="A140" t="s">
        <v>6045</v>
      </c>
    </row>
    <row r="141" spans="1:1">
      <c r="A141" t="s">
        <v>6046</v>
      </c>
    </row>
    <row r="142" spans="1:1">
      <c r="A142" t="s">
        <v>5971</v>
      </c>
    </row>
    <row r="143" spans="1:1">
      <c r="A143" t="s">
        <v>6047</v>
      </c>
    </row>
    <row r="144" spans="1:1">
      <c r="A144" t="s">
        <v>6048</v>
      </c>
    </row>
    <row r="145" spans="1:1">
      <c r="A145" t="s">
        <v>6049</v>
      </c>
    </row>
    <row r="146" spans="1:1">
      <c r="A146" t="s">
        <v>6050</v>
      </c>
    </row>
    <row r="147" spans="1:1">
      <c r="A147" t="s">
        <v>6051</v>
      </c>
    </row>
    <row r="148" spans="1:1">
      <c r="A148" t="s">
        <v>6052</v>
      </c>
    </row>
    <row r="149" spans="1:1">
      <c r="A149" t="s">
        <v>6053</v>
      </c>
    </row>
    <row r="150" spans="1:1">
      <c r="A150" t="s">
        <v>6054</v>
      </c>
    </row>
    <row r="151" spans="1:1">
      <c r="A151" t="s">
        <v>6055</v>
      </c>
    </row>
    <row r="152" spans="1:1">
      <c r="A152" t="s">
        <v>6056</v>
      </c>
    </row>
    <row r="153" spans="1:1">
      <c r="A153" t="s">
        <v>6057</v>
      </c>
    </row>
    <row r="154" spans="1:1">
      <c r="A154" t="s">
        <v>6058</v>
      </c>
    </row>
    <row r="155" spans="1:1">
      <c r="A155" t="s">
        <v>6059</v>
      </c>
    </row>
    <row r="156" spans="1:1">
      <c r="A156" t="s">
        <v>6060</v>
      </c>
    </row>
    <row r="157" spans="1:1">
      <c r="A157" t="s">
        <v>6061</v>
      </c>
    </row>
    <row r="158" spans="1:1">
      <c r="A158" t="s">
        <v>6062</v>
      </c>
    </row>
    <row r="159" spans="1:1">
      <c r="A159" t="s">
        <v>6063</v>
      </c>
    </row>
    <row r="160" spans="1:1">
      <c r="A160" t="s">
        <v>6064</v>
      </c>
    </row>
    <row r="161" spans="1:1">
      <c r="A161" t="s">
        <v>6065</v>
      </c>
    </row>
    <row r="162" spans="1:1">
      <c r="A162" t="s">
        <v>6066</v>
      </c>
    </row>
    <row r="163" spans="1:1">
      <c r="A163" t="s">
        <v>6067</v>
      </c>
    </row>
    <row r="164" spans="1:1">
      <c r="A164" t="s">
        <v>6068</v>
      </c>
    </row>
    <row r="165" spans="1:1">
      <c r="A165" t="s">
        <v>6069</v>
      </c>
    </row>
    <row r="166" spans="1:1">
      <c r="A166" t="s">
        <v>6070</v>
      </c>
    </row>
    <row r="167" spans="1:1">
      <c r="A167" t="s">
        <v>6071</v>
      </c>
    </row>
    <row r="168" spans="1:1">
      <c r="A168" t="s">
        <v>6072</v>
      </c>
    </row>
    <row r="169" spans="1:1">
      <c r="A169" t="s">
        <v>6073</v>
      </c>
    </row>
    <row r="170" spans="1:1">
      <c r="A170" t="s">
        <v>6074</v>
      </c>
    </row>
    <row r="171" spans="1:1">
      <c r="A171" t="s">
        <v>6075</v>
      </c>
    </row>
    <row r="172" spans="1:1">
      <c r="A172" t="s">
        <v>6076</v>
      </c>
    </row>
    <row r="173" spans="1:1">
      <c r="A173" t="s">
        <v>6077</v>
      </c>
    </row>
    <row r="174" spans="1:1">
      <c r="A174" t="s">
        <v>6078</v>
      </c>
    </row>
    <row r="175" spans="1:1">
      <c r="A175" t="s">
        <v>6079</v>
      </c>
    </row>
    <row r="176" spans="1:1">
      <c r="A176" t="s">
        <v>6080</v>
      </c>
    </row>
    <row r="177" spans="1:1">
      <c r="A177" t="s">
        <v>6081</v>
      </c>
    </row>
    <row r="178" spans="1:1">
      <c r="A178" t="s">
        <v>6082</v>
      </c>
    </row>
    <row r="179" spans="1:1">
      <c r="A179" t="s">
        <v>6083</v>
      </c>
    </row>
    <row r="180" spans="1:1">
      <c r="A180" t="s">
        <v>6084</v>
      </c>
    </row>
    <row r="181" spans="1:1">
      <c r="A181" t="s">
        <v>6085</v>
      </c>
    </row>
    <row r="182" spans="1:1">
      <c r="A182" t="s">
        <v>6086</v>
      </c>
    </row>
    <row r="183" spans="1:1">
      <c r="A183" t="s">
        <v>6087</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5.6"/>
  <cols>
    <col min="1" max="1" width="3.59765625" style="771" customWidth="1"/>
    <col min="2" max="2" width="6.8984375" style="771" customWidth="1"/>
    <col min="3" max="3" width="13.09765625" style="771" customWidth="1"/>
    <col min="4" max="4" width="12.5" style="771" customWidth="1"/>
    <col min="5" max="6" width="12.69921875" style="771" customWidth="1"/>
    <col min="7" max="8" width="13.09765625" style="771" customWidth="1"/>
    <col min="9" max="9" width="34.69921875" style="131" customWidth="1"/>
    <col min="10" max="10" width="17.19921875" customWidth="1"/>
  </cols>
  <sheetData>
    <row r="1" spans="1:13" ht="30.75" customHeight="1">
      <c r="A1" s="2729" t="s">
        <v>296</v>
      </c>
      <c r="B1" s="2729"/>
      <c r="C1" s="2729"/>
      <c r="D1" s="2729"/>
      <c r="E1" s="2729"/>
      <c r="F1" s="2729"/>
      <c r="G1" s="2729"/>
      <c r="H1" s="2729"/>
      <c r="I1" s="812"/>
      <c r="J1" s="84"/>
      <c r="K1" s="84"/>
      <c r="L1" s="84"/>
    </row>
    <row r="2" spans="1:13" s="502" customFormat="1" ht="13.5" customHeight="1">
      <c r="A2" s="813"/>
      <c r="B2" s="813"/>
      <c r="C2" s="813"/>
      <c r="D2" s="813"/>
      <c r="E2" s="813"/>
      <c r="F2" s="813"/>
      <c r="G2" s="133" t="s">
        <v>1052</v>
      </c>
      <c r="H2" s="814" t="str">
        <f>档案索引!D22</f>
        <v>3-1</v>
      </c>
      <c r="I2" s="815"/>
      <c r="J2" s="144"/>
      <c r="K2" s="144"/>
      <c r="L2" s="144"/>
    </row>
    <row r="3" spans="1:13" s="502" customFormat="1" ht="20.25" customHeight="1">
      <c r="A3" s="3163" t="s">
        <v>447</v>
      </c>
      <c r="B3" s="3163"/>
      <c r="C3" s="3528">
        <f>基本情况!B2</f>
        <v>0</v>
      </c>
      <c r="D3" s="3528"/>
      <c r="E3" s="136"/>
      <c r="F3" s="3533" t="s">
        <v>1066</v>
      </c>
      <c r="G3" s="3534"/>
      <c r="H3" s="485" t="s">
        <v>449</v>
      </c>
      <c r="I3" s="815"/>
      <c r="J3" s="144"/>
      <c r="K3" s="144"/>
      <c r="L3" s="144"/>
    </row>
    <row r="4" spans="1:13" s="502" customFormat="1" ht="20.25" customHeight="1">
      <c r="A4" s="3163"/>
      <c r="B4" s="3163"/>
      <c r="C4" s="3528"/>
      <c r="D4" s="3528"/>
      <c r="E4" s="158" t="s">
        <v>450</v>
      </c>
      <c r="F4" s="3531">
        <f>基本情况!B12</f>
        <v>0</v>
      </c>
      <c r="G4" s="3532"/>
      <c r="H4" s="816" t="str">
        <f>TEXT(基本情况!B21,"yyyy-mm-dd")</f>
        <v>2017-03-16</v>
      </c>
      <c r="I4" s="817" t="s">
        <v>395</v>
      </c>
      <c r="J4" s="144"/>
      <c r="K4" s="144"/>
      <c r="L4" s="144"/>
    </row>
    <row r="5" spans="1:13" s="502" customFormat="1" ht="20.25" customHeight="1">
      <c r="A5" s="3178" t="s">
        <v>451</v>
      </c>
      <c r="B5" s="3178"/>
      <c r="C5" s="2921" t="str">
        <f>基本情况!B7</f>
        <v>2016年01月01日至2016年12月31日</v>
      </c>
      <c r="D5" s="2921"/>
      <c r="E5" s="140" t="s">
        <v>452</v>
      </c>
      <c r="F5" s="3529">
        <f>基本情况!B11</f>
        <v>0</v>
      </c>
      <c r="G5" s="3530"/>
      <c r="H5" s="816" t="str">
        <f>TEXT(基本情况!B22,"yyyy-mm-dd")</f>
        <v>2017-05-04</v>
      </c>
      <c r="I5" s="232" t="s">
        <v>653</v>
      </c>
      <c r="J5" s="144"/>
      <c r="K5" s="144"/>
      <c r="L5" s="144"/>
    </row>
    <row r="6" spans="1:13" s="502" customFormat="1" ht="7.5" customHeight="1">
      <c r="A6" s="2981"/>
      <c r="B6" s="2981"/>
      <c r="C6" s="2981"/>
      <c r="D6" s="2981"/>
      <c r="E6" s="2981"/>
      <c r="F6" s="2981"/>
      <c r="G6" s="2981"/>
      <c r="H6" s="2981"/>
      <c r="I6" s="815"/>
      <c r="J6" s="144"/>
      <c r="K6" s="144"/>
      <c r="L6" s="144"/>
    </row>
    <row r="7" spans="1:13" s="502" customFormat="1" ht="20.25" customHeight="1">
      <c r="A7" s="3043" t="s">
        <v>665</v>
      </c>
      <c r="B7" s="3043"/>
      <c r="C7" s="818" t="s">
        <v>94</v>
      </c>
      <c r="D7" s="819" t="s">
        <v>95</v>
      </c>
      <c r="E7" s="819" t="s">
        <v>5915</v>
      </c>
      <c r="F7" s="819" t="s">
        <v>96</v>
      </c>
      <c r="G7" s="1641" t="s">
        <v>5911</v>
      </c>
      <c r="H7" s="772" t="s">
        <v>702</v>
      </c>
      <c r="I7" s="493"/>
      <c r="J7" s="144"/>
      <c r="K7" s="144"/>
      <c r="L7" s="144"/>
    </row>
    <row r="8" spans="1:13" s="502" customFormat="1" ht="15.75" customHeight="1">
      <c r="A8" s="3150" t="s">
        <v>955</v>
      </c>
      <c r="B8" s="136" t="s">
        <v>667</v>
      </c>
      <c r="C8" s="1635"/>
      <c r="D8" s="1635"/>
      <c r="E8" s="1635"/>
      <c r="F8" s="1635"/>
      <c r="G8" s="1642"/>
      <c r="H8" s="1636">
        <f>SUM(C8:G8)</f>
        <v>0</v>
      </c>
      <c r="I8" s="232" t="s">
        <v>673</v>
      </c>
      <c r="J8" s="144"/>
      <c r="K8" s="144"/>
      <c r="L8" s="144"/>
    </row>
    <row r="9" spans="1:13" s="502" customFormat="1" ht="15.75" customHeight="1">
      <c r="A9" s="3150"/>
      <c r="B9" s="158" t="s">
        <v>671</v>
      </c>
      <c r="C9" s="1634"/>
      <c r="D9" s="1634"/>
      <c r="E9" s="1634"/>
      <c r="F9" s="1634"/>
      <c r="G9" s="1643"/>
      <c r="H9" s="1637">
        <f t="shared" ref="H9:H22" si="0">SUM(C9:G9)</f>
        <v>0</v>
      </c>
      <c r="I9" s="232" t="s">
        <v>669</v>
      </c>
      <c r="J9" s="144"/>
      <c r="K9" s="144"/>
      <c r="L9" s="144"/>
    </row>
    <row r="10" spans="1:13" s="502" customFormat="1" ht="15.75" customHeight="1">
      <c r="A10" s="3150"/>
      <c r="B10" s="158" t="s">
        <v>675</v>
      </c>
      <c r="C10" s="1634"/>
      <c r="D10" s="1634"/>
      <c r="E10" s="1634"/>
      <c r="F10" s="1634"/>
      <c r="G10" s="1643"/>
      <c r="H10" s="1637">
        <f t="shared" si="0"/>
        <v>0</v>
      </c>
      <c r="I10" s="493" t="s">
        <v>72</v>
      </c>
      <c r="J10" s="144"/>
      <c r="K10" s="144"/>
      <c r="L10" s="144"/>
    </row>
    <row r="11" spans="1:13" s="502" customFormat="1" ht="15.75" customHeight="1">
      <c r="A11" s="3150"/>
      <c r="B11" s="158" t="s">
        <v>678</v>
      </c>
      <c r="C11" s="1634"/>
      <c r="D11" s="1634"/>
      <c r="E11" s="1634"/>
      <c r="F11" s="1634"/>
      <c r="G11" s="1643"/>
      <c r="H11" s="1637">
        <f t="shared" si="0"/>
        <v>0</v>
      </c>
      <c r="I11" s="232" t="s">
        <v>642</v>
      </c>
      <c r="J11" s="144"/>
      <c r="K11" s="144"/>
      <c r="L11" s="144"/>
    </row>
    <row r="12" spans="1:13" s="502" customFormat="1" ht="15.75" customHeight="1">
      <c r="A12" s="3150"/>
      <c r="B12" s="158" t="s">
        <v>681</v>
      </c>
      <c r="C12" s="1634"/>
      <c r="D12" s="1634"/>
      <c r="E12" s="1634"/>
      <c r="F12" s="1634"/>
      <c r="G12" s="1643"/>
      <c r="H12" s="1637">
        <f t="shared" si="0"/>
        <v>0</v>
      </c>
      <c r="I12" s="493" t="s">
        <v>676</v>
      </c>
      <c r="J12" s="144"/>
      <c r="K12" s="144"/>
      <c r="L12" s="144"/>
    </row>
    <row r="13" spans="1:13" s="502" customFormat="1" ht="15.75" customHeight="1">
      <c r="A13" s="3150"/>
      <c r="B13" s="158" t="s">
        <v>685</v>
      </c>
      <c r="C13" s="1634"/>
      <c r="D13" s="1634"/>
      <c r="E13" s="1634"/>
      <c r="F13" s="1634"/>
      <c r="G13" s="1643"/>
      <c r="H13" s="1637">
        <f t="shared" si="0"/>
        <v>0</v>
      </c>
      <c r="I13" s="493" t="s">
        <v>956</v>
      </c>
      <c r="J13" s="144"/>
      <c r="K13" s="144"/>
      <c r="L13" s="144"/>
    </row>
    <row r="14" spans="1:13" s="502" customFormat="1" ht="15.75" customHeight="1">
      <c r="A14" s="3150"/>
      <c r="B14" s="158" t="s">
        <v>687</v>
      </c>
      <c r="C14" s="1634"/>
      <c r="D14" s="1634"/>
      <c r="E14" s="1634"/>
      <c r="F14" s="1634"/>
      <c r="G14" s="1643"/>
      <c r="H14" s="1637">
        <f t="shared" si="0"/>
        <v>0</v>
      </c>
      <c r="I14" s="815"/>
      <c r="J14" s="144"/>
      <c r="K14" s="144"/>
      <c r="L14" s="144"/>
    </row>
    <row r="15" spans="1:13" s="502" customFormat="1" ht="15.75" customHeight="1">
      <c r="A15" s="3150"/>
      <c r="B15" s="158" t="s">
        <v>690</v>
      </c>
      <c r="C15" s="1634"/>
      <c r="D15" s="1634"/>
      <c r="E15" s="1634"/>
      <c r="F15" s="1634"/>
      <c r="G15" s="1643"/>
      <c r="H15" s="1637">
        <f t="shared" si="0"/>
        <v>0</v>
      </c>
      <c r="I15" s="3535" t="s">
        <v>975</v>
      </c>
      <c r="J15" s="3535"/>
      <c r="K15" s="3535"/>
      <c r="L15" s="3535"/>
      <c r="M15" s="749"/>
    </row>
    <row r="16" spans="1:13" s="502" customFormat="1" ht="15.75" customHeight="1">
      <c r="A16" s="3150"/>
      <c r="B16" s="158" t="s">
        <v>693</v>
      </c>
      <c r="C16" s="1634"/>
      <c r="D16" s="1634"/>
      <c r="E16" s="1634"/>
      <c r="F16" s="1634"/>
      <c r="G16" s="1643"/>
      <c r="H16" s="1637">
        <f t="shared" si="0"/>
        <v>0</v>
      </c>
      <c r="I16" s="3535"/>
      <c r="J16" s="3535"/>
      <c r="K16" s="3535"/>
      <c r="L16" s="3535"/>
      <c r="M16" s="749"/>
    </row>
    <row r="17" spans="1:13" s="502" customFormat="1" ht="15.75" customHeight="1">
      <c r="A17" s="3150"/>
      <c r="B17" s="821" t="s">
        <v>976</v>
      </c>
      <c r="C17" s="1634"/>
      <c r="D17" s="1634"/>
      <c r="E17" s="1634"/>
      <c r="F17" s="1634"/>
      <c r="G17" s="1643"/>
      <c r="H17" s="1637">
        <f t="shared" si="0"/>
        <v>0</v>
      </c>
      <c r="I17" s="3535"/>
      <c r="J17" s="3535"/>
      <c r="K17" s="3535"/>
      <c r="L17" s="3535"/>
      <c r="M17" s="749"/>
    </row>
    <row r="18" spans="1:13" s="502" customFormat="1" ht="15.75" customHeight="1">
      <c r="A18" s="3150"/>
      <c r="B18" s="822" t="s">
        <v>977</v>
      </c>
      <c r="C18" s="1634"/>
      <c r="D18" s="1634"/>
      <c r="E18" s="1634"/>
      <c r="F18" s="1634"/>
      <c r="G18" s="1643"/>
      <c r="H18" s="1637">
        <f t="shared" si="0"/>
        <v>0</v>
      </c>
      <c r="I18" s="3535"/>
      <c r="J18" s="3535"/>
      <c r="K18" s="3535"/>
      <c r="L18" s="3535"/>
      <c r="M18" s="749"/>
    </row>
    <row r="19" spans="1:13" s="502" customFormat="1" ht="15.75" customHeight="1">
      <c r="A19" s="3150"/>
      <c r="B19" s="822" t="s">
        <v>978</v>
      </c>
      <c r="C19" s="1634"/>
      <c r="D19" s="1634"/>
      <c r="E19" s="1634"/>
      <c r="F19" s="1634"/>
      <c r="G19" s="1643"/>
      <c r="H19" s="1637">
        <f t="shared" si="0"/>
        <v>0</v>
      </c>
      <c r="I19" s="3535"/>
      <c r="J19" s="3535"/>
      <c r="K19" s="3535"/>
      <c r="L19" s="3535"/>
      <c r="M19" s="749"/>
    </row>
    <row r="20" spans="1:13" s="502" customFormat="1" ht="15.75" customHeight="1">
      <c r="A20" s="3150"/>
      <c r="B20" s="158" t="s">
        <v>979</v>
      </c>
      <c r="C20" s="1638">
        <f>SUM(C8:C19)</f>
        <v>0</v>
      </c>
      <c r="D20" s="1638">
        <f>SUM(D8:D19)</f>
        <v>0</v>
      </c>
      <c r="E20" s="1638">
        <f>SUM(E8:E19)</f>
        <v>0</v>
      </c>
      <c r="F20" s="1638">
        <f>SUM(F8:F19)</f>
        <v>0</v>
      </c>
      <c r="G20" s="1638">
        <f>SUM(G8:G19)</f>
        <v>0</v>
      </c>
      <c r="H20" s="1637">
        <f t="shared" si="0"/>
        <v>0</v>
      </c>
      <c r="I20" s="3535"/>
      <c r="J20" s="3535"/>
      <c r="K20" s="3535"/>
      <c r="L20" s="3535"/>
      <c r="M20" s="749"/>
    </row>
    <row r="21" spans="1:13" s="502" customFormat="1" ht="15.75" customHeight="1">
      <c r="A21" s="3150"/>
      <c r="B21" s="2184" t="s">
        <v>6505</v>
      </c>
      <c r="C21" s="1796"/>
      <c r="D21" s="1797" t="s">
        <v>6506</v>
      </c>
      <c r="E21" s="1797" t="s">
        <v>6507</v>
      </c>
      <c r="F21" s="1797" t="s">
        <v>6507</v>
      </c>
      <c r="G21" s="1798" t="s">
        <v>6507</v>
      </c>
      <c r="H21" s="1789">
        <f>SUM(C21:G21)</f>
        <v>0</v>
      </c>
      <c r="I21" s="3535"/>
      <c r="J21" s="3535"/>
      <c r="K21" s="3535"/>
      <c r="L21" s="3535"/>
      <c r="M21" s="749"/>
    </row>
    <row r="22" spans="1:13" s="502" customFormat="1" ht="15.75" customHeight="1">
      <c r="A22" s="3150"/>
      <c r="B22" s="1718" t="s">
        <v>980</v>
      </c>
      <c r="C22" s="1634"/>
      <c r="D22" s="1634"/>
      <c r="E22" s="1634"/>
      <c r="F22" s="1634"/>
      <c r="G22" s="1643"/>
      <c r="H22" s="1637">
        <f t="shared" si="0"/>
        <v>0</v>
      </c>
      <c r="I22" s="3535"/>
      <c r="J22" s="3535"/>
      <c r="K22" s="3535"/>
      <c r="L22" s="3535"/>
      <c r="M22" s="749"/>
    </row>
    <row r="23" spans="1:13" s="502" customFormat="1" ht="15.75" customHeight="1">
      <c r="A23" s="3205"/>
      <c r="B23" s="605" t="s">
        <v>502</v>
      </c>
      <c r="C23" s="1788">
        <f t="shared" ref="C23:H23" si="1">C20+C22</f>
        <v>0</v>
      </c>
      <c r="D23" s="1788">
        <f t="shared" si="1"/>
        <v>0</v>
      </c>
      <c r="E23" s="1788">
        <f t="shared" si="1"/>
        <v>0</v>
      </c>
      <c r="F23" s="1788">
        <f t="shared" si="1"/>
        <v>0</v>
      </c>
      <c r="G23" s="1788">
        <f t="shared" si="1"/>
        <v>0</v>
      </c>
      <c r="H23" s="1789">
        <f t="shared" si="1"/>
        <v>0</v>
      </c>
      <c r="I23" s="3535"/>
      <c r="J23" s="3535"/>
      <c r="K23" s="3535"/>
      <c r="L23" s="3535"/>
      <c r="M23" s="749"/>
    </row>
    <row r="24" spans="1:13" s="502" customFormat="1" ht="15.75" hidden="1" customHeight="1">
      <c r="A24" s="1720"/>
      <c r="B24" s="1790"/>
      <c r="C24" s="1791"/>
      <c r="D24" s="1792"/>
      <c r="E24" s="1792"/>
      <c r="F24" s="1792"/>
      <c r="G24" s="1793"/>
      <c r="H24" s="1640"/>
      <c r="I24" s="3535"/>
      <c r="J24" s="3535"/>
      <c r="K24" s="3535"/>
      <c r="L24" s="3535"/>
      <c r="M24" s="749"/>
    </row>
    <row r="25" spans="1:13" s="502" customFormat="1" ht="15.75" customHeight="1">
      <c r="A25" s="3150" t="s">
        <v>981</v>
      </c>
      <c r="B25" s="824" t="s">
        <v>982</v>
      </c>
      <c r="C25" s="1635"/>
      <c r="D25" s="1635"/>
      <c r="E25" s="1635"/>
      <c r="F25" s="1635"/>
      <c r="G25" s="1642"/>
      <c r="H25" s="1636">
        <f>SUM(C25:G25)</f>
        <v>0</v>
      </c>
      <c r="I25" s="3535"/>
      <c r="J25" s="3535"/>
      <c r="K25" s="3535"/>
      <c r="L25" s="3535"/>
      <c r="M25" s="749"/>
    </row>
    <row r="26" spans="1:13" s="502" customFormat="1" ht="15.75" customHeight="1">
      <c r="A26" s="3150"/>
      <c r="B26" s="822" t="s">
        <v>983</v>
      </c>
      <c r="C26" s="1634"/>
      <c r="D26" s="1634"/>
      <c r="E26" s="1634"/>
      <c r="F26" s="1634"/>
      <c r="G26" s="1643"/>
      <c r="H26" s="1637">
        <f t="shared" ref="H26:H39" si="2">SUM(C26:G26)</f>
        <v>0</v>
      </c>
      <c r="I26" s="3535"/>
      <c r="J26" s="3535"/>
      <c r="K26" s="3535"/>
      <c r="L26" s="3535"/>
      <c r="M26" s="749"/>
    </row>
    <row r="27" spans="1:13" s="502" customFormat="1" ht="15.75" customHeight="1">
      <c r="A27" s="3150"/>
      <c r="B27" s="822" t="s">
        <v>984</v>
      </c>
      <c r="C27" s="1634"/>
      <c r="D27" s="1634"/>
      <c r="E27" s="1634"/>
      <c r="F27" s="1634"/>
      <c r="G27" s="1643"/>
      <c r="H27" s="1637">
        <f t="shared" si="2"/>
        <v>0</v>
      </c>
      <c r="I27" s="3535"/>
      <c r="J27" s="3535"/>
      <c r="K27" s="3535"/>
      <c r="L27" s="3535"/>
    </row>
    <row r="28" spans="1:13" s="502" customFormat="1" ht="15.75" customHeight="1">
      <c r="A28" s="3150"/>
      <c r="B28" s="822" t="s">
        <v>985</v>
      </c>
      <c r="C28" s="1634"/>
      <c r="D28" s="1634"/>
      <c r="E28" s="1634"/>
      <c r="F28" s="1634"/>
      <c r="G28" s="1643"/>
      <c r="H28" s="1637">
        <f t="shared" si="2"/>
        <v>0</v>
      </c>
      <c r="I28" s="3535"/>
      <c r="J28" s="3535"/>
      <c r="K28" s="3535"/>
      <c r="L28" s="3535"/>
    </row>
    <row r="29" spans="1:13" s="502" customFormat="1" ht="15.75" customHeight="1">
      <c r="A29" s="3150"/>
      <c r="B29" s="822" t="s">
        <v>986</v>
      </c>
      <c r="C29" s="1634"/>
      <c r="D29" s="1634"/>
      <c r="E29" s="1634"/>
      <c r="F29" s="1634"/>
      <c r="G29" s="1643"/>
      <c r="H29" s="1637">
        <f t="shared" si="2"/>
        <v>0</v>
      </c>
      <c r="I29" s="3112" t="s">
        <v>1639</v>
      </c>
      <c r="J29" s="3112"/>
      <c r="K29" s="3112"/>
      <c r="L29" s="3112"/>
      <c r="M29" s="587"/>
    </row>
    <row r="30" spans="1:13" s="502" customFormat="1" ht="15.75" customHeight="1">
      <c r="A30" s="3150"/>
      <c r="B30" s="822" t="s">
        <v>1640</v>
      </c>
      <c r="C30" s="1634"/>
      <c r="D30" s="1634"/>
      <c r="E30" s="1634"/>
      <c r="F30" s="1634"/>
      <c r="G30" s="1643"/>
      <c r="H30" s="1637">
        <f t="shared" si="2"/>
        <v>0</v>
      </c>
      <c r="I30" s="3112"/>
      <c r="J30" s="3112"/>
      <c r="K30" s="3112"/>
      <c r="L30" s="3112"/>
      <c r="M30" s="587"/>
    </row>
    <row r="31" spans="1:13" s="502" customFormat="1" ht="15.75" customHeight="1">
      <c r="A31" s="3150"/>
      <c r="B31" s="822" t="s">
        <v>1641</v>
      </c>
      <c r="C31" s="1634"/>
      <c r="D31" s="1634"/>
      <c r="E31" s="1634"/>
      <c r="F31" s="1634"/>
      <c r="G31" s="1643"/>
      <c r="H31" s="1637">
        <f t="shared" si="2"/>
        <v>0</v>
      </c>
      <c r="I31" s="3112"/>
      <c r="J31" s="3112"/>
      <c r="K31" s="3112"/>
      <c r="L31" s="3112"/>
      <c r="M31" s="587"/>
    </row>
    <row r="32" spans="1:13" s="502" customFormat="1" ht="15.75" customHeight="1">
      <c r="A32" s="3150"/>
      <c r="B32" s="822" t="s">
        <v>1642</v>
      </c>
      <c r="C32" s="1634"/>
      <c r="D32" s="1634"/>
      <c r="E32" s="1634"/>
      <c r="F32" s="1634"/>
      <c r="G32" s="1643"/>
      <c r="H32" s="1637">
        <f t="shared" si="2"/>
        <v>0</v>
      </c>
      <c r="I32" s="3112"/>
      <c r="J32" s="3112"/>
      <c r="K32" s="3112"/>
      <c r="L32" s="3112"/>
      <c r="M32" s="587"/>
    </row>
    <row r="33" spans="1:13" s="502" customFormat="1" ht="15.75" customHeight="1">
      <c r="A33" s="3150"/>
      <c r="B33" s="822" t="s">
        <v>1643</v>
      </c>
      <c r="C33" s="1634"/>
      <c r="D33" s="1634"/>
      <c r="E33" s="1634"/>
      <c r="F33" s="1634"/>
      <c r="G33" s="1643"/>
      <c r="H33" s="1637">
        <f t="shared" si="2"/>
        <v>0</v>
      </c>
      <c r="I33" s="3112"/>
      <c r="J33" s="3112"/>
      <c r="K33" s="3112"/>
      <c r="L33" s="3112"/>
      <c r="M33" s="587"/>
    </row>
    <row r="34" spans="1:13" s="502" customFormat="1" ht="15.75" customHeight="1">
      <c r="A34" s="3150"/>
      <c r="B34" s="821" t="s">
        <v>976</v>
      </c>
      <c r="C34" s="1634"/>
      <c r="D34" s="1634"/>
      <c r="E34" s="1634"/>
      <c r="F34" s="1634"/>
      <c r="G34" s="1643"/>
      <c r="H34" s="1637">
        <f t="shared" si="2"/>
        <v>0</v>
      </c>
      <c r="I34" s="3112"/>
      <c r="J34" s="3112"/>
      <c r="K34" s="3112"/>
      <c r="L34" s="3112"/>
      <c r="M34" s="587"/>
    </row>
    <row r="35" spans="1:13" s="502" customFormat="1" ht="15.75" customHeight="1">
      <c r="A35" s="3150"/>
      <c r="B35" s="822" t="s">
        <v>977</v>
      </c>
      <c r="C35" s="1634"/>
      <c r="D35" s="1634"/>
      <c r="E35" s="1634"/>
      <c r="F35" s="1634"/>
      <c r="G35" s="1643"/>
      <c r="H35" s="1637">
        <f t="shared" si="2"/>
        <v>0</v>
      </c>
      <c r="I35" s="3112"/>
      <c r="J35" s="3112"/>
      <c r="K35" s="3112"/>
      <c r="L35" s="3112"/>
      <c r="M35" s="587"/>
    </row>
    <row r="36" spans="1:13" s="502" customFormat="1" ht="15.75" customHeight="1">
      <c r="A36" s="3150"/>
      <c r="B36" s="822" t="s">
        <v>978</v>
      </c>
      <c r="C36" s="1634"/>
      <c r="D36" s="1634"/>
      <c r="E36" s="1634"/>
      <c r="F36" s="1634"/>
      <c r="G36" s="1643"/>
      <c r="H36" s="1637">
        <f t="shared" si="2"/>
        <v>0</v>
      </c>
      <c r="I36" s="3112"/>
      <c r="J36" s="3112"/>
      <c r="K36" s="3112"/>
      <c r="L36" s="3112"/>
      <c r="M36" s="587"/>
    </row>
    <row r="37" spans="1:13" s="502" customFormat="1" ht="15.75" customHeight="1">
      <c r="A37" s="3150"/>
      <c r="B37" s="158" t="s">
        <v>979</v>
      </c>
      <c r="C37" s="1638">
        <f>SUM(C25:C36)</f>
        <v>0</v>
      </c>
      <c r="D37" s="1638">
        <f>SUM(D25:D36)</f>
        <v>0</v>
      </c>
      <c r="E37" s="1638">
        <f>SUM(E25:E36)</f>
        <v>0</v>
      </c>
      <c r="F37" s="1638">
        <f>SUM(F25:F36)</f>
        <v>0</v>
      </c>
      <c r="G37" s="1638">
        <f>SUM(G25:G36)</f>
        <v>0</v>
      </c>
      <c r="H37" s="1637">
        <f t="shared" si="2"/>
        <v>0</v>
      </c>
      <c r="I37" s="3112"/>
      <c r="J37" s="3112"/>
      <c r="K37" s="3112"/>
      <c r="L37" s="3112"/>
      <c r="M37" s="587"/>
    </row>
    <row r="38" spans="1:13" s="502" customFormat="1" ht="15.75" customHeight="1">
      <c r="A38" s="3150"/>
      <c r="B38" s="2184" t="s">
        <v>6505</v>
      </c>
      <c r="C38" s="1796"/>
      <c r="D38" s="1797" t="s">
        <v>6506</v>
      </c>
      <c r="E38" s="1797" t="s">
        <v>6507</v>
      </c>
      <c r="F38" s="1797" t="s">
        <v>6507</v>
      </c>
      <c r="G38" s="1798" t="s">
        <v>6507</v>
      </c>
      <c r="H38" s="1789">
        <f>SUM(C38:G38)</f>
        <v>0</v>
      </c>
      <c r="I38" s="3112"/>
      <c r="J38" s="3112"/>
      <c r="K38" s="3112"/>
      <c r="L38" s="3112"/>
      <c r="M38" s="1722"/>
    </row>
    <row r="39" spans="1:13" s="502" customFormat="1" ht="15.75" customHeight="1">
      <c r="A39" s="3150"/>
      <c r="B39" s="158" t="s">
        <v>980</v>
      </c>
      <c r="C39" s="1634"/>
      <c r="D39" s="1634"/>
      <c r="E39" s="1634"/>
      <c r="F39" s="1634"/>
      <c r="G39" s="1634"/>
      <c r="H39" s="1637">
        <f t="shared" si="2"/>
        <v>0</v>
      </c>
      <c r="I39" s="3112"/>
      <c r="J39" s="3112"/>
      <c r="K39" s="3112"/>
      <c r="L39" s="3112"/>
      <c r="M39" s="587"/>
    </row>
    <row r="40" spans="1:13" s="502" customFormat="1" ht="15.75" customHeight="1">
      <c r="A40" s="3150"/>
      <c r="B40" s="140" t="s">
        <v>502</v>
      </c>
      <c r="C40" s="1639">
        <f t="shared" ref="C40:H40" si="3">C37+C39</f>
        <v>0</v>
      </c>
      <c r="D40" s="1639">
        <f t="shared" si="3"/>
        <v>0</v>
      </c>
      <c r="E40" s="1639">
        <f t="shared" si="3"/>
        <v>0</v>
      </c>
      <c r="F40" s="1639">
        <f t="shared" si="3"/>
        <v>0</v>
      </c>
      <c r="G40" s="1639">
        <f t="shared" si="3"/>
        <v>0</v>
      </c>
      <c r="H40" s="1640">
        <f t="shared" si="3"/>
        <v>0</v>
      </c>
      <c r="I40" s="3112"/>
      <c r="J40" s="3112"/>
      <c r="K40" s="3112"/>
      <c r="L40" s="3112"/>
    </row>
    <row r="41" spans="1:13" s="502" customFormat="1" ht="20.25" customHeight="1">
      <c r="A41" s="3150" t="s">
        <v>641</v>
      </c>
      <c r="B41" s="3150"/>
      <c r="C41" s="3537" t="str">
        <f>IF(其他业务!$C$18+主营收支!$H$20&lt;&gt;利润!$C$5,"营业收入账载数与报表数相差"&amp;DOLLAR(其他业务!$C$18+主营收支!$H$20-利润!$C$5,2)&amp;"元！","营业收入账载数与报表数相符！")</f>
        <v>营业收入账载数与报表数相符！</v>
      </c>
      <c r="D41" s="3537"/>
      <c r="E41" s="3537"/>
      <c r="F41" s="3537"/>
      <c r="G41" s="3537"/>
      <c r="H41" s="3537"/>
      <c r="I41" s="144"/>
      <c r="J41" s="144"/>
      <c r="K41" s="144"/>
      <c r="L41" s="144"/>
    </row>
    <row r="42" spans="1:13" s="502" customFormat="1" ht="20.25" customHeight="1">
      <c r="A42" s="3150"/>
      <c r="B42" s="3150"/>
      <c r="C42" s="3538" t="str">
        <f>IF(其他业务!$H$18+主营收支!$H$37&lt;&gt;利润!$C$6,"营业成本账载数与报表数相差"&amp;DOLLAR(其他业务!$H$18+主营收支!$H$37-利润!$C$6,2)&amp;"元！","营业成本账载数与报表数相符！")</f>
        <v>营业成本账载数与报表数相符！</v>
      </c>
      <c r="D42" s="3538"/>
      <c r="E42" s="3538"/>
      <c r="F42" s="3538"/>
      <c r="G42" s="3538"/>
      <c r="H42" s="3538"/>
      <c r="I42" s="144" t="s">
        <v>456</v>
      </c>
      <c r="J42" s="144"/>
      <c r="K42" s="144"/>
      <c r="L42" s="144"/>
    </row>
    <row r="43" spans="1:13" s="502" customFormat="1" ht="15" customHeight="1">
      <c r="A43" s="3163" t="s">
        <v>1323</v>
      </c>
      <c r="B43" s="3163"/>
      <c r="C43" s="3539" t="s">
        <v>1644</v>
      </c>
      <c r="D43" s="3539"/>
      <c r="E43" s="3536" t="str">
        <f>IF(OR(H20&lt;&gt;利润!C5,H37&lt;&gt;利润!C6),"、E","")</f>
        <v/>
      </c>
      <c r="F43" s="3536"/>
      <c r="G43" s="3536"/>
      <c r="H43" s="3536"/>
      <c r="I43" s="144" t="s">
        <v>1645</v>
      </c>
      <c r="J43" s="144"/>
      <c r="K43" s="144"/>
      <c r="L43" s="144"/>
    </row>
    <row r="44" spans="1:13" s="502" customFormat="1" ht="20.25" customHeight="1">
      <c r="A44" s="3163"/>
      <c r="B44" s="3163"/>
      <c r="C44" s="3540"/>
      <c r="D44" s="3540"/>
      <c r="E44" s="3540"/>
      <c r="F44" s="3540"/>
      <c r="G44" s="3540"/>
      <c r="H44" s="3540"/>
      <c r="I44" s="3112" t="s">
        <v>1646</v>
      </c>
      <c r="J44" s="3112"/>
      <c r="K44" s="3112"/>
      <c r="L44" s="3112"/>
    </row>
    <row r="45" spans="1:13" s="502" customFormat="1" ht="6.75" customHeight="1">
      <c r="A45" s="3163"/>
      <c r="B45" s="3163"/>
      <c r="C45" s="3540"/>
      <c r="D45" s="3540"/>
      <c r="E45" s="3540"/>
      <c r="F45" s="3540"/>
      <c r="G45" s="3540"/>
      <c r="H45" s="3540"/>
      <c r="I45" s="3112"/>
      <c r="J45" s="3112"/>
      <c r="K45" s="3112"/>
      <c r="L45" s="3112"/>
    </row>
    <row r="46" spans="1:13" s="502" customFormat="1" ht="12" customHeight="1">
      <c r="A46" s="3163"/>
      <c r="B46" s="3163"/>
      <c r="C46" s="3540"/>
      <c r="D46" s="3540"/>
      <c r="E46" s="3540"/>
      <c r="F46" s="3540"/>
      <c r="G46" s="3540"/>
      <c r="H46" s="3540"/>
      <c r="I46" s="3112" t="s">
        <v>1647</v>
      </c>
      <c r="J46" s="3112"/>
      <c r="K46" s="3112"/>
      <c r="L46" s="3112"/>
    </row>
    <row r="47" spans="1:13" s="502" customFormat="1" ht="20.25" customHeight="1">
      <c r="A47" s="3163"/>
      <c r="B47" s="3163"/>
      <c r="C47" s="3540"/>
      <c r="D47" s="3540"/>
      <c r="E47" s="3540"/>
      <c r="F47" s="3540"/>
      <c r="G47" s="3540"/>
      <c r="H47" s="3540"/>
      <c r="I47" s="3112"/>
      <c r="J47" s="3112"/>
      <c r="K47" s="3112"/>
      <c r="L47" s="3112"/>
    </row>
    <row r="48" spans="1:13" s="502" customFormat="1" ht="20.25" customHeight="1">
      <c r="A48" s="3541" t="s">
        <v>574</v>
      </c>
      <c r="B48" s="3541"/>
      <c r="C48" s="3538" t="str">
        <f>IF(AND(H22=0,H39=0),"不存在调整事项,认可！","调整后认可！")</f>
        <v>不存在调整事项,认可！</v>
      </c>
      <c r="D48" s="3538"/>
      <c r="E48" s="3538"/>
      <c r="F48" s="3538"/>
      <c r="G48" s="3538"/>
      <c r="H48" s="3538"/>
      <c r="I48" s="3158" t="s">
        <v>1648</v>
      </c>
      <c r="J48" s="3158"/>
      <c r="K48" s="3158"/>
      <c r="L48" s="3158"/>
    </row>
    <row r="49" spans="1:12" s="502" customFormat="1" ht="14.4">
      <c r="A49" s="771"/>
      <c r="B49" s="771"/>
      <c r="C49" s="771"/>
      <c r="D49" s="771"/>
      <c r="E49" s="771"/>
      <c r="F49" s="771"/>
      <c r="G49" s="771"/>
      <c r="H49" s="771"/>
      <c r="I49" s="3158"/>
      <c r="J49" s="3158"/>
      <c r="K49" s="3158"/>
      <c r="L49" s="3158"/>
    </row>
    <row r="50" spans="1:12" s="502" customFormat="1" ht="40.5" customHeight="1">
      <c r="A50" s="771"/>
      <c r="B50" s="771"/>
      <c r="C50" s="771"/>
      <c r="D50" s="771"/>
      <c r="E50" s="771"/>
      <c r="F50" s="771"/>
      <c r="G50" s="771"/>
      <c r="H50" s="771"/>
      <c r="I50" s="3158"/>
      <c r="J50" s="3158"/>
      <c r="K50" s="3158"/>
      <c r="L50" s="3158"/>
    </row>
    <row r="51" spans="1:12" s="502" customFormat="1" ht="33.75" customHeight="1">
      <c r="A51" s="771"/>
      <c r="B51" s="771"/>
      <c r="C51" s="771"/>
      <c r="D51" s="771"/>
      <c r="E51" s="771"/>
      <c r="F51" s="771"/>
      <c r="G51" s="771"/>
      <c r="H51" s="771"/>
      <c r="I51" s="3158" t="s">
        <v>1635</v>
      </c>
      <c r="J51" s="3158"/>
      <c r="K51" s="3158"/>
      <c r="L51" s="3158"/>
    </row>
    <row r="52" spans="1:12" s="502" customFormat="1" ht="43.5" customHeight="1">
      <c r="A52" s="771"/>
      <c r="B52" s="771"/>
      <c r="C52" s="771"/>
      <c r="D52" s="771"/>
      <c r="E52" s="771"/>
      <c r="F52" s="771"/>
      <c r="G52" s="771"/>
      <c r="H52" s="771"/>
      <c r="I52" s="3158"/>
      <c r="J52" s="3158"/>
      <c r="K52" s="3158"/>
      <c r="L52" s="3158"/>
    </row>
    <row r="53" spans="1:12" s="502" customFormat="1" ht="27.75" customHeight="1">
      <c r="A53" s="771"/>
      <c r="B53" s="771"/>
      <c r="C53" s="771"/>
      <c r="D53" s="771"/>
      <c r="E53" s="771"/>
      <c r="F53" s="771"/>
      <c r="G53" s="771"/>
      <c r="H53" s="771"/>
      <c r="I53" s="3158"/>
      <c r="J53" s="3158"/>
      <c r="K53" s="3158"/>
      <c r="L53" s="3158"/>
    </row>
    <row r="54" spans="1:12" s="502" customFormat="1" ht="27.75" customHeight="1">
      <c r="A54" s="771"/>
      <c r="B54" s="771"/>
      <c r="C54" s="771"/>
      <c r="D54" s="771"/>
      <c r="E54" s="771"/>
      <c r="F54" s="771"/>
      <c r="G54" s="771"/>
      <c r="H54" s="771"/>
      <c r="I54" s="3158"/>
      <c r="J54" s="3158"/>
      <c r="K54" s="3158"/>
      <c r="L54" s="3158"/>
    </row>
    <row r="55" spans="1:12" s="502" customFormat="1" ht="27.75" customHeight="1">
      <c r="A55" s="771"/>
      <c r="B55" s="771"/>
      <c r="C55" s="771"/>
      <c r="D55" s="771"/>
      <c r="E55" s="771"/>
      <c r="F55" s="771"/>
      <c r="G55" s="771"/>
      <c r="H55" s="771"/>
      <c r="I55" s="3158" t="s">
        <v>1636</v>
      </c>
      <c r="J55" s="3158"/>
      <c r="K55" s="3158"/>
      <c r="L55" s="3158"/>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I48:L50"/>
    <mergeCell ref="A48:B48"/>
    <mergeCell ref="C48:H48"/>
    <mergeCell ref="I51:L54"/>
    <mergeCell ref="I55:L55"/>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A6:H6"/>
    <mergeCell ref="A1:H1"/>
    <mergeCell ref="A3:B4"/>
    <mergeCell ref="C3:D4"/>
    <mergeCell ref="A5:B5"/>
    <mergeCell ref="C5:D5"/>
    <mergeCell ref="F5:G5"/>
    <mergeCell ref="F4:G4"/>
    <mergeCell ref="F3:G3"/>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09765625" style="502" customWidth="1"/>
    <col min="2" max="2" width="1.8984375" style="502" customWidth="1"/>
    <col min="3" max="3" width="25.5" style="502" customWidth="1"/>
    <col min="4" max="11" width="11.59765625" style="502" customWidth="1"/>
    <col min="12" max="12" width="27.19921875" style="502" customWidth="1"/>
    <col min="13" max="16384" width="9" style="502"/>
  </cols>
  <sheetData>
    <row r="1" spans="1:14" ht="33.75" customHeight="1">
      <c r="A1" s="2729" t="s">
        <v>300</v>
      </c>
      <c r="B1" s="2729"/>
      <c r="C1" s="2729"/>
      <c r="D1" s="2729"/>
      <c r="E1" s="2729"/>
      <c r="F1" s="2729"/>
      <c r="G1" s="2729"/>
      <c r="H1" s="2729"/>
      <c r="I1" s="2729"/>
      <c r="J1" s="2729"/>
      <c r="K1" s="2729"/>
      <c r="L1" s="3542"/>
      <c r="M1" s="144"/>
      <c r="N1" s="144"/>
    </row>
    <row r="2" spans="1:14" ht="15" customHeight="1">
      <c r="A2" s="3163" t="s">
        <v>237</v>
      </c>
      <c r="B2" s="3163"/>
      <c r="C2" s="2919">
        <f>主营收支!C3</f>
        <v>0</v>
      </c>
      <c r="D2" s="2919"/>
      <c r="E2" s="2919"/>
      <c r="F2" s="2919"/>
      <c r="G2" s="2919"/>
      <c r="H2" s="825"/>
      <c r="I2" s="136" t="s">
        <v>1282</v>
      </c>
      <c r="J2" s="136" t="s">
        <v>1053</v>
      </c>
      <c r="K2" s="485" t="s">
        <v>283</v>
      </c>
      <c r="L2" s="3542"/>
      <c r="M2" s="144"/>
      <c r="N2" s="144"/>
    </row>
    <row r="3" spans="1:14" ht="15" customHeight="1">
      <c r="A3" s="3163"/>
      <c r="B3" s="3163"/>
      <c r="C3" s="2919"/>
      <c r="D3" s="2919"/>
      <c r="E3" s="2919"/>
      <c r="F3" s="2919"/>
      <c r="G3" s="2919"/>
      <c r="H3" s="158" t="s">
        <v>450</v>
      </c>
      <c r="I3" s="510">
        <f>基本情况!B12</f>
        <v>0</v>
      </c>
      <c r="J3" s="559" t="str">
        <f>TEXT(基本情况!B21,"yyyy-mm-dd")</f>
        <v>2017-03-16</v>
      </c>
      <c r="K3" s="3543" t="str">
        <f>档案索引!D23</f>
        <v>3-2</v>
      </c>
      <c r="L3" s="3542"/>
      <c r="M3" s="144"/>
      <c r="N3" s="144"/>
    </row>
    <row r="4" spans="1:14" ht="15" customHeight="1">
      <c r="A4" s="3178" t="s">
        <v>238</v>
      </c>
      <c r="B4" s="3178"/>
      <c r="C4" s="2921" t="str">
        <f>主营收支!C5</f>
        <v>2016年01月01日至2016年12月31日</v>
      </c>
      <c r="D4" s="2921"/>
      <c r="E4" s="2921"/>
      <c r="F4" s="2921"/>
      <c r="G4" s="2921"/>
      <c r="H4" s="140" t="s">
        <v>452</v>
      </c>
      <c r="I4" s="513">
        <f>基本情况!B11</f>
        <v>0</v>
      </c>
      <c r="J4" s="513" t="str">
        <f>TEXT(基本情况!B22,"yyyy-mm-dd")</f>
        <v>2017-05-04</v>
      </c>
      <c r="K4" s="3543"/>
      <c r="L4" s="3542"/>
      <c r="M4" s="144"/>
      <c r="N4" s="144"/>
    </row>
    <row r="5" spans="1:14" ht="7.5" customHeight="1">
      <c r="A5" s="2916"/>
      <c r="B5" s="2916"/>
      <c r="C5" s="2916"/>
      <c r="D5" s="2916"/>
      <c r="E5" s="2916"/>
      <c r="F5" s="2916"/>
      <c r="G5" s="2916"/>
      <c r="H5" s="2916"/>
      <c r="I5" s="2916"/>
      <c r="J5" s="2916"/>
      <c r="K5" s="2916"/>
      <c r="L5" s="3542"/>
      <c r="M5" s="144"/>
      <c r="N5" s="144"/>
    </row>
    <row r="6" spans="1:14" ht="18" customHeight="1">
      <c r="A6" s="3043" t="s">
        <v>665</v>
      </c>
      <c r="B6" s="3043"/>
      <c r="C6" s="3044" t="s">
        <v>239</v>
      </c>
      <c r="D6" s="2920" t="s">
        <v>240</v>
      </c>
      <c r="E6" s="2920"/>
      <c r="F6" s="2920"/>
      <c r="G6" s="3044" t="s">
        <v>241</v>
      </c>
      <c r="H6" s="3045" t="s">
        <v>242</v>
      </c>
      <c r="I6" s="3045" t="s">
        <v>1491</v>
      </c>
      <c r="J6" s="3045" t="s">
        <v>243</v>
      </c>
      <c r="K6" s="2967" t="s">
        <v>244</v>
      </c>
      <c r="L6" s="90" t="s">
        <v>395</v>
      </c>
      <c r="M6" s="144"/>
      <c r="N6" s="144"/>
    </row>
    <row r="7" spans="1:14" ht="18" customHeight="1">
      <c r="A7" s="3043"/>
      <c r="B7" s="3043"/>
      <c r="C7" s="3044"/>
      <c r="D7" s="140" t="s">
        <v>245</v>
      </c>
      <c r="E7" s="826" t="s">
        <v>246</v>
      </c>
      <c r="F7" s="140" t="s">
        <v>247</v>
      </c>
      <c r="G7" s="3044"/>
      <c r="H7" s="3045"/>
      <c r="I7" s="3045"/>
      <c r="J7" s="3045"/>
      <c r="K7" s="2967"/>
      <c r="L7" s="232" t="s">
        <v>653</v>
      </c>
      <c r="M7" s="144"/>
      <c r="N7" s="144"/>
    </row>
    <row r="8" spans="1:14" ht="14.4" customHeight="1">
      <c r="A8" s="3150"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 customHeight="1">
      <c r="A9" s="3150"/>
      <c r="B9" s="828">
        <v>2</v>
      </c>
      <c r="C9" s="828" t="s">
        <v>6111</v>
      </c>
      <c r="D9" s="1121"/>
      <c r="E9" s="1121"/>
      <c r="F9" s="1121"/>
      <c r="G9" s="588">
        <f>纳税申报数据!F23</f>
        <v>0</v>
      </c>
      <c r="H9" s="588">
        <f>G9-D9-E9-F9</f>
        <v>0</v>
      </c>
      <c r="I9" s="1121"/>
      <c r="J9" s="588">
        <f t="shared" si="0"/>
        <v>0</v>
      </c>
      <c r="K9" s="694" t="s">
        <v>509</v>
      </c>
      <c r="L9" s="232" t="s">
        <v>673</v>
      </c>
      <c r="M9" s="144"/>
      <c r="N9" s="144"/>
    </row>
    <row r="10" spans="1:14" ht="14.4" customHeight="1">
      <c r="A10" s="3150"/>
      <c r="B10" s="828">
        <v>3</v>
      </c>
      <c r="C10" s="828" t="s">
        <v>250</v>
      </c>
      <c r="D10" s="1121"/>
      <c r="E10" s="829">
        <f>纳税申报数据!H18</f>
        <v>0</v>
      </c>
      <c r="F10" s="1121"/>
      <c r="G10" s="588">
        <f>纳税申报数据!H23</f>
        <v>0</v>
      </c>
      <c r="H10" s="588">
        <f>G10-D10-E10-F10</f>
        <v>0</v>
      </c>
      <c r="I10" s="1121"/>
      <c r="J10" s="588">
        <f t="shared" si="0"/>
        <v>0</v>
      </c>
      <c r="K10" s="1700"/>
      <c r="L10" s="493" t="s">
        <v>676</v>
      </c>
      <c r="M10" s="144"/>
      <c r="N10" s="144"/>
    </row>
    <row r="11" spans="1:14" ht="14.4" customHeight="1">
      <c r="A11" s="3150"/>
      <c r="B11" s="828">
        <v>4</v>
      </c>
      <c r="C11" s="828" t="s">
        <v>251</v>
      </c>
      <c r="D11" s="1121"/>
      <c r="E11" s="1121"/>
      <c r="F11" s="1121"/>
      <c r="G11" s="588">
        <f>纳税申报数据!D9+纳税申报数据!D8</f>
        <v>0</v>
      </c>
      <c r="H11" s="588">
        <f>G11-D11-E11-F11</f>
        <v>0</v>
      </c>
      <c r="I11" s="1121"/>
      <c r="J11" s="588">
        <f t="shared" si="0"/>
        <v>0</v>
      </c>
      <c r="K11" s="694" t="s">
        <v>509</v>
      </c>
      <c r="L11" s="232" t="s">
        <v>296</v>
      </c>
      <c r="M11" s="144"/>
      <c r="N11" s="144"/>
    </row>
    <row r="12" spans="1:14" ht="14.4" customHeight="1">
      <c r="A12" s="3150"/>
      <c r="B12" s="830">
        <v>5</v>
      </c>
      <c r="C12" s="830" t="s">
        <v>247</v>
      </c>
      <c r="D12" s="1123"/>
      <c r="E12" s="1123"/>
      <c r="F12" s="1123"/>
      <c r="G12" s="1167"/>
      <c r="H12" s="588">
        <f>G12-D12-E12-F12</f>
        <v>0</v>
      </c>
      <c r="I12" s="1123"/>
      <c r="J12" s="588">
        <f t="shared" si="0"/>
        <v>0</v>
      </c>
      <c r="K12" s="694" t="s">
        <v>509</v>
      </c>
      <c r="L12" s="232" t="s">
        <v>252</v>
      </c>
      <c r="M12" s="144"/>
      <c r="N12" s="144"/>
    </row>
    <row r="13" spans="1:14" ht="18" customHeight="1">
      <c r="A13" s="3150"/>
      <c r="B13" s="831"/>
      <c r="C13" s="140" t="s">
        <v>1280</v>
      </c>
      <c r="D13" s="823">
        <f t="shared" ref="D13:J13" si="1">SUM(D8:D12)</f>
        <v>0</v>
      </c>
      <c r="E13" s="823">
        <f t="shared" si="1"/>
        <v>0</v>
      </c>
      <c r="F13" s="823">
        <f t="shared" si="1"/>
        <v>0</v>
      </c>
      <c r="G13" s="823">
        <f t="shared" si="1"/>
        <v>0</v>
      </c>
      <c r="H13" s="823">
        <f t="shared" si="1"/>
        <v>0</v>
      </c>
      <c r="I13" s="823">
        <f t="shared" si="1"/>
        <v>0</v>
      </c>
      <c r="J13" s="823">
        <f t="shared" si="1"/>
        <v>0</v>
      </c>
      <c r="K13" s="694" t="s">
        <v>509</v>
      </c>
      <c r="L13" s="232" t="s">
        <v>679</v>
      </c>
      <c r="M13" s="144"/>
      <c r="N13" s="144"/>
    </row>
    <row r="14" spans="1:14" ht="14.4" customHeight="1">
      <c r="A14" s="3150" t="s">
        <v>1270</v>
      </c>
      <c r="B14" s="509">
        <v>1</v>
      </c>
      <c r="C14" s="832" t="s">
        <v>253</v>
      </c>
      <c r="D14" s="1166"/>
      <c r="E14" s="1166"/>
      <c r="F14" s="1166"/>
      <c r="G14" s="833">
        <f t="shared" ref="G14:G21" si="2">SUM(D14:F14)-K14</f>
        <v>0</v>
      </c>
      <c r="H14" s="833">
        <f t="shared" ref="H14:H23" si="3">G14-D14-E14-F14</f>
        <v>0</v>
      </c>
      <c r="I14" s="1168"/>
      <c r="J14" s="833">
        <f t="shared" si="0"/>
        <v>0</v>
      </c>
      <c r="K14" s="1169"/>
      <c r="L14" s="232" t="s">
        <v>642</v>
      </c>
      <c r="M14" s="144"/>
      <c r="N14" s="144"/>
    </row>
    <row r="15" spans="1:14" ht="14.4" customHeight="1">
      <c r="A15" s="3150"/>
      <c r="B15" s="834"/>
      <c r="C15" s="828" t="s">
        <v>254</v>
      </c>
      <c r="D15" s="1119"/>
      <c r="E15" s="1119"/>
      <c r="F15" s="1119"/>
      <c r="G15" s="588">
        <f t="shared" si="2"/>
        <v>0</v>
      </c>
      <c r="H15" s="588">
        <f t="shared" si="3"/>
        <v>0</v>
      </c>
      <c r="I15" s="1121"/>
      <c r="J15" s="588">
        <f t="shared" si="0"/>
        <v>0</v>
      </c>
      <c r="K15" s="1170"/>
      <c r="L15" s="232"/>
      <c r="M15" s="144"/>
      <c r="N15" s="144"/>
    </row>
    <row r="16" spans="1:14" ht="14.4" customHeight="1">
      <c r="A16" s="3150"/>
      <c r="B16" s="834">
        <v>2</v>
      </c>
      <c r="C16" s="828" t="s">
        <v>255</v>
      </c>
      <c r="D16" s="1119"/>
      <c r="E16" s="1119"/>
      <c r="F16" s="1119"/>
      <c r="G16" s="588">
        <f t="shared" si="2"/>
        <v>0</v>
      </c>
      <c r="H16" s="588">
        <f t="shared" si="3"/>
        <v>0</v>
      </c>
      <c r="I16" s="1121"/>
      <c r="J16" s="588">
        <f t="shared" si="0"/>
        <v>0</v>
      </c>
      <c r="K16" s="1170"/>
      <c r="L16" s="232"/>
      <c r="M16" s="144"/>
      <c r="N16" s="144"/>
    </row>
    <row r="17" spans="1:14" ht="14.4" customHeight="1">
      <c r="A17" s="3150"/>
      <c r="B17" s="828">
        <v>3</v>
      </c>
      <c r="C17" s="828" t="s">
        <v>256</v>
      </c>
      <c r="D17" s="1121"/>
      <c r="E17" s="1121"/>
      <c r="F17" s="1121"/>
      <c r="G17" s="588">
        <f t="shared" si="2"/>
        <v>0</v>
      </c>
      <c r="H17" s="588">
        <f t="shared" si="3"/>
        <v>0</v>
      </c>
      <c r="I17" s="1121"/>
      <c r="J17" s="588">
        <f t="shared" si="0"/>
        <v>0</v>
      </c>
      <c r="K17" s="1106"/>
      <c r="L17" s="232"/>
      <c r="M17" s="144"/>
      <c r="N17" s="144"/>
    </row>
    <row r="18" spans="1:14" ht="14.4" customHeight="1">
      <c r="A18" s="3150"/>
      <c r="B18" s="828"/>
      <c r="C18" s="158" t="s">
        <v>257</v>
      </c>
      <c r="D18" s="1121"/>
      <c r="E18" s="1121"/>
      <c r="F18" s="1121"/>
      <c r="G18" s="588">
        <f t="shared" si="2"/>
        <v>0</v>
      </c>
      <c r="H18" s="588">
        <f t="shared" si="3"/>
        <v>0</v>
      </c>
      <c r="I18" s="1121"/>
      <c r="J18" s="588">
        <f t="shared" si="0"/>
        <v>0</v>
      </c>
      <c r="K18" s="1106"/>
      <c r="L18" s="232"/>
      <c r="M18" s="144"/>
      <c r="N18" s="144"/>
    </row>
    <row r="19" spans="1:14" ht="14.4" customHeight="1">
      <c r="A19" s="3150"/>
      <c r="B19" s="828"/>
      <c r="C19" s="158" t="s">
        <v>5913</v>
      </c>
      <c r="D19" s="1121"/>
      <c r="E19" s="1121"/>
      <c r="F19" s="1121"/>
      <c r="G19" s="588">
        <f t="shared" si="2"/>
        <v>0</v>
      </c>
      <c r="H19" s="588">
        <f t="shared" si="3"/>
        <v>0</v>
      </c>
      <c r="I19" s="1121"/>
      <c r="J19" s="588">
        <f t="shared" si="0"/>
        <v>0</v>
      </c>
      <c r="K19" s="1106"/>
      <c r="L19" s="232"/>
      <c r="M19" s="144"/>
      <c r="N19" s="144"/>
    </row>
    <row r="20" spans="1:14" ht="14.4" customHeight="1">
      <c r="A20" s="3150"/>
      <c r="B20" s="828">
        <v>4</v>
      </c>
      <c r="C20" s="828" t="s">
        <v>258</v>
      </c>
      <c r="D20" s="1121"/>
      <c r="E20" s="1121"/>
      <c r="F20" s="1121"/>
      <c r="G20" s="588">
        <f t="shared" si="2"/>
        <v>0</v>
      </c>
      <c r="H20" s="588">
        <f t="shared" si="3"/>
        <v>0</v>
      </c>
      <c r="I20" s="1121"/>
      <c r="J20" s="588">
        <f t="shared" si="0"/>
        <v>0</v>
      </c>
      <c r="K20" s="1106"/>
      <c r="L20" s="144"/>
      <c r="M20" s="144"/>
      <c r="N20" s="144"/>
    </row>
    <row r="21" spans="1:14" ht="14.4" customHeight="1">
      <c r="A21" s="3150"/>
      <c r="B21" s="828">
        <v>5</v>
      </c>
      <c r="C21" s="828" t="s">
        <v>259</v>
      </c>
      <c r="D21" s="1121"/>
      <c r="E21" s="1121"/>
      <c r="F21" s="1121"/>
      <c r="G21" s="588">
        <f t="shared" si="2"/>
        <v>0</v>
      </c>
      <c r="H21" s="588">
        <f t="shared" si="3"/>
        <v>0</v>
      </c>
      <c r="I21" s="1121"/>
      <c r="J21" s="588">
        <f t="shared" si="0"/>
        <v>0</v>
      </c>
      <c r="K21" s="1107"/>
      <c r="L21" s="144" t="s">
        <v>456</v>
      </c>
      <c r="M21" s="144"/>
      <c r="N21" s="144"/>
    </row>
    <row r="22" spans="1:14" ht="14.4" customHeight="1">
      <c r="A22" s="3150"/>
      <c r="B22" s="828">
        <v>6</v>
      </c>
      <c r="C22" s="828" t="s">
        <v>251</v>
      </c>
      <c r="D22" s="1121"/>
      <c r="E22" s="1121"/>
      <c r="F22" s="1121"/>
      <c r="G22" s="588">
        <f>SUM(D22:F22)</f>
        <v>0</v>
      </c>
      <c r="H22" s="588">
        <f t="shared" si="3"/>
        <v>0</v>
      </c>
      <c r="I22" s="1121"/>
      <c r="J22" s="588">
        <f t="shared" si="0"/>
        <v>0</v>
      </c>
      <c r="K22" s="694" t="s">
        <v>509</v>
      </c>
      <c r="L22" s="835"/>
      <c r="M22" s="144"/>
      <c r="N22" s="144"/>
    </row>
    <row r="23" spans="1:14" ht="14.4" customHeight="1">
      <c r="A23" s="3150"/>
      <c r="B23" s="828">
        <v>7</v>
      </c>
      <c r="C23" s="830" t="s">
        <v>247</v>
      </c>
      <c r="D23" s="1123"/>
      <c r="E23" s="1123"/>
      <c r="F23" s="1123"/>
      <c r="G23" s="1167"/>
      <c r="H23" s="588">
        <f t="shared" si="3"/>
        <v>0</v>
      </c>
      <c r="I23" s="1123"/>
      <c r="J23" s="588">
        <f t="shared" si="0"/>
        <v>0</v>
      </c>
      <c r="K23" s="1171"/>
      <c r="L23" s="835"/>
      <c r="M23" s="144"/>
      <c r="N23" s="144"/>
    </row>
    <row r="24" spans="1:14" ht="19.5" customHeight="1">
      <c r="A24" s="3150"/>
      <c r="B24" s="2922" t="s">
        <v>1280</v>
      </c>
      <c r="C24" s="2922"/>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43" t="s">
        <v>702</v>
      </c>
      <c r="B25" s="3043"/>
      <c r="C25" s="3043"/>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75" t="s">
        <v>260</v>
      </c>
      <c r="B26" s="3175"/>
      <c r="C26" s="3175"/>
      <c r="D26" s="3546" t="str">
        <f>IF(AND(D13&lt;&gt;0,D25&lt;&gt;主营收支!H20),"主营业务收入申报数与账载数相差"&amp;DOLLAR(主营收支!H20-D13,2)&amp;"元！，请检查！","")</f>
        <v/>
      </c>
      <c r="E26" s="3546"/>
      <c r="F26" s="3546"/>
      <c r="G26" s="3546"/>
      <c r="H26" s="3547" t="str">
        <f>IF(AND(E13&lt;&gt;0,E25&lt;&gt;其他业务!C18),"其他业务收入申报数与账载数相差"&amp;DOLLAR(其他业务!C18-E13,2)&amp;"元！，请检查！","")</f>
        <v/>
      </c>
      <c r="I26" s="3547"/>
      <c r="J26" s="3547"/>
      <c r="K26" s="3547"/>
      <c r="L26" s="493"/>
      <c r="M26" s="144"/>
      <c r="N26" s="144"/>
    </row>
    <row r="27" spans="1:14" ht="18" customHeight="1">
      <c r="A27" s="3169" t="s">
        <v>261</v>
      </c>
      <c r="B27" s="3169"/>
      <c r="C27" s="3169"/>
      <c r="D27" s="3548" t="str">
        <f>IF(AND(D24&lt;&gt;0,D25&lt;&gt;主营收支!H20),"主营业务收入申报数与账载数相差"&amp;DOLLAR(主营收支!H20-D24,2)&amp;"元！，请检查！","")</f>
        <v/>
      </c>
      <c r="E27" s="3548"/>
      <c r="F27" s="3548"/>
      <c r="G27" s="3548"/>
      <c r="H27" s="3549" t="str">
        <f>IF(AND(E24&lt;&gt;0,E25&lt;&gt;其他业务!C18),"其他业务收入申报数与账载数相差"&amp;DOLLAR(其他业务!C18-E24,2)&amp;"元！，请检查！","")</f>
        <v/>
      </c>
      <c r="I27" s="3549"/>
      <c r="J27" s="3549"/>
      <c r="K27" s="3549"/>
      <c r="L27" s="493"/>
      <c r="M27" s="144"/>
      <c r="N27" s="144"/>
    </row>
    <row r="28" spans="1:14" ht="43.5" customHeight="1">
      <c r="A28" s="837" t="s">
        <v>1281</v>
      </c>
      <c r="B28" s="3544"/>
      <c r="C28" s="3545"/>
      <c r="D28" s="3545"/>
      <c r="E28" s="3545"/>
      <c r="F28" s="3545"/>
      <c r="G28" s="3545"/>
      <c r="H28" s="3545"/>
      <c r="I28" s="3545"/>
      <c r="J28" s="3545"/>
      <c r="K28" s="3545"/>
      <c r="L28" s="493"/>
      <c r="M28" s="144"/>
      <c r="N28" s="144"/>
    </row>
  </sheetData>
  <sheetProtection selectLockedCells="1" selectUnlockedCells="1"/>
  <mergeCells count="27">
    <mergeCell ref="B28:K28"/>
    <mergeCell ref="A26:C26"/>
    <mergeCell ref="D26:G26"/>
    <mergeCell ref="H26:K26"/>
    <mergeCell ref="A27:C27"/>
    <mergeCell ref="D27:G27"/>
    <mergeCell ref="H27:K27"/>
    <mergeCell ref="A25:C25"/>
    <mergeCell ref="A6:B7"/>
    <mergeCell ref="C6:C7"/>
    <mergeCell ref="D6:F6"/>
    <mergeCell ref="A8:A13"/>
    <mergeCell ref="A14:A24"/>
    <mergeCell ref="B24:C24"/>
    <mergeCell ref="L1:L5"/>
    <mergeCell ref="A2:B3"/>
    <mergeCell ref="C2:G3"/>
    <mergeCell ref="K3:K4"/>
    <mergeCell ref="A4:B4"/>
    <mergeCell ref="C4:G4"/>
    <mergeCell ref="A5:K5"/>
    <mergeCell ref="G6:G7"/>
    <mergeCell ref="J6:J7"/>
    <mergeCell ref="K6:K7"/>
    <mergeCell ref="A1:K1"/>
    <mergeCell ref="H6:H7"/>
    <mergeCell ref="I6:I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5.6"/>
  <cols>
    <col min="1" max="1" width="4.59765625" customWidth="1"/>
    <col min="2" max="2" width="6.8984375" customWidth="1"/>
    <col min="3" max="6" width="13" customWidth="1"/>
    <col min="7" max="7" width="13.59765625" customWidth="1"/>
  </cols>
  <sheetData>
    <row r="1" spans="1:27" ht="22.2">
      <c r="A1" s="2729" t="s">
        <v>64</v>
      </c>
      <c r="B1" s="2729"/>
      <c r="C1" s="2729"/>
      <c r="D1" s="2729"/>
      <c r="E1" s="2729"/>
      <c r="F1" s="2729"/>
      <c r="G1" s="2729"/>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1052</v>
      </c>
      <c r="G2" s="838"/>
      <c r="H2" s="706"/>
      <c r="I2" s="706"/>
      <c r="J2" s="706"/>
      <c r="K2" s="706"/>
      <c r="L2" s="706"/>
      <c r="M2" s="706"/>
      <c r="N2" s="706"/>
      <c r="O2" s="705"/>
      <c r="P2" s="705"/>
      <c r="Q2" s="705"/>
      <c r="R2" s="705"/>
      <c r="S2" s="705"/>
      <c r="T2" s="705"/>
      <c r="U2" s="705"/>
      <c r="V2" s="705"/>
      <c r="W2" s="705"/>
      <c r="X2" s="705"/>
      <c r="Y2" s="705"/>
      <c r="Z2" s="705"/>
      <c r="AA2" s="705"/>
    </row>
    <row r="3" spans="1:27" ht="15.15" customHeight="1">
      <c r="A3" s="3163" t="s">
        <v>447</v>
      </c>
      <c r="B3" s="3163"/>
      <c r="C3" s="3528">
        <f>基本情况!B2</f>
        <v>0</v>
      </c>
      <c r="D3" s="3528"/>
      <c r="E3" s="136"/>
      <c r="F3" s="136" t="s">
        <v>1066</v>
      </c>
      <c r="G3" s="485" t="s">
        <v>449</v>
      </c>
      <c r="H3" s="706"/>
      <c r="I3" s="706"/>
      <c r="J3" s="706"/>
      <c r="K3" s="706"/>
      <c r="L3" s="706"/>
      <c r="M3" s="706"/>
      <c r="N3" s="706"/>
      <c r="O3" s="705"/>
      <c r="P3" s="705"/>
      <c r="Q3" s="705"/>
      <c r="R3" s="705"/>
      <c r="S3" s="705"/>
      <c r="T3" s="705"/>
      <c r="U3" s="705"/>
      <c r="V3" s="705"/>
      <c r="W3" s="705"/>
      <c r="X3" s="705"/>
      <c r="Y3" s="705"/>
      <c r="Z3" s="705"/>
      <c r="AA3" s="705"/>
    </row>
    <row r="4" spans="1:27">
      <c r="A4" s="3163"/>
      <c r="B4" s="3163"/>
      <c r="C4" s="3528"/>
      <c r="D4" s="3528"/>
      <c r="E4" s="158" t="s">
        <v>450</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78" t="s">
        <v>451</v>
      </c>
      <c r="B5" s="3178"/>
      <c r="C5" s="2921" t="str">
        <f>基本情况!B7</f>
        <v>2016年01月01日至2016年12月31日</v>
      </c>
      <c r="D5" s="2921"/>
      <c r="E5" s="140" t="s">
        <v>452</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81"/>
      <c r="B6" s="2981"/>
      <c r="C6" s="2981"/>
      <c r="D6" s="2981"/>
      <c r="E6" s="2981"/>
      <c r="F6" s="2981"/>
      <c r="G6" s="2981"/>
      <c r="H6" s="706"/>
      <c r="I6" s="706"/>
      <c r="J6" s="706"/>
      <c r="K6" s="706"/>
      <c r="L6" s="706"/>
      <c r="M6" s="706"/>
      <c r="N6" s="706"/>
      <c r="O6" s="705"/>
      <c r="P6" s="705"/>
      <c r="Q6" s="705"/>
      <c r="R6" s="705"/>
      <c r="S6" s="705"/>
      <c r="T6" s="705"/>
      <c r="U6" s="705"/>
      <c r="V6" s="705"/>
      <c r="W6" s="705"/>
      <c r="X6" s="705"/>
      <c r="Y6" s="705"/>
      <c r="Z6" s="705"/>
      <c r="AA6" s="705"/>
    </row>
    <row r="7" spans="1:27" ht="24" customHeight="1">
      <c r="A7" s="3043" t="s">
        <v>665</v>
      </c>
      <c r="B7" s="3043"/>
      <c r="C7" s="840" t="s">
        <v>94</v>
      </c>
      <c r="D7" s="841" t="s">
        <v>95</v>
      </c>
      <c r="E7" s="841" t="s">
        <v>96</v>
      </c>
      <c r="F7" s="841" t="s">
        <v>97</v>
      </c>
      <c r="G7" s="568" t="s">
        <v>455</v>
      </c>
      <c r="H7" s="839" t="s">
        <v>395</v>
      </c>
      <c r="I7" s="706"/>
      <c r="J7" s="706"/>
      <c r="K7" s="706"/>
      <c r="L7" s="706"/>
      <c r="M7" s="706"/>
      <c r="N7" s="706"/>
      <c r="O7" s="705"/>
      <c r="P7" s="705"/>
      <c r="Q7" s="705"/>
      <c r="R7" s="705"/>
      <c r="S7" s="705"/>
      <c r="T7" s="705"/>
      <c r="U7" s="705"/>
      <c r="V7" s="705"/>
      <c r="W7" s="705"/>
      <c r="X7" s="705"/>
      <c r="Y7" s="705"/>
      <c r="Z7" s="705"/>
      <c r="AA7" s="705"/>
    </row>
    <row r="8" spans="1:27" ht="17.25" customHeight="1">
      <c r="A8" s="3150" t="s">
        <v>1147</v>
      </c>
      <c r="B8" s="136" t="s">
        <v>667</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50"/>
      <c r="B9" s="158" t="s">
        <v>671</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50"/>
      <c r="B10" s="158" t="s">
        <v>675</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50"/>
      <c r="B11" s="158" t="s">
        <v>678</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50"/>
      <c r="B12" s="158" t="s">
        <v>681</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50"/>
      <c r="B13" s="158" t="s">
        <v>685</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50"/>
      <c r="B14" s="158" t="s">
        <v>687</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50"/>
      <c r="B15" s="158" t="s">
        <v>690</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50"/>
      <c r="B16" s="158" t="s">
        <v>693</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50"/>
      <c r="B17" s="821" t="s">
        <v>976</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50"/>
      <c r="B18" s="822" t="s">
        <v>977</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50"/>
      <c r="B19" s="822" t="s">
        <v>978</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50"/>
      <c r="B20" s="158" t="s">
        <v>1148</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50" t="s">
        <v>665</v>
      </c>
      <c r="B21" s="3150"/>
      <c r="C21" s="742" t="s">
        <v>1149</v>
      </c>
      <c r="D21" s="742"/>
      <c r="E21" s="742"/>
      <c r="F21" s="742"/>
      <c r="G21" s="772" t="s">
        <v>455</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50" t="s">
        <v>1150</v>
      </c>
      <c r="B22" s="136" t="s">
        <v>1151</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50"/>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50"/>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50"/>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50"/>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50"/>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50"/>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50"/>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50"/>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50"/>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50"/>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50"/>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50"/>
      <c r="B34" s="158" t="s">
        <v>1280</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50" t="s">
        <v>1152</v>
      </c>
      <c r="B35" s="3150"/>
      <c r="C35" s="3551"/>
      <c r="D35" s="3551"/>
      <c r="E35" s="3551"/>
      <c r="F35" s="3551"/>
      <c r="G35" s="3551"/>
      <c r="H35" s="706"/>
      <c r="I35" s="706"/>
      <c r="J35" s="706"/>
      <c r="K35" s="706"/>
      <c r="L35" s="706"/>
      <c r="M35" s="706"/>
      <c r="N35" s="706"/>
      <c r="O35" s="705"/>
      <c r="P35" s="705"/>
      <c r="Q35" s="705"/>
      <c r="R35" s="705"/>
      <c r="S35" s="705"/>
      <c r="T35" s="705"/>
      <c r="U35" s="705"/>
      <c r="V35" s="705"/>
      <c r="W35" s="705"/>
      <c r="X35" s="705"/>
      <c r="Y35" s="705"/>
      <c r="Z35" s="705"/>
      <c r="AA35" s="705"/>
    </row>
    <row r="36" spans="1:27">
      <c r="A36" s="3150"/>
      <c r="B36" s="3150"/>
      <c r="C36" s="3552"/>
      <c r="D36" s="3552"/>
      <c r="E36" s="3552"/>
      <c r="F36" s="3552"/>
      <c r="G36" s="3552"/>
      <c r="H36" s="706"/>
      <c r="I36" s="706"/>
      <c r="J36" s="706"/>
      <c r="K36" s="706"/>
      <c r="L36" s="706"/>
      <c r="M36" s="706"/>
      <c r="N36" s="706"/>
      <c r="O36" s="705"/>
      <c r="P36" s="705"/>
      <c r="Q36" s="705"/>
      <c r="R36" s="705"/>
      <c r="S36" s="705"/>
      <c r="T36" s="705"/>
      <c r="U36" s="705"/>
      <c r="V36" s="705"/>
      <c r="W36" s="705"/>
      <c r="X36" s="705"/>
      <c r="Y36" s="705"/>
      <c r="Z36" s="705"/>
      <c r="AA36" s="705"/>
    </row>
    <row r="37" spans="1:27">
      <c r="A37" s="3150"/>
      <c r="B37" s="3150"/>
      <c r="C37" s="3553"/>
      <c r="D37" s="3553"/>
      <c r="E37" s="3553"/>
      <c r="F37" s="3553"/>
      <c r="G37" s="3553"/>
      <c r="H37" s="706"/>
      <c r="I37" s="706"/>
      <c r="J37" s="706"/>
      <c r="K37" s="706"/>
      <c r="L37" s="706"/>
      <c r="M37" s="706"/>
      <c r="N37" s="706"/>
      <c r="O37" s="705"/>
      <c r="P37" s="705"/>
      <c r="Q37" s="705"/>
      <c r="R37" s="705"/>
      <c r="S37" s="705"/>
      <c r="T37" s="705"/>
      <c r="U37" s="705"/>
      <c r="V37" s="705"/>
      <c r="W37" s="705"/>
      <c r="X37" s="705"/>
      <c r="Y37" s="705"/>
      <c r="Z37" s="705"/>
      <c r="AA37" s="705"/>
    </row>
    <row r="38" spans="1:27">
      <c r="A38" s="3150"/>
      <c r="B38" s="3150"/>
      <c r="C38" s="3552"/>
      <c r="D38" s="3552"/>
      <c r="E38" s="3552"/>
      <c r="F38" s="3552"/>
      <c r="G38" s="3552"/>
      <c r="H38" s="706"/>
      <c r="I38" s="706"/>
      <c r="J38" s="706"/>
      <c r="K38" s="706"/>
      <c r="L38" s="706"/>
      <c r="M38" s="706"/>
      <c r="N38" s="706"/>
      <c r="O38" s="705"/>
      <c r="P38" s="705"/>
      <c r="Q38" s="705"/>
      <c r="R38" s="705"/>
      <c r="S38" s="705"/>
      <c r="T38" s="705"/>
      <c r="U38" s="705"/>
      <c r="V38" s="705"/>
      <c r="W38" s="705"/>
      <c r="X38" s="705"/>
      <c r="Y38" s="705"/>
      <c r="Z38" s="705"/>
      <c r="AA38" s="705"/>
    </row>
    <row r="39" spans="1:27">
      <c r="A39" s="3150"/>
      <c r="B39" s="3150"/>
      <c r="C39" s="3552"/>
      <c r="D39" s="3552"/>
      <c r="E39" s="3552"/>
      <c r="F39" s="3552"/>
      <c r="G39" s="3552"/>
      <c r="H39" s="706"/>
      <c r="I39" s="706"/>
      <c r="J39" s="706"/>
      <c r="K39" s="706"/>
      <c r="L39" s="706"/>
      <c r="M39" s="706"/>
      <c r="N39" s="706"/>
      <c r="O39" s="705"/>
      <c r="P39" s="705"/>
      <c r="Q39" s="705"/>
      <c r="R39" s="705"/>
      <c r="S39" s="705"/>
      <c r="T39" s="705"/>
      <c r="U39" s="705"/>
      <c r="V39" s="705"/>
      <c r="W39" s="705"/>
      <c r="X39" s="705"/>
      <c r="Y39" s="705"/>
      <c r="Z39" s="705"/>
      <c r="AA39" s="705"/>
    </row>
    <row r="40" spans="1:27">
      <c r="A40" s="3150"/>
      <c r="B40" s="3150"/>
      <c r="C40" s="3550"/>
      <c r="D40" s="3550"/>
      <c r="E40" s="3550"/>
      <c r="F40" s="3550"/>
      <c r="G40" s="3550"/>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5.6"/>
  <cols>
    <col min="1" max="1" width="11.19921875" customWidth="1"/>
    <col min="2" max="2" width="10.8984375" customWidth="1"/>
    <col min="3" max="4" width="13.69921875" customWidth="1"/>
    <col min="5" max="5" width="10.8984375" customWidth="1"/>
    <col min="6" max="6" width="10.59765625" customWidth="1"/>
    <col min="7" max="7" width="13.69921875" customWidth="1"/>
  </cols>
  <sheetData>
    <row r="1" spans="1:55" ht="22.2">
      <c r="A1" s="2729" t="s">
        <v>1296</v>
      </c>
      <c r="B1" s="2729"/>
      <c r="C1" s="2729"/>
      <c r="D1" s="2729"/>
      <c r="E1" s="2729"/>
      <c r="F1" s="2729"/>
      <c r="G1" s="2729"/>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1551</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15" customHeight="1">
      <c r="A3" s="3163" t="s">
        <v>447</v>
      </c>
      <c r="B3" s="3528">
        <f>基本情况!B2</f>
        <v>0</v>
      </c>
      <c r="C3" s="3528"/>
      <c r="D3" s="3528"/>
      <c r="E3" s="136"/>
      <c r="F3" s="136" t="s">
        <v>1066</v>
      </c>
      <c r="G3" s="485" t="s">
        <v>449</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63"/>
      <c r="B4" s="3528"/>
      <c r="C4" s="3528"/>
      <c r="D4" s="3528"/>
      <c r="E4" s="158" t="s">
        <v>450</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451</v>
      </c>
      <c r="B5" s="3554" t="str">
        <f>基本情况!B7</f>
        <v>2016年01月01日至2016年12月31日</v>
      </c>
      <c r="C5" s="3554"/>
      <c r="D5" s="3554"/>
      <c r="E5" s="140" t="s">
        <v>452</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395</v>
      </c>
      <c r="AX5" s="705"/>
      <c r="AY5" s="705"/>
      <c r="AZ5" s="705"/>
      <c r="BA5" s="705"/>
      <c r="BB5" s="705"/>
      <c r="BC5" s="705"/>
    </row>
    <row r="6" spans="1:55" ht="7.5" customHeight="1">
      <c r="A6" s="2981"/>
      <c r="B6" s="2981"/>
      <c r="C6" s="2981"/>
      <c r="D6" s="2981"/>
      <c r="E6" s="2981"/>
      <c r="F6" s="2981"/>
      <c r="G6" s="2981"/>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665</v>
      </c>
      <c r="B7" s="582" t="s">
        <v>1251</v>
      </c>
      <c r="C7" s="819" t="s">
        <v>10</v>
      </c>
      <c r="D7" s="819" t="s">
        <v>11</v>
      </c>
      <c r="E7" s="819" t="s">
        <v>1254</v>
      </c>
      <c r="F7" s="819" t="s">
        <v>980</v>
      </c>
      <c r="G7" s="772" t="s">
        <v>502</v>
      </c>
      <c r="H7" s="839" t="s">
        <v>395</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1287</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ht="24">
      <c r="A9" s="848" t="s">
        <v>1153</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1154</v>
      </c>
      <c r="B10" s="1108"/>
      <c r="C10" s="1120"/>
      <c r="D10" s="1120"/>
      <c r="E10" s="525">
        <f t="shared" si="0"/>
        <v>0</v>
      </c>
      <c r="F10" s="1120"/>
      <c r="G10" s="699">
        <f t="shared" ref="G10:G40" si="1">E10+F10</f>
        <v>0</v>
      </c>
      <c r="H10" s="60" t="s">
        <v>1155</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1156</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1157</v>
      </c>
      <c r="B12" s="1108"/>
      <c r="C12" s="1120"/>
      <c r="D12" s="1120"/>
      <c r="E12" s="525">
        <f t="shared" si="0"/>
        <v>0</v>
      </c>
      <c r="F12" s="1120"/>
      <c r="G12" s="699">
        <f t="shared" si="1"/>
        <v>0</v>
      </c>
      <c r="H12" s="60" t="s">
        <v>1329</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ht="24">
      <c r="A13" s="848" t="s">
        <v>1158</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1159</v>
      </c>
      <c r="B14" s="1108"/>
      <c r="C14" s="1120"/>
      <c r="D14" s="1120"/>
      <c r="E14" s="525">
        <f t="shared" si="0"/>
        <v>0</v>
      </c>
      <c r="F14" s="1120"/>
      <c r="G14" s="699">
        <f t="shared" si="1"/>
        <v>0</v>
      </c>
      <c r="H14" s="60" t="s">
        <v>1160</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1161</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1157</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1289</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1162</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1163</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1164</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1165</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1166</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1167</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1168</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1169</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1170</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1171</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1172</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1173</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1174</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1175</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1176</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1177</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1178</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50" t="s">
        <v>641</v>
      </c>
      <c r="B41" s="3150"/>
      <c r="C41" s="3272" t="str">
        <f>IF(D21&lt;&gt;C12+C16,"生产成本借方发生额与制造费用贷方发生额相差"&amp;DOLLAR(D21-C12-C16,2)&amp;"元！","生产成本借方发生额与制造费用贷方发生额相符！")</f>
        <v>生产成本借方发生额与制造费用贷方发生额相符！</v>
      </c>
      <c r="D41" s="3272"/>
      <c r="E41" s="3272"/>
      <c r="F41" s="3272"/>
      <c r="G41" s="3272"/>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50"/>
      <c r="B42" s="3150"/>
      <c r="C42" s="3272"/>
      <c r="D42" s="3272"/>
      <c r="E42" s="3272"/>
      <c r="F42" s="3272"/>
      <c r="G42" s="3272"/>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15" customHeight="1">
      <c r="A43" s="3163" t="s">
        <v>1323</v>
      </c>
      <c r="B43" s="3163"/>
      <c r="C43" s="3539" t="s">
        <v>1179</v>
      </c>
      <c r="D43" s="3539"/>
      <c r="E43" s="3536" t="str">
        <f>IF(OR(F8&lt;&gt;0,F21&lt;&gt;0),"、E","")</f>
        <v/>
      </c>
      <c r="F43" s="3536"/>
      <c r="G43" s="3536"/>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63"/>
      <c r="B44" s="3163"/>
      <c r="C44" s="3181"/>
      <c r="D44" s="3181"/>
      <c r="E44" s="3181"/>
      <c r="F44" s="3181"/>
      <c r="G44" s="3181"/>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63"/>
      <c r="B45" s="3163"/>
      <c r="C45" s="3181"/>
      <c r="D45" s="3181"/>
      <c r="E45" s="3181"/>
      <c r="F45" s="3181"/>
      <c r="G45" s="3181"/>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63"/>
      <c r="B46" s="3163"/>
      <c r="C46" s="3181"/>
      <c r="D46" s="3181"/>
      <c r="E46" s="3181"/>
      <c r="F46" s="3181"/>
      <c r="G46" s="3181"/>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63"/>
      <c r="B47" s="3163"/>
      <c r="C47" s="3181"/>
      <c r="D47" s="3181"/>
      <c r="E47" s="3181"/>
      <c r="F47" s="3181"/>
      <c r="G47" s="3181"/>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58" t="s">
        <v>574</v>
      </c>
      <c r="B48" s="2958"/>
      <c r="C48" s="3538" t="str">
        <f>IF(AND(F8=0,F21=0),"不存在调整事项,认可！","调整后认可！")</f>
        <v>不存在调整事项,认可！</v>
      </c>
      <c r="D48" s="3538"/>
      <c r="E48" s="3538"/>
      <c r="F48" s="3538"/>
      <c r="G48" s="3538"/>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5.6"/>
  <cols>
    <col min="1" max="1" width="3.69921875" style="13" customWidth="1"/>
    <col min="2" max="2" width="5.09765625" style="13" customWidth="1"/>
    <col min="3" max="3" width="13.3984375" style="13" customWidth="1"/>
    <col min="4" max="5" width="14.59765625" style="13" customWidth="1"/>
    <col min="6" max="6" width="3.69921875" style="13" customWidth="1"/>
    <col min="7" max="7" width="13.09765625" style="13" customWidth="1"/>
    <col min="8" max="8" width="5.09765625" style="13" customWidth="1"/>
    <col min="9" max="9" width="5" style="13" customWidth="1"/>
    <col min="10" max="10" width="7" style="13" customWidth="1"/>
    <col min="11" max="16384" width="9" style="13"/>
  </cols>
  <sheetData>
    <row r="1" spans="1:15">
      <c r="A1" s="3101" t="s">
        <v>308</v>
      </c>
      <c r="B1" s="3101"/>
      <c r="C1" s="3101"/>
      <c r="D1" s="3101"/>
      <c r="E1" s="3101"/>
      <c r="F1" s="3101"/>
      <c r="G1" s="3101"/>
      <c r="H1" s="3101"/>
      <c r="I1" s="3101"/>
      <c r="J1" s="3101"/>
      <c r="K1" s="14"/>
      <c r="L1" s="14"/>
      <c r="M1" s="14"/>
      <c r="N1" s="14"/>
      <c r="O1" s="14"/>
    </row>
    <row r="2" spans="1:15">
      <c r="A2" s="3101"/>
      <c r="B2" s="3101"/>
      <c r="C2" s="3101"/>
      <c r="D2" s="3101"/>
      <c r="E2" s="3101"/>
      <c r="F2" s="3101"/>
      <c r="G2" s="3101"/>
      <c r="H2" s="3101"/>
      <c r="I2" s="3101"/>
      <c r="J2" s="3101"/>
      <c r="K2" s="14"/>
      <c r="L2" s="14"/>
      <c r="M2" s="14"/>
      <c r="N2" s="14"/>
      <c r="O2" s="14"/>
    </row>
    <row r="3" spans="1:15">
      <c r="A3" s="3046" t="s">
        <v>447</v>
      </c>
      <c r="B3" s="3046"/>
      <c r="C3" s="3528">
        <f>基本情况!B2</f>
        <v>0</v>
      </c>
      <c r="D3" s="3528"/>
      <c r="E3" s="858"/>
      <c r="F3" s="2920" t="s">
        <v>1330</v>
      </c>
      <c r="G3" s="2920"/>
      <c r="H3" s="3533" t="s">
        <v>449</v>
      </c>
      <c r="I3" s="3533"/>
      <c r="J3" s="859" t="s">
        <v>283</v>
      </c>
      <c r="K3" s="14"/>
      <c r="L3" s="14"/>
      <c r="M3" s="14"/>
      <c r="N3" s="14"/>
      <c r="O3" s="14"/>
    </row>
    <row r="4" spans="1:15" ht="16.5" customHeight="1">
      <c r="A4" s="3046"/>
      <c r="B4" s="3046"/>
      <c r="C4" s="3528"/>
      <c r="D4" s="3528"/>
      <c r="E4" s="860" t="s">
        <v>450</v>
      </c>
      <c r="F4" s="3558">
        <f>基本情况!B12</f>
        <v>0</v>
      </c>
      <c r="G4" s="3558"/>
      <c r="H4" s="3557" t="str">
        <f>TEXT(基本情况!B21,"yyyy-mm-dd")</f>
        <v>2017-03-16</v>
      </c>
      <c r="I4" s="3557"/>
      <c r="J4" s="2927" t="str">
        <f>档案索引!D25</f>
        <v>3-4</v>
      </c>
      <c r="K4" s="14"/>
      <c r="L4" s="14"/>
      <c r="M4" s="14"/>
      <c r="N4" s="14"/>
      <c r="O4" s="14"/>
    </row>
    <row r="5" spans="1:15" ht="16.5" customHeight="1">
      <c r="A5" s="2926" t="s">
        <v>451</v>
      </c>
      <c r="B5" s="2926"/>
      <c r="C5" s="3559" t="str">
        <f>基本情况!B7</f>
        <v>2016年01月01日至2016年12月31日</v>
      </c>
      <c r="D5" s="3559"/>
      <c r="E5" s="861" t="s">
        <v>452</v>
      </c>
      <c r="F5" s="3560">
        <f>基本情况!B11</f>
        <v>0</v>
      </c>
      <c r="G5" s="3560"/>
      <c r="H5" s="3529" t="str">
        <f>TEXT(基本情况!B22,"yyyy-mm-dd")</f>
        <v>2017-05-04</v>
      </c>
      <c r="I5" s="3529"/>
      <c r="J5" s="2927"/>
      <c r="K5" s="14"/>
      <c r="L5" s="14"/>
      <c r="M5" s="14"/>
      <c r="N5" s="14"/>
      <c r="O5" s="14"/>
    </row>
    <row r="6" spans="1:15" ht="7.5" customHeight="1">
      <c r="A6" s="2916"/>
      <c r="B6" s="2916"/>
      <c r="C6" s="2916"/>
      <c r="D6" s="2916"/>
      <c r="E6" s="2916"/>
      <c r="F6" s="2916"/>
      <c r="G6" s="2916"/>
      <c r="H6" s="2916"/>
      <c r="I6" s="2916"/>
      <c r="J6" s="2916"/>
      <c r="K6" s="14"/>
      <c r="L6" s="14"/>
      <c r="M6" s="14"/>
      <c r="N6" s="14"/>
      <c r="O6" s="14"/>
    </row>
    <row r="7" spans="1:15" ht="16.5" customHeight="1">
      <c r="A7" s="3561" t="s">
        <v>1180</v>
      </c>
      <c r="B7" s="3561"/>
      <c r="C7" s="3561"/>
      <c r="D7" s="862" t="s">
        <v>1181</v>
      </c>
      <c r="E7" s="862" t="s">
        <v>243</v>
      </c>
      <c r="F7" s="3044" t="s">
        <v>1182</v>
      </c>
      <c r="G7" s="3044"/>
      <c r="H7" s="3562" t="s">
        <v>283</v>
      </c>
      <c r="I7" s="3562"/>
      <c r="J7" s="863" t="s">
        <v>455</v>
      </c>
      <c r="K7" s="14"/>
      <c r="L7" s="14"/>
      <c r="M7" s="14"/>
      <c r="N7" s="14"/>
      <c r="O7" s="14"/>
    </row>
    <row r="8" spans="1:15" ht="16.5" customHeight="1">
      <c r="A8" s="3250" t="s">
        <v>1183</v>
      </c>
      <c r="B8" s="3250"/>
      <c r="C8" s="3250"/>
      <c r="D8" s="1177"/>
      <c r="E8" s="1177"/>
      <c r="F8" s="3555" t="s">
        <v>1184</v>
      </c>
      <c r="G8" s="3555"/>
      <c r="H8" s="3556"/>
      <c r="I8" s="3556"/>
      <c r="J8" s="864"/>
      <c r="K8" s="3068" t="s">
        <v>395</v>
      </c>
      <c r="L8" s="3068"/>
      <c r="M8" s="14"/>
      <c r="N8" s="14"/>
      <c r="O8" s="14"/>
    </row>
    <row r="9" spans="1:15" ht="16.5" customHeight="1">
      <c r="A9" s="3563" t="s">
        <v>1185</v>
      </c>
      <c r="B9" s="3563"/>
      <c r="C9" s="3563"/>
      <c r="D9" s="1178"/>
      <c r="E9" s="1178"/>
      <c r="F9" s="3564" t="s">
        <v>1186</v>
      </c>
      <c r="G9" s="3564"/>
      <c r="H9" s="3565"/>
      <c r="I9" s="3565"/>
      <c r="J9" s="865"/>
      <c r="K9" s="14"/>
      <c r="L9" s="14"/>
      <c r="M9" s="14"/>
      <c r="N9" s="14"/>
      <c r="O9" s="14"/>
    </row>
    <row r="10" spans="1:15" ht="16.5" customHeight="1">
      <c r="A10" s="3563" t="s">
        <v>1187</v>
      </c>
      <c r="B10" s="3563"/>
      <c r="C10" s="3563"/>
      <c r="D10" s="1178"/>
      <c r="E10" s="1178"/>
      <c r="F10" s="3564" t="s">
        <v>1188</v>
      </c>
      <c r="G10" s="3564"/>
      <c r="H10" s="3565"/>
      <c r="I10" s="3565"/>
      <c r="J10" s="866"/>
      <c r="K10" s="14"/>
      <c r="L10" s="14"/>
      <c r="M10" s="14"/>
      <c r="N10" s="14"/>
      <c r="O10" s="14"/>
    </row>
    <row r="11" spans="1:15" ht="16.5" customHeight="1">
      <c r="A11" s="3563" t="s">
        <v>1189</v>
      </c>
      <c r="B11" s="3563"/>
      <c r="C11" s="3563"/>
      <c r="D11" s="1178"/>
      <c r="E11" s="1178"/>
      <c r="F11" s="3564" t="s">
        <v>1190</v>
      </c>
      <c r="G11" s="3564"/>
      <c r="H11" s="3565"/>
      <c r="I11" s="3565"/>
      <c r="J11" s="866"/>
      <c r="K11" s="14"/>
      <c r="L11" s="14"/>
      <c r="M11" s="14"/>
      <c r="N11" s="14"/>
      <c r="O11" s="14"/>
    </row>
    <row r="12" spans="1:15" ht="16.5" customHeight="1">
      <c r="A12" s="3569"/>
      <c r="B12" s="3569"/>
      <c r="C12" s="3569"/>
      <c r="D12" s="1178"/>
      <c r="E12" s="1178"/>
      <c r="F12" s="3564" t="s">
        <v>1191</v>
      </c>
      <c r="G12" s="3564"/>
      <c r="H12" s="3565"/>
      <c r="I12" s="3565"/>
      <c r="J12" s="866"/>
      <c r="K12" s="14"/>
      <c r="L12" s="14"/>
      <c r="M12" s="14"/>
      <c r="N12" s="14"/>
      <c r="O12" s="14"/>
    </row>
    <row r="13" spans="1:15" ht="16.5" customHeight="1">
      <c r="A13" s="3569"/>
      <c r="B13" s="3569"/>
      <c r="C13" s="3569"/>
      <c r="D13" s="1178"/>
      <c r="E13" s="1178"/>
      <c r="F13" s="3564" t="s">
        <v>1192</v>
      </c>
      <c r="G13" s="3564"/>
      <c r="H13" s="3565"/>
      <c r="I13" s="3565"/>
      <c r="J13" s="866"/>
      <c r="K13" s="14"/>
      <c r="L13" s="14"/>
      <c r="M13" s="14"/>
      <c r="N13" s="14"/>
      <c r="O13" s="14"/>
    </row>
    <row r="14" spans="1:15" ht="16.5" customHeight="1">
      <c r="A14" s="3566" t="s">
        <v>1193</v>
      </c>
      <c r="B14" s="3566"/>
      <c r="C14" s="3566"/>
      <c r="D14" s="867">
        <f>D8+D9-D10-D11</f>
        <v>0</v>
      </c>
      <c r="E14" s="867">
        <f>E8+E9-E10-E11</f>
        <v>0</v>
      </c>
      <c r="F14" s="3567" t="s">
        <v>1008</v>
      </c>
      <c r="G14" s="3567"/>
      <c r="H14" s="3568"/>
      <c r="I14" s="3568"/>
      <c r="J14" s="868"/>
      <c r="K14" s="14"/>
      <c r="L14" s="14"/>
      <c r="M14" s="14"/>
      <c r="N14" s="14"/>
      <c r="O14" s="14"/>
    </row>
    <row r="15" spans="1:15" ht="16.5" customHeight="1">
      <c r="A15" s="3563" t="s">
        <v>1194</v>
      </c>
      <c r="B15" s="3563"/>
      <c r="C15" s="3563"/>
      <c r="D15" s="1178"/>
      <c r="E15" s="1178"/>
      <c r="F15" s="3564" t="s">
        <v>1195</v>
      </c>
      <c r="G15" s="3564"/>
      <c r="H15" s="3565"/>
      <c r="I15" s="3565"/>
      <c r="J15" s="866"/>
      <c r="K15" s="14"/>
      <c r="L15" s="14"/>
      <c r="M15" s="14"/>
      <c r="N15" s="14"/>
      <c r="O15" s="14"/>
    </row>
    <row r="16" spans="1:15" ht="16.5" customHeight="1">
      <c r="A16" s="3563" t="s">
        <v>1196</v>
      </c>
      <c r="B16" s="3563"/>
      <c r="C16" s="3563"/>
      <c r="D16" s="1178"/>
      <c r="E16" s="1178"/>
      <c r="F16" s="3564" t="s">
        <v>1197</v>
      </c>
      <c r="G16" s="3564"/>
      <c r="H16" s="3565"/>
      <c r="I16" s="3565"/>
      <c r="J16" s="866"/>
      <c r="K16" s="14"/>
      <c r="L16" s="14"/>
      <c r="M16" s="14"/>
      <c r="N16" s="14"/>
      <c r="O16" s="14"/>
    </row>
    <row r="17" spans="1:15" ht="16.5" customHeight="1">
      <c r="A17" s="3572"/>
      <c r="B17" s="3572"/>
      <c r="C17" s="3572"/>
      <c r="D17" s="1178"/>
      <c r="E17" s="1178"/>
      <c r="F17" s="3564" t="s">
        <v>1198</v>
      </c>
      <c r="G17" s="3564"/>
      <c r="H17" s="3565"/>
      <c r="I17" s="3565"/>
      <c r="J17" s="866"/>
      <c r="K17" s="14"/>
      <c r="L17" s="14"/>
      <c r="M17" s="14"/>
      <c r="N17" s="14"/>
      <c r="O17" s="14"/>
    </row>
    <row r="18" spans="1:15" ht="16.5" customHeight="1">
      <c r="A18" s="3570"/>
      <c r="B18" s="3570"/>
      <c r="C18" s="3570"/>
      <c r="D18" s="1179"/>
      <c r="E18" s="1179"/>
      <c r="F18" s="3564" t="s">
        <v>1199</v>
      </c>
      <c r="G18" s="3564"/>
      <c r="H18" s="3571"/>
      <c r="I18" s="3571"/>
      <c r="J18" s="869"/>
      <c r="K18" s="14"/>
      <c r="L18" s="14"/>
      <c r="M18" s="14"/>
      <c r="N18" s="14"/>
      <c r="O18" s="14"/>
    </row>
    <row r="19" spans="1:15" ht="16.5" customHeight="1">
      <c r="A19" s="3566" t="s">
        <v>1200</v>
      </c>
      <c r="B19" s="3566"/>
      <c r="C19" s="3566"/>
      <c r="D19" s="867">
        <f>D14+D15+D16</f>
        <v>0</v>
      </c>
      <c r="E19" s="867">
        <f>E14+E15+E16</f>
        <v>0</v>
      </c>
      <c r="F19" s="3567" t="s">
        <v>1009</v>
      </c>
      <c r="G19" s="3567"/>
      <c r="H19" s="3568"/>
      <c r="I19" s="3568"/>
      <c r="J19" s="868"/>
      <c r="K19" s="14"/>
      <c r="L19" s="14"/>
      <c r="M19" s="14"/>
      <c r="N19" s="14"/>
      <c r="O19" s="14"/>
    </row>
    <row r="20" spans="1:15" ht="16.5" customHeight="1">
      <c r="A20" s="3563" t="s">
        <v>1201</v>
      </c>
      <c r="B20" s="3563"/>
      <c r="C20" s="3563"/>
      <c r="D20" s="1178"/>
      <c r="E20" s="1178"/>
      <c r="F20" s="3564" t="s">
        <v>1202</v>
      </c>
      <c r="G20" s="3564"/>
      <c r="H20" s="3565"/>
      <c r="I20" s="3565"/>
      <c r="J20" s="866"/>
      <c r="K20" s="14"/>
      <c r="L20" s="14"/>
      <c r="M20" s="14"/>
      <c r="N20" s="14"/>
      <c r="O20" s="14"/>
    </row>
    <row r="21" spans="1:15" ht="16.5" customHeight="1">
      <c r="A21" s="3563" t="s">
        <v>1203</v>
      </c>
      <c r="B21" s="3563"/>
      <c r="C21" s="3563"/>
      <c r="D21" s="1178"/>
      <c r="E21" s="1178"/>
      <c r="F21" s="3564" t="s">
        <v>1204</v>
      </c>
      <c r="G21" s="3564"/>
      <c r="H21" s="3565"/>
      <c r="I21" s="3565"/>
      <c r="J21" s="866"/>
      <c r="K21" s="14"/>
      <c r="L21" s="14"/>
      <c r="M21" s="14"/>
      <c r="N21" s="14"/>
      <c r="O21" s="14"/>
    </row>
    <row r="22" spans="1:15" ht="16.5" customHeight="1">
      <c r="A22" s="3563" t="s">
        <v>1205</v>
      </c>
      <c r="B22" s="3563"/>
      <c r="C22" s="3563"/>
      <c r="D22" s="1178"/>
      <c r="E22" s="1178"/>
      <c r="F22" s="3564" t="s">
        <v>1206</v>
      </c>
      <c r="G22" s="3564"/>
      <c r="H22" s="3565"/>
      <c r="I22" s="3565"/>
      <c r="J22" s="866"/>
      <c r="K22" s="14"/>
      <c r="L22" s="14"/>
      <c r="M22" s="14"/>
      <c r="N22" s="14"/>
      <c r="O22" s="14"/>
    </row>
    <row r="23" spans="1:15" ht="16.5" customHeight="1">
      <c r="A23" s="3572"/>
      <c r="B23" s="3572"/>
      <c r="C23" s="3572"/>
      <c r="D23" s="1178"/>
      <c r="E23" s="1178"/>
      <c r="F23" s="3564" t="s">
        <v>1207</v>
      </c>
      <c r="G23" s="3564"/>
      <c r="H23" s="3565"/>
      <c r="I23" s="3565"/>
      <c r="J23" s="866"/>
      <c r="K23" s="14"/>
      <c r="L23" s="14"/>
      <c r="M23" s="14"/>
      <c r="N23" s="14"/>
      <c r="O23" s="14"/>
    </row>
    <row r="24" spans="1:15" ht="16.5" customHeight="1">
      <c r="A24" s="3570"/>
      <c r="B24" s="3570"/>
      <c r="C24" s="3570"/>
      <c r="D24" s="1180"/>
      <c r="E24" s="1180"/>
      <c r="F24" s="3564" t="s">
        <v>1208</v>
      </c>
      <c r="G24" s="3564"/>
      <c r="H24" s="3573"/>
      <c r="I24" s="3573"/>
      <c r="J24" s="869"/>
      <c r="K24" s="14"/>
      <c r="L24" s="14"/>
      <c r="M24" s="14"/>
      <c r="N24" s="14"/>
      <c r="O24" s="14"/>
    </row>
    <row r="25" spans="1:15" ht="16.5" customHeight="1">
      <c r="A25" s="3566" t="s">
        <v>1209</v>
      </c>
      <c r="B25" s="3566"/>
      <c r="C25" s="3566"/>
      <c r="D25" s="867">
        <f>D19+D20-D21-D22</f>
        <v>0</v>
      </c>
      <c r="E25" s="867">
        <f>E19+E20-E21-E22</f>
        <v>0</v>
      </c>
      <c r="F25" s="3574" t="s">
        <v>1010</v>
      </c>
      <c r="G25" s="3575"/>
      <c r="H25" s="3568"/>
      <c r="I25" s="3568"/>
      <c r="J25" s="868"/>
      <c r="K25" s="14"/>
      <c r="L25" s="14"/>
      <c r="M25" s="14"/>
      <c r="N25" s="14"/>
      <c r="O25" s="14"/>
    </row>
    <row r="26" spans="1:15" ht="16.5" customHeight="1">
      <c r="A26" s="3563" t="s">
        <v>1210</v>
      </c>
      <c r="B26" s="3563"/>
      <c r="C26" s="3563"/>
      <c r="D26" s="1178"/>
      <c r="E26" s="1178"/>
      <c r="F26" s="3564" t="s">
        <v>1211</v>
      </c>
      <c r="G26" s="3564"/>
      <c r="H26" s="3565"/>
      <c r="I26" s="3565"/>
      <c r="J26" s="866"/>
      <c r="K26" s="14"/>
      <c r="L26" s="14"/>
      <c r="M26" s="14"/>
      <c r="N26" s="14"/>
      <c r="O26" s="14"/>
    </row>
    <row r="27" spans="1:15" ht="16.5" customHeight="1">
      <c r="A27" s="3563" t="s">
        <v>1212</v>
      </c>
      <c r="B27" s="3563"/>
      <c r="C27" s="3563"/>
      <c r="D27" s="1178"/>
      <c r="E27" s="1178"/>
      <c r="F27" s="3564" t="s">
        <v>1213</v>
      </c>
      <c r="G27" s="3564"/>
      <c r="H27" s="3565"/>
      <c r="I27" s="3565"/>
      <c r="J27" s="866"/>
      <c r="K27" s="14"/>
      <c r="L27" s="14"/>
      <c r="M27" s="14"/>
      <c r="N27" s="14"/>
      <c r="O27" s="14"/>
    </row>
    <row r="28" spans="1:15" ht="16.5" customHeight="1">
      <c r="A28" s="3563" t="s">
        <v>1214</v>
      </c>
      <c r="B28" s="3563"/>
      <c r="C28" s="3563"/>
      <c r="D28" s="1178"/>
      <c r="E28" s="1178"/>
      <c r="F28" s="3564" t="s">
        <v>1215</v>
      </c>
      <c r="G28" s="3564"/>
      <c r="H28" s="3565"/>
      <c r="I28" s="3565"/>
      <c r="J28" s="866"/>
      <c r="K28" s="14"/>
      <c r="L28" s="14"/>
      <c r="M28" s="14"/>
      <c r="N28" s="14"/>
      <c r="O28" s="14"/>
    </row>
    <row r="29" spans="1:15" ht="16.5" customHeight="1">
      <c r="A29" s="3563" t="s">
        <v>1216</v>
      </c>
      <c r="B29" s="3563"/>
      <c r="C29" s="3563"/>
      <c r="D29" s="1178"/>
      <c r="E29" s="1178"/>
      <c r="F29" s="3564" t="s">
        <v>1217</v>
      </c>
      <c r="G29" s="3564"/>
      <c r="H29" s="3565"/>
      <c r="I29" s="3565"/>
      <c r="J29" s="866"/>
      <c r="K29" s="14"/>
      <c r="L29" s="14"/>
      <c r="M29" s="14"/>
      <c r="N29" s="14"/>
      <c r="O29" s="14"/>
    </row>
    <row r="30" spans="1:15" ht="16.5" customHeight="1">
      <c r="A30" s="3576"/>
      <c r="B30" s="3576"/>
      <c r="C30" s="3576"/>
      <c r="D30" s="1181"/>
      <c r="E30" s="1181"/>
      <c r="F30" s="3564" t="s">
        <v>1218</v>
      </c>
      <c r="G30" s="3564"/>
      <c r="H30" s="3565"/>
      <c r="I30" s="3565"/>
      <c r="J30" s="870"/>
      <c r="K30" s="14"/>
      <c r="L30" s="14"/>
      <c r="M30" s="14"/>
      <c r="N30" s="14"/>
      <c r="O30" s="14"/>
    </row>
    <row r="31" spans="1:15" ht="16.5" customHeight="1">
      <c r="A31" s="3576"/>
      <c r="B31" s="3576"/>
      <c r="C31" s="3576"/>
      <c r="D31" s="1181"/>
      <c r="E31" s="1181"/>
      <c r="F31" s="3577" t="s">
        <v>1219</v>
      </c>
      <c r="G31" s="3577"/>
      <c r="H31" s="3565"/>
      <c r="I31" s="3565"/>
      <c r="J31" s="870"/>
      <c r="K31" s="14"/>
      <c r="L31" s="14"/>
      <c r="M31" s="14"/>
      <c r="N31" s="14"/>
      <c r="O31" s="14"/>
    </row>
    <row r="32" spans="1:15" ht="16.5" customHeight="1">
      <c r="A32" s="3250" t="s">
        <v>1220</v>
      </c>
      <c r="B32" s="3250"/>
      <c r="C32" s="3250"/>
      <c r="D32" s="1182"/>
      <c r="E32" s="1182"/>
      <c r="F32" s="3555" t="s">
        <v>1221</v>
      </c>
      <c r="G32" s="3555"/>
      <c r="H32" s="3568"/>
      <c r="I32" s="3568"/>
      <c r="J32" s="868"/>
      <c r="K32" s="14"/>
      <c r="L32" s="14"/>
      <c r="M32" s="14"/>
      <c r="N32" s="14"/>
      <c r="O32" s="14"/>
    </row>
    <row r="33" spans="1:15" ht="16.5" customHeight="1">
      <c r="A33" s="3572"/>
      <c r="B33" s="3572"/>
      <c r="C33" s="3572"/>
      <c r="D33" s="1178"/>
      <c r="E33" s="1178"/>
      <c r="F33" s="3564" t="s">
        <v>1222</v>
      </c>
      <c r="G33" s="3564"/>
      <c r="H33" s="3565"/>
      <c r="I33" s="3565"/>
      <c r="J33" s="866"/>
      <c r="K33" s="14"/>
      <c r="L33" s="14"/>
      <c r="M33" s="14"/>
      <c r="N33" s="14"/>
      <c r="O33" s="14"/>
    </row>
    <row r="34" spans="1:15" ht="16.5" customHeight="1">
      <c r="A34" s="3572"/>
      <c r="B34" s="3572"/>
      <c r="C34" s="3572"/>
      <c r="D34" s="1178"/>
      <c r="E34" s="1178"/>
      <c r="F34" s="3564" t="s">
        <v>1223</v>
      </c>
      <c r="G34" s="3564"/>
      <c r="H34" s="3565"/>
      <c r="I34" s="3565"/>
      <c r="J34" s="866"/>
      <c r="K34" s="14"/>
      <c r="L34" s="14"/>
      <c r="M34" s="14"/>
      <c r="N34" s="14"/>
      <c r="O34" s="14"/>
    </row>
    <row r="35" spans="1:15" ht="16.5" customHeight="1">
      <c r="A35" s="3572"/>
      <c r="B35" s="3572"/>
      <c r="C35" s="3572"/>
      <c r="D35" s="1183"/>
      <c r="E35" s="1183"/>
      <c r="F35" s="3564" t="s">
        <v>1224</v>
      </c>
      <c r="G35" s="3564"/>
      <c r="H35" s="3565"/>
      <c r="I35" s="3565"/>
      <c r="J35" s="866"/>
      <c r="K35" s="14"/>
      <c r="L35" s="14"/>
      <c r="M35" s="14"/>
      <c r="N35" s="14"/>
      <c r="O35" s="14"/>
    </row>
    <row r="36" spans="1:15" ht="27" customHeight="1">
      <c r="A36" s="3578" t="s">
        <v>1225</v>
      </c>
      <c r="B36" s="3578"/>
      <c r="C36" s="3578"/>
      <c r="D36" s="1183"/>
      <c r="E36" s="1183"/>
      <c r="F36" s="3564" t="s">
        <v>1226</v>
      </c>
      <c r="G36" s="3564"/>
      <c r="H36" s="3565"/>
      <c r="I36" s="3565"/>
      <c r="J36" s="865"/>
      <c r="K36" s="14"/>
      <c r="L36" s="14"/>
      <c r="M36" s="14"/>
      <c r="N36" s="14"/>
      <c r="O36" s="14"/>
    </row>
    <row r="37" spans="1:15" ht="16.5" customHeight="1">
      <c r="A37" s="3572"/>
      <c r="B37" s="3572"/>
      <c r="C37" s="3572"/>
      <c r="D37" s="1183"/>
      <c r="E37" s="1183"/>
      <c r="F37" s="3564" t="s">
        <v>1227</v>
      </c>
      <c r="G37" s="3564"/>
      <c r="H37" s="3565"/>
      <c r="I37" s="3565"/>
      <c r="J37" s="865"/>
      <c r="K37" s="14"/>
      <c r="L37" s="14"/>
      <c r="M37" s="14"/>
      <c r="N37" s="14"/>
      <c r="O37" s="14"/>
    </row>
    <row r="38" spans="1:15" ht="16.5" customHeight="1">
      <c r="A38" s="3572"/>
      <c r="B38" s="3572"/>
      <c r="C38" s="3572"/>
      <c r="D38" s="1183"/>
      <c r="E38" s="1183"/>
      <c r="F38" s="3564" t="s">
        <v>1228</v>
      </c>
      <c r="G38" s="3564"/>
      <c r="H38" s="3565"/>
      <c r="I38" s="3565"/>
      <c r="J38" s="865"/>
      <c r="K38" s="14"/>
      <c r="L38" s="14"/>
      <c r="M38" s="14"/>
      <c r="N38" s="14"/>
      <c r="O38" s="14"/>
    </row>
    <row r="39" spans="1:15" ht="16.5" customHeight="1">
      <c r="A39" s="3570"/>
      <c r="B39" s="3570"/>
      <c r="C39" s="3570"/>
      <c r="D39" s="1179"/>
      <c r="E39" s="1179"/>
      <c r="F39" s="3564" t="s">
        <v>1229</v>
      </c>
      <c r="G39" s="3564"/>
      <c r="H39" s="3573"/>
      <c r="I39" s="3573"/>
      <c r="J39" s="871"/>
      <c r="K39" s="14"/>
      <c r="L39" s="14"/>
      <c r="M39" s="14"/>
      <c r="N39" s="14"/>
      <c r="O39" s="14"/>
    </row>
    <row r="40" spans="1:15" ht="24" customHeight="1">
      <c r="A40" s="3581" t="s">
        <v>1230</v>
      </c>
      <c r="B40" s="3581"/>
      <c r="C40" s="3581"/>
      <c r="D40" s="872">
        <f>D25+D26+D27-D28-D29+D32+D36</f>
        <v>0</v>
      </c>
      <c r="E40" s="872">
        <f>E25+E26+E27-E28-E29+E32+E36</f>
        <v>0</v>
      </c>
      <c r="F40" s="3582" t="s">
        <v>1011</v>
      </c>
      <c r="G40" s="3583"/>
      <c r="H40" s="3584"/>
      <c r="I40" s="3584"/>
      <c r="J40" s="873"/>
      <c r="K40" s="14"/>
      <c r="L40" s="14"/>
      <c r="M40" s="14"/>
      <c r="N40" s="14"/>
      <c r="O40" s="14"/>
    </row>
    <row r="41" spans="1:15" ht="15" customHeight="1">
      <c r="A41" s="3175" t="s">
        <v>1323</v>
      </c>
      <c r="B41" s="3175"/>
      <c r="C41" s="3175"/>
      <c r="D41" s="3164" t="s">
        <v>1231</v>
      </c>
      <c r="E41" s="3164"/>
      <c r="F41" s="3585"/>
      <c r="G41" s="3585"/>
      <c r="H41" s="3585"/>
      <c r="I41" s="3585"/>
      <c r="J41" s="3585"/>
      <c r="K41" s="14"/>
      <c r="L41" s="14"/>
      <c r="M41" s="14"/>
      <c r="N41" s="14"/>
      <c r="O41" s="14"/>
    </row>
    <row r="42" spans="1:15" ht="36" customHeight="1">
      <c r="A42" s="3175"/>
      <c r="B42" s="3175"/>
      <c r="C42" s="3175"/>
      <c r="D42" s="3579"/>
      <c r="E42" s="3579"/>
      <c r="F42" s="3579"/>
      <c r="G42" s="3579"/>
      <c r="H42" s="3579"/>
      <c r="I42" s="3579"/>
      <c r="J42" s="3579"/>
      <c r="K42" s="14"/>
      <c r="L42" s="14"/>
      <c r="M42" s="14"/>
      <c r="N42" s="14"/>
      <c r="O42" s="14"/>
    </row>
    <row r="43" spans="1:15" ht="17.25" customHeight="1">
      <c r="A43" s="3175"/>
      <c r="B43" s="3175"/>
      <c r="C43" s="3175"/>
      <c r="D43" s="3580"/>
      <c r="E43" s="3580"/>
      <c r="F43" s="3580"/>
      <c r="G43" s="3580"/>
      <c r="H43" s="3580"/>
      <c r="I43" s="3580"/>
      <c r="J43" s="3580"/>
      <c r="K43" s="14"/>
      <c r="L43" s="14"/>
      <c r="M43" s="14"/>
      <c r="N43" s="14"/>
      <c r="O43" s="14"/>
    </row>
    <row r="44" spans="1:15" ht="10.5" customHeight="1">
      <c r="A44" s="2926" t="s">
        <v>574</v>
      </c>
      <c r="B44" s="2926"/>
      <c r="C44" s="2926"/>
      <c r="D44" s="3157"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57"/>
      <c r="F44" s="3157"/>
      <c r="G44" s="3157"/>
      <c r="H44" s="3157"/>
      <c r="I44" s="3157"/>
      <c r="J44" s="3157"/>
      <c r="K44" s="14"/>
      <c r="L44" s="14"/>
      <c r="M44" s="14"/>
      <c r="N44" s="14"/>
      <c r="O44" s="14"/>
    </row>
    <row r="45" spans="1:15" ht="8.25" customHeight="1">
      <c r="A45" s="2926"/>
      <c r="B45" s="2926"/>
      <c r="C45" s="2926"/>
      <c r="D45" s="3157"/>
      <c r="E45" s="3157"/>
      <c r="F45" s="3157"/>
      <c r="G45" s="3157"/>
      <c r="H45" s="3157"/>
      <c r="I45" s="3157"/>
      <c r="J45" s="3157"/>
      <c r="K45" s="14"/>
      <c r="L45" s="14"/>
      <c r="M45" s="14"/>
      <c r="N45" s="14"/>
      <c r="O45" s="14"/>
    </row>
    <row r="46" spans="1:15" ht="10.5" customHeight="1">
      <c r="A46" s="2926"/>
      <c r="B46" s="2926"/>
      <c r="C46" s="2926"/>
      <c r="D46" s="3157"/>
      <c r="E46" s="3157"/>
      <c r="F46" s="3157"/>
      <c r="G46" s="3157"/>
      <c r="H46" s="3157"/>
      <c r="I46" s="3157"/>
      <c r="J46" s="3157"/>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1232</v>
      </c>
      <c r="C48" s="875"/>
      <c r="D48" s="875"/>
      <c r="E48" s="875"/>
      <c r="F48" s="875"/>
      <c r="G48" s="875"/>
      <c r="H48" s="875"/>
      <c r="I48" s="875"/>
      <c r="J48" s="875"/>
    </row>
  </sheetData>
  <sheetProtection selectLockedCells="1" selectUnlockedCells="1"/>
  <mergeCells count="123">
    <mergeCell ref="A39:C39"/>
    <mergeCell ref="F39:G39"/>
    <mergeCell ref="H39:I39"/>
    <mergeCell ref="D42:J42"/>
    <mergeCell ref="D43:J43"/>
    <mergeCell ref="A41:C43"/>
    <mergeCell ref="D41:E41"/>
    <mergeCell ref="A44:C46"/>
    <mergeCell ref="D44:J46"/>
    <mergeCell ref="A40:C40"/>
    <mergeCell ref="F40:G40"/>
    <mergeCell ref="H40:I40"/>
    <mergeCell ref="F41:J41"/>
    <mergeCell ref="A35:C35"/>
    <mergeCell ref="F35:G35"/>
    <mergeCell ref="A38:C38"/>
    <mergeCell ref="F38:G38"/>
    <mergeCell ref="A37:C37"/>
    <mergeCell ref="F37:G37"/>
    <mergeCell ref="H37:I37"/>
    <mergeCell ref="H35:I35"/>
    <mergeCell ref="A36:C36"/>
    <mergeCell ref="F36:G36"/>
    <mergeCell ref="H36:I36"/>
    <mergeCell ref="H38:I38"/>
    <mergeCell ref="A34:C34"/>
    <mergeCell ref="F34:G34"/>
    <mergeCell ref="H34:I34"/>
    <mergeCell ref="A32:C32"/>
    <mergeCell ref="F32:G32"/>
    <mergeCell ref="H32:I32"/>
    <mergeCell ref="A33:C33"/>
    <mergeCell ref="F33:G33"/>
    <mergeCell ref="H33:I33"/>
    <mergeCell ref="A30:C30"/>
    <mergeCell ref="F30:G30"/>
    <mergeCell ref="H30:I30"/>
    <mergeCell ref="A31:C31"/>
    <mergeCell ref="F31:G31"/>
    <mergeCell ref="H31:I31"/>
    <mergeCell ref="A28:C28"/>
    <mergeCell ref="F28:G28"/>
    <mergeCell ref="H28:I28"/>
    <mergeCell ref="A29:C29"/>
    <mergeCell ref="F29:G29"/>
    <mergeCell ref="H29:I29"/>
    <mergeCell ref="A26:C26"/>
    <mergeCell ref="F26:G26"/>
    <mergeCell ref="H26:I26"/>
    <mergeCell ref="A27:C27"/>
    <mergeCell ref="F27:G27"/>
    <mergeCell ref="H27:I27"/>
    <mergeCell ref="A24:C24"/>
    <mergeCell ref="F24:G24"/>
    <mergeCell ref="H24:I24"/>
    <mergeCell ref="A25:C25"/>
    <mergeCell ref="F25:G25"/>
    <mergeCell ref="H25:I25"/>
    <mergeCell ref="A22:C22"/>
    <mergeCell ref="F22:G22"/>
    <mergeCell ref="H22:I22"/>
    <mergeCell ref="A23:C23"/>
    <mergeCell ref="F23:G23"/>
    <mergeCell ref="H23:I23"/>
    <mergeCell ref="A20:C20"/>
    <mergeCell ref="F20:G20"/>
    <mergeCell ref="H20:I20"/>
    <mergeCell ref="A21:C21"/>
    <mergeCell ref="F21:G21"/>
    <mergeCell ref="H21:I21"/>
    <mergeCell ref="A18:C18"/>
    <mergeCell ref="F18:G18"/>
    <mergeCell ref="H18:I18"/>
    <mergeCell ref="A19:C19"/>
    <mergeCell ref="F19:G19"/>
    <mergeCell ref="H19:I19"/>
    <mergeCell ref="A16:C16"/>
    <mergeCell ref="F16:G16"/>
    <mergeCell ref="H16:I16"/>
    <mergeCell ref="A17:C17"/>
    <mergeCell ref="F17:G17"/>
    <mergeCell ref="H17:I17"/>
    <mergeCell ref="A14:C14"/>
    <mergeCell ref="F14:G14"/>
    <mergeCell ref="H14:I14"/>
    <mergeCell ref="A15:C15"/>
    <mergeCell ref="F15:G15"/>
    <mergeCell ref="H15:I15"/>
    <mergeCell ref="A12:C12"/>
    <mergeCell ref="F12:G12"/>
    <mergeCell ref="H12:I12"/>
    <mergeCell ref="A13:C13"/>
    <mergeCell ref="F13:G13"/>
    <mergeCell ref="H13:I13"/>
    <mergeCell ref="A10:C10"/>
    <mergeCell ref="F10:G10"/>
    <mergeCell ref="H10:I10"/>
    <mergeCell ref="A11:C11"/>
    <mergeCell ref="F11:G11"/>
    <mergeCell ref="H11:I11"/>
    <mergeCell ref="A9:C9"/>
    <mergeCell ref="F9:G9"/>
    <mergeCell ref="H9:I9"/>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5.6"/>
  <cols>
    <col min="1" max="1" width="3.5" style="876" customWidth="1"/>
    <col min="2" max="2" width="9.69921875" style="876" customWidth="1"/>
    <col min="3" max="3" width="5.59765625" style="876" customWidth="1"/>
    <col min="4" max="4" width="11.09765625" style="876" customWidth="1"/>
    <col min="5" max="5" width="10.19921875" style="876" customWidth="1"/>
    <col min="6" max="6" width="5.69921875" style="876" customWidth="1"/>
    <col min="7" max="7" width="12.5" style="876" customWidth="1"/>
    <col min="8" max="8" width="10.19921875" style="876" customWidth="1"/>
    <col min="9" max="9" width="6.09765625" style="876" customWidth="1"/>
    <col min="10" max="10" width="12.59765625" style="876" customWidth="1"/>
    <col min="11" max="11" width="10.3984375" style="876" customWidth="1"/>
    <col min="12" max="12" width="6.3984375" style="876" customWidth="1"/>
    <col min="13" max="13" width="11.59765625" style="876" customWidth="1"/>
    <col min="14" max="14" width="10.3984375" style="876" customWidth="1"/>
    <col min="15" max="15" width="7.59765625" style="876" customWidth="1"/>
    <col min="16" max="16384" width="9" style="876"/>
  </cols>
  <sheetData>
    <row r="1" spans="1:21" ht="21" customHeight="1">
      <c r="A1" s="2729" t="s">
        <v>1233</v>
      </c>
      <c r="B1" s="2729"/>
      <c r="C1" s="2729"/>
      <c r="D1" s="2729"/>
      <c r="E1" s="2729"/>
      <c r="F1" s="2729"/>
      <c r="G1" s="2729"/>
      <c r="H1" s="2729"/>
      <c r="I1" s="2729"/>
      <c r="J1" s="2729"/>
      <c r="K1" s="2729"/>
      <c r="L1" s="2729"/>
      <c r="M1" s="2729"/>
      <c r="N1" s="2729"/>
      <c r="O1" s="2729"/>
      <c r="P1" s="877"/>
      <c r="Q1" s="877"/>
      <c r="R1" s="877"/>
      <c r="S1" s="877"/>
      <c r="T1" s="877"/>
      <c r="U1" s="877"/>
    </row>
    <row r="2" spans="1:21">
      <c r="A2" s="3587"/>
      <c r="B2" s="3587"/>
      <c r="C2" s="3587"/>
      <c r="D2" s="3587"/>
      <c r="E2" s="3587"/>
      <c r="F2" s="3587"/>
      <c r="G2" s="3587"/>
      <c r="H2" s="3587"/>
      <c r="I2" s="3587"/>
      <c r="J2" s="878"/>
      <c r="K2" s="878"/>
      <c r="L2" s="878"/>
      <c r="M2" s="879"/>
      <c r="N2" s="878"/>
      <c r="O2" s="878"/>
      <c r="P2" s="877"/>
      <c r="Q2" s="877"/>
      <c r="R2" s="877"/>
      <c r="S2" s="877"/>
      <c r="T2" s="877"/>
      <c r="U2" s="877"/>
    </row>
    <row r="3" spans="1:21" ht="20.25" customHeight="1">
      <c r="A3" s="3588" t="str">
        <f>"委托单位名称："&amp;基本情况!B2</f>
        <v>委托单位名称：0</v>
      </c>
      <c r="B3" s="3588"/>
      <c r="C3" s="3588"/>
      <c r="D3" s="3588"/>
      <c r="E3" s="3588"/>
      <c r="F3" s="3588"/>
      <c r="G3" s="3588"/>
      <c r="H3" s="3588"/>
      <c r="I3" s="3588"/>
      <c r="J3" s="880" t="s">
        <v>450</v>
      </c>
      <c r="K3" s="881">
        <f>基本情况!B12</f>
        <v>0</v>
      </c>
      <c r="L3" s="880" t="s">
        <v>449</v>
      </c>
      <c r="M3" s="3589" t="str">
        <f>TEXT(基本情况!B21,"yyyy-mm-dd")</f>
        <v>2017-03-16</v>
      </c>
      <c r="N3" s="3589"/>
      <c r="O3" s="882" t="s">
        <v>283</v>
      </c>
      <c r="P3" s="877"/>
      <c r="Q3" s="877"/>
      <c r="R3" s="877"/>
      <c r="S3" s="877"/>
      <c r="T3" s="877"/>
      <c r="U3" s="877"/>
    </row>
    <row r="4" spans="1:21" ht="20.25" customHeight="1">
      <c r="A4" s="3183" t="str">
        <f>"会计期间："&amp;基本情况!B7</f>
        <v>会计期间：2016年01月01日至2016年12月31日</v>
      </c>
      <c r="B4" s="3183"/>
      <c r="C4" s="3183"/>
      <c r="D4" s="3183"/>
      <c r="E4" s="3183"/>
      <c r="F4" s="3183"/>
      <c r="G4" s="3183"/>
      <c r="H4" s="3183"/>
      <c r="I4" s="3183"/>
      <c r="J4" s="883" t="s">
        <v>452</v>
      </c>
      <c r="K4" s="884">
        <f>基本情况!B11</f>
        <v>0</v>
      </c>
      <c r="L4" s="883" t="s">
        <v>449</v>
      </c>
      <c r="M4" s="3586" t="str">
        <f>TEXT(基本情况!B22,"yyyy-mm-dd")</f>
        <v>2017-05-04</v>
      </c>
      <c r="N4" s="3586"/>
      <c r="O4" s="885"/>
      <c r="P4" s="877"/>
      <c r="Q4" s="877"/>
      <c r="R4" s="877"/>
      <c r="S4" s="877"/>
      <c r="T4" s="877"/>
      <c r="U4" s="877"/>
    </row>
    <row r="5" spans="1:21" ht="7.5" customHeight="1">
      <c r="A5" s="2916"/>
      <c r="B5" s="2916"/>
      <c r="C5" s="2916"/>
      <c r="D5" s="2916"/>
      <c r="E5" s="2916"/>
      <c r="F5" s="2916"/>
      <c r="G5" s="2916"/>
      <c r="H5" s="2916"/>
      <c r="I5" s="2916"/>
      <c r="J5" s="2916"/>
      <c r="K5" s="2916"/>
      <c r="L5" s="2916"/>
      <c r="M5" s="2916"/>
      <c r="N5" s="2916"/>
      <c r="O5" s="2916"/>
      <c r="P5" s="877"/>
      <c r="Q5" s="877"/>
      <c r="R5" s="877"/>
      <c r="S5" s="877"/>
      <c r="T5" s="877"/>
      <c r="U5" s="877"/>
    </row>
    <row r="6" spans="1:21" ht="20.25" customHeight="1">
      <c r="A6" s="3150" t="s">
        <v>1234</v>
      </c>
      <c r="B6" s="3192" t="s">
        <v>1235</v>
      </c>
      <c r="C6" s="3192"/>
      <c r="D6" s="3192"/>
      <c r="E6" s="3192" t="s">
        <v>1252</v>
      </c>
      <c r="F6" s="3192"/>
      <c r="G6" s="3192"/>
      <c r="H6" s="3192" t="s">
        <v>1236</v>
      </c>
      <c r="I6" s="3192"/>
      <c r="J6" s="3192"/>
      <c r="K6" s="3192" t="s">
        <v>1237</v>
      </c>
      <c r="L6" s="3192"/>
      <c r="M6" s="3192"/>
      <c r="N6" s="3045" t="s">
        <v>1238</v>
      </c>
      <c r="O6" s="3151" t="s">
        <v>1239</v>
      </c>
      <c r="P6" s="877"/>
      <c r="Q6" s="877"/>
      <c r="R6" s="877"/>
      <c r="S6" s="877"/>
      <c r="T6" s="877"/>
      <c r="U6" s="877"/>
    </row>
    <row r="7" spans="1:21" ht="18" customHeight="1">
      <c r="A7" s="3150"/>
      <c r="B7" s="883" t="s">
        <v>1240</v>
      </c>
      <c r="C7" s="883" t="s">
        <v>1241</v>
      </c>
      <c r="D7" s="883" t="s">
        <v>557</v>
      </c>
      <c r="E7" s="883" t="s">
        <v>1240</v>
      </c>
      <c r="F7" s="883" t="s">
        <v>1241</v>
      </c>
      <c r="G7" s="883" t="s">
        <v>557</v>
      </c>
      <c r="H7" s="883" t="s">
        <v>1240</v>
      </c>
      <c r="I7" s="883" t="s">
        <v>1241</v>
      </c>
      <c r="J7" s="883" t="s">
        <v>557</v>
      </c>
      <c r="K7" s="883" t="s">
        <v>1240</v>
      </c>
      <c r="L7" s="883" t="s">
        <v>1241</v>
      </c>
      <c r="M7" s="883" t="s">
        <v>557</v>
      </c>
      <c r="N7" s="3045"/>
      <c r="O7" s="3151"/>
      <c r="P7" s="3068" t="s">
        <v>395</v>
      </c>
      <c r="Q7" s="3068"/>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702</v>
      </c>
      <c r="B20" s="897" t="s">
        <v>1242</v>
      </c>
      <c r="C20" s="897" t="s">
        <v>1242</v>
      </c>
      <c r="D20" s="897" t="s">
        <v>1242</v>
      </c>
      <c r="E20" s="897">
        <f>SUM(E8:E19)</f>
        <v>0</v>
      </c>
      <c r="F20" s="897" t="s">
        <v>1242</v>
      </c>
      <c r="G20" s="897">
        <f>SUM(G8:G19)</f>
        <v>0</v>
      </c>
      <c r="H20" s="897">
        <f>SUM(H8:H19)</f>
        <v>0</v>
      </c>
      <c r="I20" s="897" t="s">
        <v>1242</v>
      </c>
      <c r="J20" s="897">
        <f>SUM(J8:J19)</f>
        <v>0</v>
      </c>
      <c r="K20" s="897" t="s">
        <v>1242</v>
      </c>
      <c r="L20" s="897" t="s">
        <v>1242</v>
      </c>
      <c r="M20" s="897" t="s">
        <v>1242</v>
      </c>
      <c r="N20" s="897" t="s">
        <v>1242</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P7:Q7"/>
    <mergeCell ref="A5:O5"/>
    <mergeCell ref="A6:A7"/>
    <mergeCell ref="B6:D6"/>
    <mergeCell ref="E6:G6"/>
    <mergeCell ref="H6:J6"/>
    <mergeCell ref="K6:M6"/>
    <mergeCell ref="N6:N7"/>
    <mergeCell ref="O6:O7"/>
    <mergeCell ref="A4:I4"/>
    <mergeCell ref="M4:N4"/>
    <mergeCell ref="A1:O1"/>
    <mergeCell ref="A2:I2"/>
    <mergeCell ref="A3:I3"/>
    <mergeCell ref="M3:N3"/>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5.6"/>
  <cols>
    <col min="1" max="1" width="4.59765625" style="771" customWidth="1"/>
    <col min="2" max="2" width="13.3984375" style="771" customWidth="1"/>
    <col min="3" max="3" width="12.8984375" style="771" customWidth="1"/>
    <col min="4" max="4" width="9.19921875" style="771" customWidth="1"/>
    <col min="5" max="5" width="12" style="771" customWidth="1"/>
    <col min="6" max="6" width="11.3984375" style="771" customWidth="1"/>
    <col min="7" max="7" width="12" style="771" customWidth="1"/>
    <col min="8" max="8" width="10.8984375" style="771" customWidth="1"/>
    <col min="9" max="9" width="39" customWidth="1"/>
  </cols>
  <sheetData>
    <row r="1" spans="1:13" ht="27.75" customHeight="1">
      <c r="A1" s="2764" t="s">
        <v>312</v>
      </c>
      <c r="B1" s="2764"/>
      <c r="C1" s="2764"/>
      <c r="D1" s="2764"/>
      <c r="E1" s="2764"/>
      <c r="F1" s="2764"/>
      <c r="G1" s="2764"/>
      <c r="H1" s="2764"/>
      <c r="I1" s="3590"/>
      <c r="J1" s="84"/>
      <c r="K1" s="84"/>
      <c r="L1" s="84"/>
      <c r="M1" s="84"/>
    </row>
    <row r="2" spans="1:13" s="649" customFormat="1" ht="15" customHeight="1">
      <c r="A2" s="3212" t="str">
        <f>"委托单位："&amp;基本情况!$B$2</f>
        <v>委托单位：0</v>
      </c>
      <c r="B2" s="3212"/>
      <c r="C2" s="3212"/>
      <c r="D2" s="569"/>
      <c r="E2" s="136" t="s">
        <v>9</v>
      </c>
      <c r="F2" s="136" t="s">
        <v>882</v>
      </c>
      <c r="G2" s="3591" t="s">
        <v>283</v>
      </c>
      <c r="H2" s="3591"/>
      <c r="I2" s="3590"/>
      <c r="J2" s="648"/>
      <c r="K2" s="648"/>
      <c r="L2" s="648"/>
      <c r="M2" s="648"/>
    </row>
    <row r="3" spans="1:13" s="649" customFormat="1" ht="15" customHeight="1">
      <c r="A3" s="3212"/>
      <c r="B3" s="3212"/>
      <c r="C3" s="3212"/>
      <c r="D3" s="158" t="s">
        <v>450</v>
      </c>
      <c r="E3" s="510">
        <f>基本情况!B12</f>
        <v>0</v>
      </c>
      <c r="F3" s="559" t="str">
        <f>TEXT(基本情况!B21,"yyyy-mm-dd")</f>
        <v>2017-03-16</v>
      </c>
      <c r="G3" s="3103" t="str">
        <f>档案索引!D26</f>
        <v>3-5</v>
      </c>
      <c r="H3" s="3103"/>
      <c r="I3" s="3590"/>
      <c r="J3" s="648"/>
      <c r="K3" s="648"/>
      <c r="L3" s="648"/>
      <c r="M3" s="648"/>
    </row>
    <row r="4" spans="1:13" s="649" customFormat="1" ht="15" customHeight="1">
      <c r="A4" s="3592" t="str">
        <f>"会计期间："&amp;基本情况!$B$7</f>
        <v>会计期间：2016年01月01日至2016年12月31日</v>
      </c>
      <c r="B4" s="3592"/>
      <c r="C4" s="3592"/>
      <c r="D4" s="140" t="s">
        <v>452</v>
      </c>
      <c r="E4" s="513">
        <f>基本情况!B11</f>
        <v>0</v>
      </c>
      <c r="F4" s="513" t="str">
        <f>TEXT(基本情况!B22,"yyyy-mm-dd")</f>
        <v>2017-05-04</v>
      </c>
      <c r="G4" s="3103"/>
      <c r="H4" s="3103"/>
      <c r="I4" s="3590"/>
      <c r="J4" s="648"/>
      <c r="K4" s="648"/>
      <c r="L4" s="648"/>
      <c r="M4" s="648"/>
    </row>
    <row r="5" spans="1:13" s="502" customFormat="1" ht="6.75" customHeight="1">
      <c r="A5" s="3107"/>
      <c r="B5" s="3107"/>
      <c r="C5" s="3107"/>
      <c r="D5" s="3107"/>
      <c r="E5" s="3107"/>
      <c r="F5" s="3107"/>
      <c r="G5" s="3107"/>
      <c r="H5" s="3107"/>
      <c r="I5" s="144"/>
      <c r="J5" s="144"/>
      <c r="K5" s="144"/>
      <c r="L5" s="144"/>
      <c r="M5" s="144"/>
    </row>
    <row r="6" spans="1:13" s="502" customFormat="1" ht="14.25" customHeight="1">
      <c r="A6" s="3043"/>
      <c r="B6" s="3044" t="s">
        <v>156</v>
      </c>
      <c r="C6" s="3044" t="s">
        <v>157</v>
      </c>
      <c r="D6" s="3045" t="s">
        <v>158</v>
      </c>
      <c r="E6" s="2920" t="s">
        <v>159</v>
      </c>
      <c r="F6" s="2920"/>
      <c r="G6" s="2920"/>
      <c r="H6" s="2967" t="s">
        <v>455</v>
      </c>
      <c r="I6" s="144"/>
      <c r="J6" s="144"/>
      <c r="K6" s="144"/>
      <c r="L6" s="144"/>
      <c r="M6" s="144"/>
    </row>
    <row r="7" spans="1:13" s="502" customFormat="1" ht="14.25" customHeight="1">
      <c r="A7" s="3043"/>
      <c r="B7" s="3044"/>
      <c r="C7" s="3044"/>
      <c r="D7" s="3045"/>
      <c r="E7" s="140" t="s">
        <v>160</v>
      </c>
      <c r="F7" s="140" t="s">
        <v>980</v>
      </c>
      <c r="G7" s="140" t="s">
        <v>502</v>
      </c>
      <c r="H7" s="2967"/>
      <c r="I7" s="90" t="s">
        <v>395</v>
      </c>
      <c r="J7" s="144"/>
      <c r="K7" s="144"/>
      <c r="L7" s="144"/>
      <c r="M7" s="144"/>
    </row>
    <row r="8" spans="1:13" s="502" customFormat="1" ht="18" customHeight="1">
      <c r="A8" s="3594" t="s">
        <v>161</v>
      </c>
      <c r="B8" s="900" t="s">
        <v>1270</v>
      </c>
      <c r="C8" s="901">
        <f>收入与申报核对表!G14</f>
        <v>0</v>
      </c>
      <c r="D8" s="902">
        <v>0.2</v>
      </c>
      <c r="E8" s="1118"/>
      <c r="F8" s="903">
        <f>G8-E8</f>
        <v>0</v>
      </c>
      <c r="G8" s="903">
        <f t="shared" ref="G8:G41" si="0">IF(AND(C8*D8-E8&lt;3,C8*D8-E8&gt;-3),E8,ROUND(C8*D8,2))</f>
        <v>0</v>
      </c>
      <c r="H8" s="703" t="s">
        <v>162</v>
      </c>
      <c r="I8" s="232" t="s">
        <v>653</v>
      </c>
      <c r="J8" s="144"/>
      <c r="K8" s="144"/>
      <c r="L8" s="144"/>
      <c r="M8" s="144"/>
    </row>
    <row r="9" spans="1:13" s="502" customFormat="1" ht="18" customHeight="1">
      <c r="A9" s="3594"/>
      <c r="B9" s="904" t="s">
        <v>1270</v>
      </c>
      <c r="C9" s="901">
        <f>收入与申报核对表!G15</f>
        <v>0</v>
      </c>
      <c r="D9" s="905">
        <v>0.2</v>
      </c>
      <c r="E9" s="1120"/>
      <c r="F9" s="525">
        <f t="shared" ref="F9:F41" si="1">G9-E9</f>
        <v>0</v>
      </c>
      <c r="G9" s="525">
        <f t="shared" si="0"/>
        <v>0</v>
      </c>
      <c r="H9" s="906" t="s">
        <v>163</v>
      </c>
      <c r="I9" s="232" t="s">
        <v>1291</v>
      </c>
      <c r="J9" s="144"/>
      <c r="K9" s="144"/>
      <c r="L9" s="144"/>
      <c r="M9" s="144"/>
    </row>
    <row r="10" spans="1:13" s="502" customFormat="1" ht="18" customHeight="1">
      <c r="A10" s="3594"/>
      <c r="B10" s="904" t="s">
        <v>1270</v>
      </c>
      <c r="C10" s="901">
        <f>收入与申报核对表!G16</f>
        <v>0</v>
      </c>
      <c r="D10" s="905">
        <v>0.1</v>
      </c>
      <c r="E10" s="1120"/>
      <c r="F10" s="525">
        <f t="shared" si="1"/>
        <v>0</v>
      </c>
      <c r="G10" s="525">
        <f t="shared" si="0"/>
        <v>0</v>
      </c>
      <c r="H10" s="906" t="s">
        <v>164</v>
      </c>
      <c r="I10" s="232" t="s">
        <v>1288</v>
      </c>
      <c r="J10" s="144"/>
      <c r="K10" s="144"/>
      <c r="L10" s="144"/>
      <c r="M10" s="144"/>
    </row>
    <row r="11" spans="1:13" s="502" customFormat="1" ht="18" customHeight="1">
      <c r="A11" s="3594"/>
      <c r="B11" s="904" t="s">
        <v>1270</v>
      </c>
      <c r="C11" s="901">
        <f>收入与申报核对表!G17</f>
        <v>0</v>
      </c>
      <c r="D11" s="905">
        <v>0.05</v>
      </c>
      <c r="E11" s="1120"/>
      <c r="F11" s="525">
        <f>G11-E11</f>
        <v>0</v>
      </c>
      <c r="G11" s="525">
        <f t="shared" si="0"/>
        <v>0</v>
      </c>
      <c r="H11" s="164" t="s">
        <v>165</v>
      </c>
      <c r="I11" s="493" t="s">
        <v>648</v>
      </c>
      <c r="J11" s="144"/>
      <c r="K11" s="144"/>
      <c r="L11" s="144"/>
      <c r="M11" s="144"/>
    </row>
    <row r="12" spans="1:13" s="502" customFormat="1" ht="18" customHeight="1">
      <c r="A12" s="3594"/>
      <c r="B12" s="904" t="s">
        <v>1270</v>
      </c>
      <c r="C12" s="518">
        <f>收入与申报核对表!G20</f>
        <v>0</v>
      </c>
      <c r="D12" s="905">
        <v>0.05</v>
      </c>
      <c r="E12" s="1120"/>
      <c r="F12" s="525">
        <f t="shared" si="1"/>
        <v>0</v>
      </c>
      <c r="G12" s="525">
        <f t="shared" si="0"/>
        <v>0</v>
      </c>
      <c r="H12" s="906" t="s">
        <v>166</v>
      </c>
      <c r="I12" s="493" t="s">
        <v>676</v>
      </c>
      <c r="J12" s="144"/>
      <c r="K12" s="144"/>
      <c r="L12" s="144"/>
      <c r="M12" s="144"/>
    </row>
    <row r="13" spans="1:13" s="502" customFormat="1" ht="18" customHeight="1">
      <c r="A13" s="3594"/>
      <c r="B13" s="904" t="s">
        <v>1270</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94"/>
      <c r="B14" s="904" t="s">
        <v>1271</v>
      </c>
      <c r="C14" s="525">
        <f t="shared" ref="C14:C19" si="2">G8</f>
        <v>0</v>
      </c>
      <c r="D14" s="905">
        <v>7.0000000000000007E-2</v>
      </c>
      <c r="E14" s="1120"/>
      <c r="F14" s="525">
        <f t="shared" si="1"/>
        <v>0</v>
      </c>
      <c r="G14" s="525">
        <f t="shared" si="0"/>
        <v>0</v>
      </c>
      <c r="H14" s="703" t="s">
        <v>162</v>
      </c>
      <c r="I14" s="232" t="s">
        <v>679</v>
      </c>
      <c r="J14" s="144"/>
      <c r="K14" s="144"/>
      <c r="L14" s="144"/>
      <c r="M14" s="144"/>
    </row>
    <row r="15" spans="1:13" s="502" customFormat="1" ht="18" customHeight="1">
      <c r="A15" s="3594"/>
      <c r="B15" s="904" t="s">
        <v>1271</v>
      </c>
      <c r="C15" s="525">
        <f t="shared" si="2"/>
        <v>0</v>
      </c>
      <c r="D15" s="905">
        <v>7.0000000000000007E-2</v>
      </c>
      <c r="E15" s="1120"/>
      <c r="F15" s="525">
        <f t="shared" si="1"/>
        <v>0</v>
      </c>
      <c r="G15" s="525">
        <f t="shared" si="0"/>
        <v>0</v>
      </c>
      <c r="H15" s="906" t="s">
        <v>163</v>
      </c>
      <c r="I15" s="232" t="s">
        <v>642</v>
      </c>
      <c r="J15" s="144"/>
      <c r="K15" s="144"/>
      <c r="L15" s="144"/>
      <c r="M15" s="144"/>
    </row>
    <row r="16" spans="1:13" s="502" customFormat="1" ht="18" customHeight="1">
      <c r="A16" s="3594"/>
      <c r="B16" s="904" t="s">
        <v>1271</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94"/>
      <c r="B17" s="904" t="s">
        <v>1271</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94"/>
      <c r="B18" s="904" t="s">
        <v>1271</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94"/>
      <c r="B19" s="904" t="s">
        <v>1271</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94"/>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94"/>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94"/>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94"/>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94"/>
      <c r="B24" s="904" t="s">
        <v>168</v>
      </c>
      <c r="C24" s="525">
        <f t="shared" si="3"/>
        <v>0</v>
      </c>
      <c r="D24" s="905">
        <v>0.03</v>
      </c>
      <c r="E24" s="1120"/>
      <c r="F24" s="525">
        <f t="shared" si="1"/>
        <v>0</v>
      </c>
      <c r="G24" s="525">
        <f t="shared" si="0"/>
        <v>0</v>
      </c>
      <c r="H24" s="906" t="s">
        <v>166</v>
      </c>
      <c r="I24" s="3535" t="s">
        <v>170</v>
      </c>
      <c r="J24" s="3535"/>
      <c r="K24" s="3535"/>
      <c r="L24" s="3535"/>
      <c r="M24" s="908"/>
    </row>
    <row r="25" spans="1:13" s="502" customFormat="1" ht="18" customHeight="1">
      <c r="A25" s="3594"/>
      <c r="B25" s="904" t="s">
        <v>168</v>
      </c>
      <c r="C25" s="525">
        <f t="shared" si="3"/>
        <v>0</v>
      </c>
      <c r="D25" s="905">
        <v>0.03</v>
      </c>
      <c r="E25" s="1120"/>
      <c r="F25" s="525">
        <f t="shared" si="1"/>
        <v>0</v>
      </c>
      <c r="G25" s="525">
        <f t="shared" si="0"/>
        <v>0</v>
      </c>
      <c r="H25" s="164" t="s">
        <v>167</v>
      </c>
      <c r="I25" s="3535"/>
      <c r="J25" s="3535"/>
      <c r="K25" s="3535"/>
      <c r="L25" s="3535"/>
      <c r="M25" s="908"/>
    </row>
    <row r="26" spans="1:13" s="502" customFormat="1" ht="18" customHeight="1">
      <c r="A26" s="3594"/>
      <c r="B26" s="904" t="s">
        <v>1273</v>
      </c>
      <c r="C26" s="525">
        <f t="shared" ref="C26:C31" si="4">G8</f>
        <v>0</v>
      </c>
      <c r="D26" s="905">
        <v>0.02</v>
      </c>
      <c r="E26" s="1120"/>
      <c r="F26" s="525">
        <f t="shared" si="1"/>
        <v>0</v>
      </c>
      <c r="G26" s="525">
        <f t="shared" si="0"/>
        <v>0</v>
      </c>
      <c r="H26" s="703" t="s">
        <v>162</v>
      </c>
      <c r="I26" s="3535"/>
      <c r="J26" s="3535"/>
      <c r="K26" s="3535"/>
      <c r="L26" s="3535"/>
      <c r="M26" s="908"/>
    </row>
    <row r="27" spans="1:13" s="502" customFormat="1" ht="18" customHeight="1">
      <c r="A27" s="3594"/>
      <c r="B27" s="904" t="s">
        <v>1273</v>
      </c>
      <c r="C27" s="525">
        <f t="shared" si="4"/>
        <v>0</v>
      </c>
      <c r="D27" s="905">
        <v>0.02</v>
      </c>
      <c r="E27" s="1120"/>
      <c r="F27" s="525">
        <f t="shared" si="1"/>
        <v>0</v>
      </c>
      <c r="G27" s="525">
        <f t="shared" si="0"/>
        <v>0</v>
      </c>
      <c r="H27" s="906" t="s">
        <v>163</v>
      </c>
      <c r="I27" s="3535"/>
      <c r="J27" s="3535"/>
      <c r="K27" s="3535"/>
      <c r="L27" s="3535"/>
      <c r="M27" s="908"/>
    </row>
    <row r="28" spans="1:13" s="502" customFormat="1" ht="18" customHeight="1">
      <c r="A28" s="3594"/>
      <c r="B28" s="904" t="s">
        <v>1273</v>
      </c>
      <c r="C28" s="525">
        <f t="shared" si="4"/>
        <v>0</v>
      </c>
      <c r="D28" s="905">
        <v>0.02</v>
      </c>
      <c r="E28" s="1120"/>
      <c r="F28" s="525">
        <f>G28-E28</f>
        <v>0</v>
      </c>
      <c r="G28" s="525">
        <f>IF(AND(C28*D28-E28&lt;3,C28*D28-E28&gt;-3),E28,ROUND(C28*D28,2))</f>
        <v>0</v>
      </c>
      <c r="H28" s="906" t="s">
        <v>164</v>
      </c>
      <c r="I28" s="3535"/>
      <c r="J28" s="3535"/>
      <c r="K28" s="3535"/>
      <c r="L28" s="3535"/>
      <c r="M28" s="908"/>
    </row>
    <row r="29" spans="1:13" s="502" customFormat="1" ht="18" customHeight="1">
      <c r="A29" s="3594"/>
      <c r="B29" s="904" t="s">
        <v>1273</v>
      </c>
      <c r="C29" s="525">
        <f t="shared" si="4"/>
        <v>0</v>
      </c>
      <c r="D29" s="905">
        <v>0.02</v>
      </c>
      <c r="E29" s="1120"/>
      <c r="F29" s="525">
        <f t="shared" si="1"/>
        <v>0</v>
      </c>
      <c r="G29" s="525">
        <f t="shared" si="0"/>
        <v>0</v>
      </c>
      <c r="H29" s="164" t="s">
        <v>165</v>
      </c>
      <c r="I29" s="3535"/>
      <c r="J29" s="3535"/>
      <c r="K29" s="3535"/>
      <c r="L29" s="3535"/>
      <c r="M29" s="908"/>
    </row>
    <row r="30" spans="1:13" s="502" customFormat="1" ht="18" customHeight="1">
      <c r="A30" s="3594"/>
      <c r="B30" s="904" t="s">
        <v>1273</v>
      </c>
      <c r="C30" s="525">
        <f t="shared" si="4"/>
        <v>0</v>
      </c>
      <c r="D30" s="905">
        <v>0.02</v>
      </c>
      <c r="E30" s="1120"/>
      <c r="F30" s="525">
        <f t="shared" si="1"/>
        <v>0</v>
      </c>
      <c r="G30" s="525">
        <f t="shared" si="0"/>
        <v>0</v>
      </c>
      <c r="H30" s="906" t="s">
        <v>166</v>
      </c>
      <c r="I30" s="3535"/>
      <c r="J30" s="3535"/>
      <c r="K30" s="3535"/>
      <c r="L30" s="3535"/>
      <c r="M30" s="908"/>
    </row>
    <row r="31" spans="1:13" s="502" customFormat="1" ht="18" customHeight="1">
      <c r="A31" s="3594"/>
      <c r="B31" s="904" t="s">
        <v>1273</v>
      </c>
      <c r="C31" s="525">
        <f t="shared" si="4"/>
        <v>0</v>
      </c>
      <c r="D31" s="905">
        <v>0.02</v>
      </c>
      <c r="E31" s="1120"/>
      <c r="F31" s="525">
        <f t="shared" si="1"/>
        <v>0</v>
      </c>
      <c r="G31" s="525">
        <f t="shared" si="0"/>
        <v>0</v>
      </c>
      <c r="H31" s="164" t="s">
        <v>167</v>
      </c>
      <c r="I31" s="3535"/>
      <c r="J31" s="3535"/>
      <c r="K31" s="3535"/>
      <c r="L31" s="3535"/>
      <c r="M31" s="908"/>
    </row>
    <row r="32" spans="1:13" s="502" customFormat="1" ht="18" customHeight="1">
      <c r="A32" s="3594"/>
      <c r="B32" s="904" t="s">
        <v>171</v>
      </c>
      <c r="C32" s="525">
        <f>收入与申报核对表!G15-收入与申报核对表!E15</f>
        <v>0</v>
      </c>
      <c r="D32" s="905">
        <v>0.03</v>
      </c>
      <c r="E32" s="1120"/>
      <c r="F32" s="525">
        <f t="shared" si="1"/>
        <v>0</v>
      </c>
      <c r="G32" s="525">
        <f t="shared" si="0"/>
        <v>0</v>
      </c>
      <c r="H32" s="906" t="s">
        <v>163</v>
      </c>
      <c r="I32" s="3535"/>
      <c r="J32" s="3535"/>
      <c r="K32" s="3535"/>
      <c r="L32" s="3535"/>
      <c r="M32" s="908"/>
    </row>
    <row r="33" spans="1:13" s="502" customFormat="1" ht="18" customHeight="1">
      <c r="A33" s="3594"/>
      <c r="B33" s="904" t="s">
        <v>171</v>
      </c>
      <c r="C33" s="525">
        <f>收入与申报核对表!G16-收入与申报核对表!E16</f>
        <v>0</v>
      </c>
      <c r="D33" s="905">
        <v>0.03</v>
      </c>
      <c r="E33" s="1120"/>
      <c r="F33" s="525">
        <f>G33-E33</f>
        <v>0</v>
      </c>
      <c r="G33" s="525">
        <f>IF(AND(C33*D33-E33&lt;3,C33*D33-E33&gt;-3),E33,ROUND(C33*D33,2))</f>
        <v>0</v>
      </c>
      <c r="H33" s="906" t="s">
        <v>164</v>
      </c>
      <c r="I33" s="3535"/>
      <c r="J33" s="3535"/>
      <c r="K33" s="3535"/>
      <c r="L33" s="3535"/>
      <c r="M33" s="908"/>
    </row>
    <row r="34" spans="1:13" s="502" customFormat="1" ht="18" customHeight="1">
      <c r="A34" s="3594"/>
      <c r="B34" s="904" t="s">
        <v>171</v>
      </c>
      <c r="C34" s="525">
        <f>收入与申报核对表!G20-收入与申报核对表!E20</f>
        <v>0</v>
      </c>
      <c r="D34" s="905">
        <v>0.03</v>
      </c>
      <c r="E34" s="1120"/>
      <c r="F34" s="525">
        <f t="shared" si="1"/>
        <v>0</v>
      </c>
      <c r="G34" s="525">
        <f t="shared" si="0"/>
        <v>0</v>
      </c>
      <c r="H34" s="906" t="s">
        <v>166</v>
      </c>
      <c r="I34" s="3535"/>
      <c r="J34" s="3535"/>
      <c r="K34" s="3535"/>
      <c r="L34" s="3535"/>
      <c r="M34" s="908"/>
    </row>
    <row r="35" spans="1:13" s="502" customFormat="1" ht="18" customHeight="1">
      <c r="A35" s="3594"/>
      <c r="B35" s="904" t="s">
        <v>1271</v>
      </c>
      <c r="C35" s="525">
        <f>纳税申报数据!D15-纳税申报数据!D16+纳税申报数据!D19-收入与申报核对表!K8</f>
        <v>0</v>
      </c>
      <c r="D35" s="905">
        <v>7.0000000000000007E-2</v>
      </c>
      <c r="E35" s="1120"/>
      <c r="F35" s="525">
        <f t="shared" si="1"/>
        <v>0</v>
      </c>
      <c r="G35" s="525">
        <f t="shared" si="0"/>
        <v>0</v>
      </c>
      <c r="H35" s="164" t="s">
        <v>172</v>
      </c>
      <c r="I35" s="3535"/>
      <c r="J35" s="3535"/>
      <c r="K35" s="3535"/>
      <c r="L35" s="3535"/>
      <c r="M35" s="908"/>
    </row>
    <row r="36" spans="1:13" s="502" customFormat="1" ht="18" customHeight="1">
      <c r="A36" s="3594"/>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94"/>
      <c r="B37" s="904" t="s">
        <v>1273</v>
      </c>
      <c r="C37" s="1683">
        <f>纳税申报数据!D15-纳税申报数据!D16+纳税申报数据!D19-收入与申报核对表!K8</f>
        <v>0</v>
      </c>
      <c r="D37" s="905">
        <v>0.02</v>
      </c>
      <c r="E37" s="1120"/>
      <c r="F37" s="525">
        <f t="shared" si="1"/>
        <v>0</v>
      </c>
      <c r="G37" s="525">
        <f t="shared" si="0"/>
        <v>0</v>
      </c>
      <c r="H37" s="164" t="s">
        <v>172</v>
      </c>
      <c r="I37" s="3216"/>
      <c r="J37" s="3216"/>
      <c r="K37" s="3216"/>
      <c r="L37" s="908"/>
      <c r="M37" s="908"/>
    </row>
    <row r="38" spans="1:13" s="502" customFormat="1" ht="18" customHeight="1">
      <c r="A38" s="3594"/>
      <c r="B38" s="904" t="s">
        <v>1271</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94"/>
      <c r="B39" s="904" t="s">
        <v>168</v>
      </c>
      <c r="C39" s="1683">
        <f>纳税申报数据!I23-纳税申报数据!I20-收入与申报核对表!K10</f>
        <v>0</v>
      </c>
      <c r="D39" s="905">
        <v>0.03</v>
      </c>
      <c r="E39" s="1120"/>
      <c r="F39" s="525">
        <f t="shared" si="1"/>
        <v>0</v>
      </c>
      <c r="G39" s="525">
        <f t="shared" si="0"/>
        <v>0</v>
      </c>
      <c r="H39" s="164" t="s">
        <v>173</v>
      </c>
      <c r="I39" s="3216"/>
      <c r="J39" s="3216"/>
      <c r="K39" s="3216"/>
      <c r="L39" s="908"/>
      <c r="M39" s="908"/>
    </row>
    <row r="40" spans="1:13" s="502" customFormat="1" ht="18" customHeight="1">
      <c r="A40" s="3594"/>
      <c r="B40" s="904" t="s">
        <v>1273</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94"/>
      <c r="B41" s="909"/>
      <c r="C41" s="1113"/>
      <c r="D41" s="910"/>
      <c r="E41" s="1122"/>
      <c r="F41" s="525">
        <f t="shared" si="1"/>
        <v>0</v>
      </c>
      <c r="G41" s="525">
        <f t="shared" si="0"/>
        <v>0</v>
      </c>
      <c r="H41" s="911"/>
      <c r="I41" s="3593"/>
      <c r="J41" s="3593"/>
      <c r="K41" s="144"/>
      <c r="L41" s="908"/>
      <c r="M41" s="908"/>
    </row>
    <row r="42" spans="1:13" s="502" customFormat="1" ht="18" customHeight="1">
      <c r="A42" s="3594"/>
      <c r="B42" s="2922" t="s">
        <v>174</v>
      </c>
      <c r="C42" s="2922"/>
      <c r="D42" s="2922"/>
      <c r="E42" s="823">
        <f>SUM(E8:E41)</f>
        <v>0</v>
      </c>
      <c r="F42" s="823">
        <f>SUM(F8:F41)</f>
        <v>0</v>
      </c>
      <c r="G42" s="823">
        <f>SUM(G8:G41)</f>
        <v>0</v>
      </c>
      <c r="H42" s="912"/>
      <c r="I42" s="144"/>
      <c r="J42" s="144"/>
      <c r="K42" s="144"/>
      <c r="L42" s="908"/>
      <c r="M42" s="908"/>
    </row>
    <row r="43" spans="1:13" s="502" customFormat="1" ht="18" customHeight="1">
      <c r="A43" s="3163" t="s">
        <v>641</v>
      </c>
      <c r="B43" s="3163"/>
      <c r="C43" s="3176" t="str">
        <f>IF(E42&lt;&gt;利润!C7,"税金及附加账载数与会计报表数相差"&amp;DOLLAR(E42-利润!C7,2)&amp;"元！","税金及附加账载数与会计报表数相符！")</f>
        <v>税金及附加账载数与会计报表数相符！</v>
      </c>
      <c r="D43" s="3176"/>
      <c r="E43" s="3176"/>
      <c r="F43" s="3176"/>
      <c r="G43" s="3176"/>
      <c r="H43" s="3176"/>
      <c r="I43" s="3216"/>
      <c r="J43" s="3216"/>
      <c r="K43" s="144"/>
      <c r="L43" s="908"/>
      <c r="M43" s="908"/>
    </row>
    <row r="44" spans="1:13" s="502" customFormat="1" ht="15" customHeight="1">
      <c r="A44" s="3595" t="s">
        <v>1323</v>
      </c>
      <c r="B44" s="3595"/>
      <c r="C44" s="3596" t="s">
        <v>175</v>
      </c>
      <c r="D44" s="3596"/>
      <c r="E44" s="3597" t="str">
        <f>IF(F42&lt;&gt;0,"、E","")</f>
        <v/>
      </c>
      <c r="F44" s="3597"/>
      <c r="G44" s="3597"/>
      <c r="H44" s="3597"/>
      <c r="I44" s="144"/>
      <c r="J44" s="144"/>
      <c r="K44" s="144"/>
      <c r="L44" s="144"/>
      <c r="M44" s="144"/>
    </row>
    <row r="45" spans="1:13" s="502" customFormat="1" ht="6.75" customHeight="1">
      <c r="A45" s="3595"/>
      <c r="B45" s="3595"/>
      <c r="C45" s="3598"/>
      <c r="D45" s="3181"/>
      <c r="E45" s="3181"/>
      <c r="F45" s="3181"/>
      <c r="G45" s="3181"/>
      <c r="H45" s="3181"/>
      <c r="I45" s="3216"/>
      <c r="J45" s="3216"/>
      <c r="K45" s="144"/>
      <c r="L45" s="144"/>
      <c r="M45" s="144"/>
    </row>
    <row r="46" spans="1:13" s="502" customFormat="1" ht="6.75" customHeight="1">
      <c r="A46" s="3595"/>
      <c r="B46" s="3595"/>
      <c r="C46" s="3181"/>
      <c r="D46" s="3181"/>
      <c r="E46" s="3181"/>
      <c r="F46" s="3181"/>
      <c r="G46" s="3181"/>
      <c r="H46" s="3181"/>
      <c r="I46" s="144"/>
      <c r="J46" s="144"/>
      <c r="K46" s="144"/>
      <c r="L46" s="144"/>
      <c r="M46" s="144"/>
    </row>
    <row r="47" spans="1:13" s="502" customFormat="1" ht="6.75" customHeight="1">
      <c r="A47" s="3595"/>
      <c r="B47" s="3595"/>
      <c r="C47" s="3181"/>
      <c r="D47" s="3181"/>
      <c r="E47" s="3181"/>
      <c r="F47" s="3181"/>
      <c r="G47" s="3181"/>
      <c r="H47" s="3181"/>
      <c r="I47" s="3216"/>
      <c r="J47" s="3216"/>
      <c r="K47" s="144"/>
      <c r="L47" s="144"/>
      <c r="M47" s="144"/>
    </row>
    <row r="48" spans="1:13" s="502" customFormat="1" ht="6.75" customHeight="1">
      <c r="A48" s="3595"/>
      <c r="B48" s="3595"/>
      <c r="C48" s="3181"/>
      <c r="D48" s="3181"/>
      <c r="E48" s="3181"/>
      <c r="F48" s="3181"/>
      <c r="G48" s="3181"/>
      <c r="H48" s="3181"/>
      <c r="I48" s="144"/>
      <c r="J48" s="144"/>
      <c r="K48" s="144"/>
      <c r="L48" s="144"/>
      <c r="M48" s="144"/>
    </row>
    <row r="49" spans="1:13" s="502" customFormat="1" ht="6.75" customHeight="1">
      <c r="A49" s="3595"/>
      <c r="B49" s="3595"/>
      <c r="C49" s="3181"/>
      <c r="D49" s="3181"/>
      <c r="E49" s="3181"/>
      <c r="F49" s="3181"/>
      <c r="G49" s="3181"/>
      <c r="H49" s="3181"/>
      <c r="I49" s="232"/>
      <c r="J49" s="144"/>
      <c r="K49" s="144"/>
      <c r="L49" s="144"/>
      <c r="M49" s="144"/>
    </row>
    <row r="50" spans="1:13" s="502" customFormat="1" ht="6.75" customHeight="1">
      <c r="A50" s="3595"/>
      <c r="B50" s="3595"/>
      <c r="C50" s="3181"/>
      <c r="D50" s="3181"/>
      <c r="E50" s="3181"/>
      <c r="F50" s="3181"/>
      <c r="G50" s="3181"/>
      <c r="H50" s="3181"/>
      <c r="I50" s="144"/>
      <c r="J50" s="144"/>
      <c r="K50" s="144"/>
      <c r="L50" s="144"/>
      <c r="M50" s="144"/>
    </row>
    <row r="51" spans="1:13" s="502" customFormat="1" ht="20.25" customHeight="1">
      <c r="A51" s="3178" t="s">
        <v>574</v>
      </c>
      <c r="B51" s="3178"/>
      <c r="C51" s="3157" t="str">
        <f>IF(F42=0,"税金计提正确，认可！","税金计提有误，账面数与应计提数相差"&amp;DOLLAR(F42,2)&amp;"！")</f>
        <v>税金计提正确，认可！</v>
      </c>
      <c r="D51" s="3157"/>
      <c r="E51" s="3157"/>
      <c r="F51" s="3157"/>
      <c r="G51" s="3157"/>
      <c r="H51" s="3157"/>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I45:J45"/>
    <mergeCell ref="I47:J47"/>
    <mergeCell ref="A51:B51"/>
    <mergeCell ref="A44:B50"/>
    <mergeCell ref="C44:D44"/>
    <mergeCell ref="E44:H44"/>
    <mergeCell ref="C45:H50"/>
    <mergeCell ref="C51:H51"/>
    <mergeCell ref="I39:K39"/>
    <mergeCell ref="I41:J41"/>
    <mergeCell ref="B42:D42"/>
    <mergeCell ref="I43:J43"/>
    <mergeCell ref="I24:L35"/>
    <mergeCell ref="I37:K37"/>
    <mergeCell ref="A43:B43"/>
    <mergeCell ref="A8:A42"/>
    <mergeCell ref="C43:H43"/>
    <mergeCell ref="A5:H5"/>
    <mergeCell ref="A6:A7"/>
    <mergeCell ref="B6:B7"/>
    <mergeCell ref="C6:C7"/>
    <mergeCell ref="D6:D7"/>
    <mergeCell ref="E6:G6"/>
    <mergeCell ref="H6:H7"/>
    <mergeCell ref="A1:H1"/>
    <mergeCell ref="I1:I4"/>
    <mergeCell ref="A2:C3"/>
    <mergeCell ref="G2:H2"/>
    <mergeCell ref="G3:H4"/>
    <mergeCell ref="A4:C4"/>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5.6"/>
  <cols>
    <col min="1" max="1" width="4.5" style="771" customWidth="1"/>
    <col min="2" max="2" width="13.3984375" style="771" customWidth="1"/>
    <col min="3" max="8" width="12.8984375" style="771" customWidth="1"/>
    <col min="9" max="9" width="39" customWidth="1"/>
  </cols>
  <sheetData>
    <row r="1" spans="1:13" ht="27.75" customHeight="1">
      <c r="A1" s="3600" t="s">
        <v>212</v>
      </c>
      <c r="B1" s="3600"/>
      <c r="C1" s="3600"/>
      <c r="D1" s="3600"/>
      <c r="E1" s="3600"/>
      <c r="F1" s="3600"/>
      <c r="G1" s="3600"/>
      <c r="H1" s="3600"/>
      <c r="I1" s="3590"/>
      <c r="J1" s="84"/>
      <c r="K1" s="84"/>
      <c r="L1" s="84"/>
      <c r="M1" s="84"/>
    </row>
    <row r="2" spans="1:13" s="649" customFormat="1" ht="15" customHeight="1">
      <c r="A2" s="3212" t="str">
        <f>"委托单位："&amp;基本情况!$B$2</f>
        <v>委托单位：0</v>
      </c>
      <c r="B2" s="3212"/>
      <c r="C2" s="3212"/>
      <c r="D2" s="569"/>
      <c r="E2" s="136" t="s">
        <v>9</v>
      </c>
      <c r="F2" s="136" t="s">
        <v>882</v>
      </c>
      <c r="G2" s="3591" t="s">
        <v>283</v>
      </c>
      <c r="H2" s="3591"/>
      <c r="I2" s="3590"/>
      <c r="J2" s="648"/>
      <c r="K2" s="648"/>
      <c r="L2" s="648"/>
      <c r="M2" s="648"/>
    </row>
    <row r="3" spans="1:13" s="649" customFormat="1" ht="15" customHeight="1">
      <c r="A3" s="3212"/>
      <c r="B3" s="3212"/>
      <c r="C3" s="3212"/>
      <c r="D3" s="158" t="s">
        <v>450</v>
      </c>
      <c r="E3" s="510">
        <f>基本情况!B12</f>
        <v>0</v>
      </c>
      <c r="F3" s="559" t="str">
        <f>TEXT(基本情况!B21,"yyyy-mm-dd")</f>
        <v>2017-03-16</v>
      </c>
      <c r="G3" s="3601" t="s">
        <v>213</v>
      </c>
      <c r="H3" s="3601"/>
      <c r="I3" s="3590"/>
      <c r="J3" s="648"/>
      <c r="K3" s="648"/>
      <c r="L3" s="648"/>
      <c r="M3" s="648"/>
    </row>
    <row r="4" spans="1:13" s="649" customFormat="1" ht="15" customHeight="1">
      <c r="A4" s="3592" t="str">
        <f>"会计期间："&amp;基本情况!$B$7</f>
        <v>会计期间：2016年01月01日至2016年12月31日</v>
      </c>
      <c r="B4" s="3592"/>
      <c r="C4" s="3592"/>
      <c r="D4" s="140" t="s">
        <v>452</v>
      </c>
      <c r="E4" s="513">
        <f>基本情况!B11</f>
        <v>0</v>
      </c>
      <c r="F4" s="513" t="str">
        <f>TEXT(基本情况!B22,"yyyy-mm-dd")</f>
        <v>2017-05-04</v>
      </c>
      <c r="G4" s="3601"/>
      <c r="H4" s="3601"/>
      <c r="I4" s="3590"/>
      <c r="J4" s="648"/>
      <c r="K4" s="648"/>
      <c r="L4" s="648"/>
      <c r="M4" s="648"/>
    </row>
    <row r="5" spans="1:13" s="502" customFormat="1" ht="6.75" customHeight="1">
      <c r="A5" s="3107"/>
      <c r="B5" s="3107"/>
      <c r="C5" s="3107"/>
      <c r="D5" s="3107"/>
      <c r="E5" s="3107"/>
      <c r="F5" s="3107"/>
      <c r="G5" s="3107"/>
      <c r="H5" s="3107"/>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455</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1270</v>
      </c>
      <c r="C9" s="1263">
        <f>SUM(主营税金!E8:E13)</f>
        <v>0</v>
      </c>
      <c r="D9" s="1245">
        <f>SUM(主营税金!G8:G13)+G9</f>
        <v>0</v>
      </c>
      <c r="E9" s="1246"/>
      <c r="F9" s="1245">
        <f t="shared" si="0"/>
        <v>0</v>
      </c>
      <c r="G9" s="1108"/>
      <c r="H9" s="164"/>
      <c r="I9" s="90" t="s">
        <v>395</v>
      </c>
      <c r="J9" s="144"/>
      <c r="K9" s="144"/>
      <c r="L9" s="144"/>
      <c r="M9" s="144"/>
    </row>
    <row r="10" spans="1:13" s="502" customFormat="1" ht="18" customHeight="1">
      <c r="A10" s="1271">
        <v>4</v>
      </c>
      <c r="B10" s="916" t="s">
        <v>1271</v>
      </c>
      <c r="C10" s="1264">
        <f>SUM(主营税金!E14:E19)+主营税金!E35+主营税金!E38</f>
        <v>0</v>
      </c>
      <c r="D10" s="1245">
        <f>SUM(主营税金!G14:G19)+主营税金!G35+主营税金!G38+G10</f>
        <v>0</v>
      </c>
      <c r="E10" s="1246"/>
      <c r="F10" s="1245">
        <f t="shared" si="0"/>
        <v>0</v>
      </c>
      <c r="G10" s="1108"/>
      <c r="H10" s="164"/>
      <c r="I10" s="232" t="s">
        <v>653</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1291</v>
      </c>
      <c r="J11" s="144"/>
      <c r="K11" s="144"/>
      <c r="L11" s="144"/>
      <c r="M11" s="144"/>
    </row>
    <row r="12" spans="1:13" s="502" customFormat="1" ht="18" customHeight="1">
      <c r="A12" s="1271">
        <v>6</v>
      </c>
      <c r="B12" s="916" t="s">
        <v>1273</v>
      </c>
      <c r="C12" s="1264">
        <f>SUM(主营税金!E26:E31)+主营税金!E37+主营税金!E40</f>
        <v>0</v>
      </c>
      <c r="D12" s="1245">
        <f>SUM(主营税金!G26:G31)+主营税金!G37+主营税金!G40+G12</f>
        <v>0</v>
      </c>
      <c r="E12" s="1246"/>
      <c r="F12" s="1245">
        <f t="shared" si="0"/>
        <v>0</v>
      </c>
      <c r="G12" s="1108"/>
      <c r="H12" s="164"/>
      <c r="I12" s="232" t="s">
        <v>1288</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1275</v>
      </c>
      <c r="C15" s="1265"/>
      <c r="D15" s="1245">
        <f ca="1">'A100000中华人民共和国企业所得税年度纳税申报表（A类）'!D34+G15</f>
        <v>0</v>
      </c>
      <c r="E15" s="1247">
        <f>纳税申报数据!K10</f>
        <v>0</v>
      </c>
      <c r="F15" s="1245">
        <f t="shared" ca="1" si="0"/>
        <v>0</v>
      </c>
      <c r="G15" s="1108"/>
      <c r="H15" s="164"/>
      <c r="I15" s="493" t="s">
        <v>648</v>
      </c>
      <c r="J15" s="144"/>
      <c r="K15" s="144"/>
      <c r="L15" s="144"/>
      <c r="M15" s="144"/>
    </row>
    <row r="16" spans="1:13" s="502" customFormat="1" ht="18" customHeight="1">
      <c r="A16" s="1271">
        <v>10</v>
      </c>
      <c r="B16" s="916" t="s">
        <v>1277</v>
      </c>
      <c r="C16" s="1263">
        <f>E50</f>
        <v>0</v>
      </c>
      <c r="D16" s="1245">
        <f>G50+G16</f>
        <v>0</v>
      </c>
      <c r="E16" s="1246"/>
      <c r="F16" s="1245">
        <f t="shared" si="0"/>
        <v>0</v>
      </c>
      <c r="G16" s="1108"/>
      <c r="H16" s="164"/>
      <c r="I16" s="493" t="s">
        <v>676</v>
      </c>
      <c r="J16" s="144"/>
      <c r="K16" s="144"/>
      <c r="L16" s="144"/>
      <c r="M16" s="144"/>
    </row>
    <row r="17" spans="1:13" s="502" customFormat="1" ht="18" customHeight="1">
      <c r="A17" s="1086">
        <v>11</v>
      </c>
      <c r="B17" s="916" t="s">
        <v>1279</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679</v>
      </c>
      <c r="J18" s="144"/>
      <c r="K18" s="144"/>
      <c r="L18" s="144"/>
      <c r="M18" s="144"/>
    </row>
    <row r="19" spans="1:13" s="502" customFormat="1" ht="18" customHeight="1">
      <c r="A19" s="1086">
        <v>13</v>
      </c>
      <c r="B19" s="916" t="s">
        <v>1278</v>
      </c>
      <c r="C19" s="1263">
        <f>E53</f>
        <v>0</v>
      </c>
      <c r="D19" s="1245">
        <f>G53+G19</f>
        <v>0</v>
      </c>
      <c r="E19" s="1246"/>
      <c r="F19" s="1245">
        <f t="shared" si="0"/>
        <v>0</v>
      </c>
      <c r="G19" s="1108"/>
      <c r="H19" s="164"/>
      <c r="I19" s="232" t="s">
        <v>642</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1274</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1276</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602" t="s">
        <v>1323</v>
      </c>
      <c r="B26" s="3602"/>
      <c r="C26" s="3603" t="s">
        <v>175</v>
      </c>
      <c r="D26" s="3603"/>
      <c r="E26" s="3603"/>
      <c r="F26" s="3603"/>
      <c r="G26" s="3604" t="str">
        <f ca="1">IF(F25&lt;&gt;0,"、E","")</f>
        <v/>
      </c>
      <c r="H26" s="3604"/>
      <c r="I26" s="493"/>
      <c r="J26" s="144"/>
      <c r="K26" s="144"/>
      <c r="L26" s="144"/>
      <c r="M26" s="144"/>
    </row>
    <row r="27" spans="1:13" s="502" customFormat="1" ht="18.75" customHeight="1">
      <c r="A27" s="3605" t="s">
        <v>574</v>
      </c>
      <c r="B27" s="3605"/>
      <c r="C27" s="3606" t="str">
        <f ca="1">IF(F25=0,"税金缴纳正确，认可！","税金计算缴纳有误，处理后认可！")</f>
        <v>税金缴纳正确，认可！</v>
      </c>
      <c r="D27" s="3607"/>
      <c r="E27" s="3607"/>
      <c r="F27" s="3607"/>
      <c r="G27" s="3607"/>
      <c r="H27" s="3608"/>
      <c r="I27" s="493"/>
      <c r="J27" s="144"/>
      <c r="K27" s="144"/>
      <c r="L27" s="144"/>
      <c r="M27" s="144"/>
    </row>
    <row r="28" spans="1:13" s="502" customFormat="1" ht="18" customHeight="1">
      <c r="A28" s="3599"/>
      <c r="B28" s="3599"/>
      <c r="C28" s="3599"/>
      <c r="D28" s="3599"/>
      <c r="E28" s="3599"/>
      <c r="F28" s="3599"/>
      <c r="G28" s="3599"/>
      <c r="H28" s="3599"/>
      <c r="I28" s="907"/>
      <c r="J28" s="144"/>
      <c r="K28" s="144"/>
      <c r="L28" s="144"/>
      <c r="M28" s="144"/>
    </row>
    <row r="29" spans="1:13" s="502" customFormat="1" ht="18" customHeight="1">
      <c r="A29" s="3611" t="s">
        <v>214</v>
      </c>
      <c r="B29" s="3611"/>
      <c r="C29" s="3611"/>
      <c r="D29" s="3611"/>
      <c r="E29" s="3611"/>
      <c r="F29" s="3611"/>
      <c r="G29" s="3611"/>
      <c r="H29" s="3611"/>
      <c r="I29" s="2292"/>
      <c r="J29" s="908"/>
      <c r="K29" s="908"/>
      <c r="L29" s="908"/>
      <c r="M29" s="908"/>
    </row>
    <row r="30" spans="1:13" s="502" customFormat="1" ht="15" customHeight="1">
      <c r="A30" s="3212" t="str">
        <f>"委托单位："&amp;基本情况!$B$2</f>
        <v>委托单位：0</v>
      </c>
      <c r="B30" s="3212"/>
      <c r="C30" s="3212"/>
      <c r="D30" s="569"/>
      <c r="E30" s="136" t="s">
        <v>9</v>
      </c>
      <c r="F30" s="136" t="s">
        <v>882</v>
      </c>
      <c r="G30" s="3591" t="s">
        <v>283</v>
      </c>
      <c r="H30" s="3591"/>
      <c r="I30" s="2292"/>
      <c r="J30" s="908"/>
      <c r="K30" s="908"/>
      <c r="L30" s="908"/>
      <c r="M30" s="908"/>
    </row>
    <row r="31" spans="1:13" s="502" customFormat="1" ht="15" customHeight="1">
      <c r="A31" s="3212"/>
      <c r="B31" s="3212"/>
      <c r="C31" s="3212"/>
      <c r="D31" s="158" t="s">
        <v>450</v>
      </c>
      <c r="E31" s="510">
        <f>基本情况!B12</f>
        <v>0</v>
      </c>
      <c r="F31" s="559" t="str">
        <f>TEXT(基本情况!B21,"yyyy-mm-dd")</f>
        <v>2017-03-16</v>
      </c>
      <c r="G31" s="3601" t="s">
        <v>215</v>
      </c>
      <c r="H31" s="3601"/>
      <c r="I31" s="2292"/>
      <c r="J31" s="908"/>
      <c r="K31" s="908"/>
      <c r="L31" s="908"/>
      <c r="M31" s="908"/>
    </row>
    <row r="32" spans="1:13" s="502" customFormat="1" ht="18" customHeight="1">
      <c r="A32" s="3592" t="str">
        <f>"会计期间："&amp;基本情况!$B$7</f>
        <v>会计期间：2016年01月01日至2016年12月31日</v>
      </c>
      <c r="B32" s="3592"/>
      <c r="C32" s="3592"/>
      <c r="D32" s="140" t="s">
        <v>452</v>
      </c>
      <c r="E32" s="513">
        <f>基本情况!B11</f>
        <v>0</v>
      </c>
      <c r="F32" s="513" t="str">
        <f>TEXT(基本情况!B22,"yyyy-mm-dd")</f>
        <v>2017-05-04</v>
      </c>
      <c r="G32" s="3601"/>
      <c r="H32" s="3601"/>
      <c r="I32" s="2292"/>
      <c r="J32" s="908"/>
      <c r="K32" s="908"/>
      <c r="L32" s="908"/>
      <c r="M32" s="908"/>
    </row>
    <row r="33" spans="1:13" s="502" customFormat="1" ht="6.75" customHeight="1">
      <c r="A33" s="3107"/>
      <c r="B33" s="3107"/>
      <c r="C33" s="3107"/>
      <c r="D33" s="3107"/>
      <c r="E33" s="3107"/>
      <c r="F33" s="3107"/>
      <c r="G33" s="3107"/>
      <c r="H33" s="3107"/>
      <c r="I33" s="2292"/>
      <c r="J33" s="908"/>
      <c r="K33" s="908"/>
      <c r="L33" s="908"/>
      <c r="M33" s="908"/>
    </row>
    <row r="34" spans="1:13" s="502" customFormat="1" ht="15" customHeight="1">
      <c r="A34" s="3609" t="s">
        <v>453</v>
      </c>
      <c r="B34" s="3610" t="s">
        <v>665</v>
      </c>
      <c r="C34" s="3612" t="s">
        <v>157</v>
      </c>
      <c r="D34" s="3610" t="s">
        <v>187</v>
      </c>
      <c r="E34" s="3610" t="s">
        <v>188</v>
      </c>
      <c r="F34" s="3610"/>
      <c r="G34" s="3610"/>
      <c r="H34" s="919" t="s">
        <v>455</v>
      </c>
      <c r="I34" s="2292"/>
      <c r="J34" s="908"/>
      <c r="K34" s="908"/>
      <c r="L34" s="908"/>
      <c r="M34" s="908"/>
    </row>
    <row r="35" spans="1:13" s="502" customFormat="1" ht="15" customHeight="1">
      <c r="A35" s="3609"/>
      <c r="B35" s="3610"/>
      <c r="C35" s="3612"/>
      <c r="D35" s="3610"/>
      <c r="E35" s="920" t="s">
        <v>160</v>
      </c>
      <c r="F35" s="921" t="s">
        <v>980</v>
      </c>
      <c r="G35" s="921" t="s">
        <v>502</v>
      </c>
      <c r="H35" s="922" t="s">
        <v>1634</v>
      </c>
      <c r="I35" s="2292"/>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2"/>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2"/>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216"/>
      <c r="J39" s="3216"/>
      <c r="K39" s="3216"/>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216"/>
      <c r="J41" s="3216"/>
      <c r="K41" s="3216"/>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93"/>
      <c r="J43" s="3593"/>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216"/>
      <c r="J45" s="3216"/>
      <c r="K45" s="144"/>
      <c r="L45" s="908"/>
      <c r="M45" s="908"/>
    </row>
    <row r="46" spans="1:13" s="502" customFormat="1" ht="13.8">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216"/>
      <c r="J47" s="3216"/>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ht="24">
      <c r="A49" s="1087"/>
      <c r="B49" s="927" t="s">
        <v>206</v>
      </c>
      <c r="C49" s="1252">
        <v>0</v>
      </c>
      <c r="D49" s="921" t="s">
        <v>204</v>
      </c>
      <c r="E49" s="1252">
        <v>0</v>
      </c>
      <c r="F49" s="1253">
        <f t="shared" si="1"/>
        <v>0</v>
      </c>
      <c r="G49" s="1254">
        <f>ROUND(C49*0.0005,2)+H49</f>
        <v>0</v>
      </c>
      <c r="H49" s="1187"/>
      <c r="I49" s="3216"/>
      <c r="J49" s="3216"/>
      <c r="K49" s="144"/>
      <c r="L49" s="144"/>
      <c r="M49" s="144"/>
    </row>
    <row r="50" spans="1:13" s="502" customFormat="1" ht="13.8">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3.8">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1278</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609" t="s">
        <v>964</v>
      </c>
      <c r="B56" s="3609"/>
      <c r="C56" s="3609"/>
      <c r="D56" s="936"/>
      <c r="E56" s="1257">
        <f>E36+E50+E53+E54+E55</f>
        <v>0</v>
      </c>
      <c r="F56" s="1257">
        <f>F36+F50+F53+F54+F55</f>
        <v>0</v>
      </c>
      <c r="G56" s="1257">
        <f>G36+G50+G53+G54+G55</f>
        <v>0</v>
      </c>
      <c r="H56" s="1189"/>
      <c r="I56" s="232"/>
      <c r="J56" s="144"/>
      <c r="K56" s="144"/>
    </row>
    <row r="57" spans="1:13" s="649" customFormat="1" ht="15" customHeight="1">
      <c r="A57" s="3617" t="s">
        <v>210</v>
      </c>
      <c r="B57" s="3617"/>
      <c r="C57" s="3618" t="s">
        <v>175</v>
      </c>
      <c r="D57" s="3618"/>
      <c r="E57" s="3618"/>
      <c r="F57" s="3619" t="str">
        <f>IF(F56&lt;&gt;0,"、E","")</f>
        <v/>
      </c>
      <c r="G57" s="3619"/>
      <c r="H57" s="3619"/>
      <c r="I57" s="232"/>
      <c r="J57" s="144"/>
      <c r="K57" s="144"/>
      <c r="L57" s="648"/>
      <c r="M57" s="648"/>
    </row>
    <row r="58" spans="1:13" s="649" customFormat="1" ht="15.75" customHeight="1">
      <c r="A58" s="3613" t="s">
        <v>211</v>
      </c>
      <c r="B58" s="3613"/>
      <c r="C58" s="3614" t="str">
        <f>IF(F56=0,"税金计算正确，认可！","税金计算有误，处理后认可！")</f>
        <v>税金计算正确，认可！</v>
      </c>
      <c r="D58" s="3615"/>
      <c r="E58" s="3615"/>
      <c r="F58" s="3615"/>
      <c r="G58" s="3615"/>
      <c r="H58" s="3616"/>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58:B58"/>
    <mergeCell ref="C58:H58"/>
    <mergeCell ref="I39:K39"/>
    <mergeCell ref="I41:K41"/>
    <mergeCell ref="I43:J43"/>
    <mergeCell ref="I45:J45"/>
    <mergeCell ref="I47:J47"/>
    <mergeCell ref="I49:J49"/>
    <mergeCell ref="A56:C56"/>
    <mergeCell ref="A57:B57"/>
    <mergeCell ref="C57:E57"/>
    <mergeCell ref="F57:H57"/>
    <mergeCell ref="A34:A35"/>
    <mergeCell ref="B34:B35"/>
    <mergeCell ref="A29:H29"/>
    <mergeCell ref="A30:C31"/>
    <mergeCell ref="G30:H30"/>
    <mergeCell ref="G31:H32"/>
    <mergeCell ref="E34:G34"/>
    <mergeCell ref="C34:C35"/>
    <mergeCell ref="D34:D35"/>
    <mergeCell ref="A33:H33"/>
    <mergeCell ref="A28:H28"/>
    <mergeCell ref="A32:C32"/>
    <mergeCell ref="A1:H1"/>
    <mergeCell ref="I1:I4"/>
    <mergeCell ref="A2:C3"/>
    <mergeCell ref="G2:H2"/>
    <mergeCell ref="G3:H4"/>
    <mergeCell ref="A4:C4"/>
    <mergeCell ref="A5:H5"/>
    <mergeCell ref="A26:B26"/>
    <mergeCell ref="C26:F26"/>
    <mergeCell ref="G26:H26"/>
    <mergeCell ref="A27:B27"/>
    <mergeCell ref="C27:H2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5.6"/>
  <cols>
    <col min="1" max="1" width="6" style="554" customWidth="1"/>
    <col min="2" max="2" width="18.3984375" style="554" customWidth="1"/>
    <col min="3" max="10" width="12.5" style="554" customWidth="1"/>
    <col min="11" max="11" width="23" style="554" customWidth="1"/>
    <col min="12" max="12" width="22.59765625" style="554" customWidth="1"/>
    <col min="13" max="16384" width="9" style="554"/>
  </cols>
  <sheetData>
    <row r="1" spans="1:15" s="944" customFormat="1" ht="33" customHeight="1">
      <c r="A1" s="2729" t="s">
        <v>316</v>
      </c>
      <c r="B1" s="2729"/>
      <c r="C1" s="2729"/>
      <c r="D1" s="2729"/>
      <c r="E1" s="2729"/>
      <c r="F1" s="2729"/>
      <c r="G1" s="2729"/>
      <c r="H1" s="2729"/>
      <c r="I1" s="2729"/>
      <c r="J1" s="2729"/>
      <c r="K1" s="3622"/>
      <c r="L1" s="943"/>
      <c r="M1" s="943"/>
      <c r="N1" s="943"/>
      <c r="O1" s="943"/>
    </row>
    <row r="2" spans="1:15" s="744" customFormat="1" ht="20.100000000000001" customHeight="1">
      <c r="A2" s="3046" t="s">
        <v>447</v>
      </c>
      <c r="B2" s="3046"/>
      <c r="C2" s="2919">
        <f>基本情况!B2</f>
        <v>0</v>
      </c>
      <c r="D2" s="2919"/>
      <c r="E2" s="2919"/>
      <c r="F2" s="2919"/>
      <c r="G2" s="825"/>
      <c r="H2" s="136" t="s">
        <v>1282</v>
      </c>
      <c r="I2" s="136" t="s">
        <v>1053</v>
      </c>
      <c r="J2" s="485" t="s">
        <v>283</v>
      </c>
      <c r="K2" s="3622"/>
      <c r="L2" s="743"/>
      <c r="M2" s="743"/>
      <c r="N2" s="743"/>
      <c r="O2" s="743"/>
    </row>
    <row r="3" spans="1:15" s="744" customFormat="1" ht="20.100000000000001" customHeight="1">
      <c r="A3" s="3046"/>
      <c r="B3" s="3046"/>
      <c r="C3" s="2919"/>
      <c r="D3" s="2919"/>
      <c r="E3" s="2919"/>
      <c r="F3" s="2919"/>
      <c r="G3" s="158" t="s">
        <v>450</v>
      </c>
      <c r="H3" s="510">
        <f>基本情况!B12</f>
        <v>0</v>
      </c>
      <c r="I3" s="559" t="str">
        <f>TEXT(基本情况!B21,"yyyy-mm-dd")</f>
        <v>2017-03-16</v>
      </c>
      <c r="J3" s="3103" t="str">
        <f>档案索引!D27</f>
        <v>3-6</v>
      </c>
      <c r="K3" s="3622"/>
      <c r="L3" s="743"/>
      <c r="M3" s="743"/>
      <c r="N3" s="743"/>
      <c r="O3" s="743"/>
    </row>
    <row r="4" spans="1:15" s="744" customFormat="1" ht="20.100000000000001" customHeight="1">
      <c r="A4" s="2926" t="s">
        <v>451</v>
      </c>
      <c r="B4" s="2926"/>
      <c r="C4" s="2921" t="str">
        <f>基本情况!B7</f>
        <v>2016年01月01日至2016年12月31日</v>
      </c>
      <c r="D4" s="2921"/>
      <c r="E4" s="2921"/>
      <c r="F4" s="2921"/>
      <c r="G4" s="140" t="s">
        <v>452</v>
      </c>
      <c r="H4" s="513">
        <f>基本情况!B11</f>
        <v>0</v>
      </c>
      <c r="I4" s="559" t="str">
        <f>TEXT(基本情况!B22,"yyyy-mm-dd")</f>
        <v>2017-05-04</v>
      </c>
      <c r="J4" s="3103"/>
      <c r="K4" s="3622"/>
      <c r="L4" s="743"/>
      <c r="M4" s="743"/>
      <c r="N4" s="743"/>
      <c r="O4" s="743"/>
    </row>
    <row r="5" spans="1:15" s="946" customFormat="1" ht="7.5" customHeight="1">
      <c r="A5" s="2916"/>
      <c r="B5" s="2916"/>
      <c r="C5" s="2916"/>
      <c r="D5" s="2916"/>
      <c r="E5" s="2916"/>
      <c r="F5" s="2916"/>
      <c r="G5" s="2916"/>
      <c r="H5" s="2916"/>
      <c r="I5" s="2916"/>
      <c r="J5" s="2916"/>
      <c r="K5" s="945"/>
      <c r="L5" s="945"/>
      <c r="M5" s="945"/>
      <c r="N5" s="945"/>
      <c r="O5" s="945"/>
    </row>
    <row r="6" spans="1:15" s="744" customFormat="1" ht="22.5" customHeight="1">
      <c r="A6" s="3043" t="s">
        <v>216</v>
      </c>
      <c r="B6" s="3043"/>
      <c r="C6" s="2920" t="s">
        <v>246</v>
      </c>
      <c r="D6" s="2920"/>
      <c r="E6" s="2920"/>
      <c r="F6" s="3079" t="s">
        <v>217</v>
      </c>
      <c r="G6" s="3079"/>
      <c r="H6" s="3079"/>
      <c r="I6" s="3079"/>
      <c r="J6" s="3079"/>
      <c r="K6" s="536" t="s">
        <v>395</v>
      </c>
      <c r="L6" s="743"/>
      <c r="M6" s="743"/>
      <c r="N6" s="743"/>
      <c r="O6" s="743"/>
    </row>
    <row r="7" spans="1:15" s="744" customFormat="1" ht="22.5" customHeight="1">
      <c r="A7" s="3043"/>
      <c r="B7" s="3043"/>
      <c r="C7" s="140" t="s">
        <v>218</v>
      </c>
      <c r="D7" s="140" t="s">
        <v>219</v>
      </c>
      <c r="E7" s="140" t="s">
        <v>220</v>
      </c>
      <c r="F7" s="140" t="s">
        <v>7169</v>
      </c>
      <c r="G7" s="140" t="s">
        <v>1295</v>
      </c>
      <c r="H7" s="140" t="s">
        <v>218</v>
      </c>
      <c r="I7" s="140" t="s">
        <v>219</v>
      </c>
      <c r="J7" s="947" t="s">
        <v>220</v>
      </c>
      <c r="K7" s="232" t="s">
        <v>653</v>
      </c>
      <c r="L7" s="743"/>
      <c r="M7" s="743"/>
      <c r="N7" s="743"/>
      <c r="O7" s="743"/>
    </row>
    <row r="8" spans="1:15" s="744" customFormat="1" ht="22.5" customHeight="1">
      <c r="A8" s="597" t="s">
        <v>100</v>
      </c>
      <c r="B8" s="1666" t="s">
        <v>5921</v>
      </c>
      <c r="C8" s="948">
        <f>收入与申报核对表!E8+收入与申报核对表!E10</f>
        <v>0</v>
      </c>
      <c r="D8" s="1161"/>
      <c r="E8" s="1795">
        <f>C8+D8</f>
        <v>0</v>
      </c>
      <c r="F8" s="1175"/>
      <c r="G8" s="1161"/>
      <c r="H8" s="773">
        <f>F8+G8</f>
        <v>0</v>
      </c>
      <c r="I8" s="1161"/>
      <c r="J8" s="774">
        <f>H8+I8</f>
        <v>0</v>
      </c>
      <c r="K8" s="232" t="s">
        <v>252</v>
      </c>
      <c r="L8" s="536"/>
      <c r="M8" s="743"/>
      <c r="N8" s="743"/>
      <c r="O8" s="743"/>
    </row>
    <row r="9" spans="1:15" s="744" customFormat="1" ht="22.5" customHeight="1">
      <c r="A9" s="1721"/>
      <c r="B9" s="1794" t="s">
        <v>6508</v>
      </c>
      <c r="C9" s="1726"/>
      <c r="D9" s="1726"/>
      <c r="E9" s="1723">
        <f>C9+D9</f>
        <v>0</v>
      </c>
      <c r="F9" s="2464"/>
      <c r="G9" s="1118"/>
      <c r="H9" s="1723">
        <f t="shared" ref="H9:H16" si="0">F9+G9</f>
        <v>0</v>
      </c>
      <c r="I9" s="1118"/>
      <c r="J9" s="699">
        <f t="shared" ref="J9:J17" si="1">H9+I9</f>
        <v>0</v>
      </c>
      <c r="K9" s="1725"/>
      <c r="L9" s="536"/>
      <c r="M9" s="743"/>
      <c r="N9" s="743"/>
      <c r="O9" s="743"/>
    </row>
    <row r="10" spans="1:15" s="744" customFormat="1" ht="22.5" customHeight="1">
      <c r="A10" s="506" t="s">
        <v>101</v>
      </c>
      <c r="B10" s="949" t="s">
        <v>5918</v>
      </c>
      <c r="C10" s="1649">
        <f>收入与申报核对表!E18</f>
        <v>0</v>
      </c>
      <c r="D10" s="1120"/>
      <c r="E10" s="525">
        <f t="shared" ref="E10:E16" si="2">C10+D10</f>
        <v>0</v>
      </c>
      <c r="F10" s="2463"/>
      <c r="G10" s="1120"/>
      <c r="H10" s="525">
        <f t="shared" si="0"/>
        <v>0</v>
      </c>
      <c r="I10" s="1120"/>
      <c r="J10" s="699">
        <f t="shared" si="1"/>
        <v>0</v>
      </c>
      <c r="K10" s="232" t="s">
        <v>673</v>
      </c>
      <c r="L10" s="536"/>
      <c r="M10" s="743"/>
      <c r="N10" s="743"/>
      <c r="O10" s="743"/>
    </row>
    <row r="11" spans="1:15" s="744" customFormat="1" ht="22.5" customHeight="1">
      <c r="A11" s="506" t="s">
        <v>102</v>
      </c>
      <c r="B11" s="949" t="s">
        <v>5919</v>
      </c>
      <c r="C11" s="1646"/>
      <c r="D11" s="1120"/>
      <c r="E11" s="525">
        <f t="shared" si="2"/>
        <v>0</v>
      </c>
      <c r="F11" s="2463"/>
      <c r="G11" s="1120"/>
      <c r="H11" s="525">
        <f t="shared" si="0"/>
        <v>0</v>
      </c>
      <c r="I11" s="1120"/>
      <c r="J11" s="699">
        <f t="shared" si="1"/>
        <v>0</v>
      </c>
      <c r="K11" s="493" t="s">
        <v>669</v>
      </c>
      <c r="L11" s="536"/>
      <c r="M11" s="743"/>
      <c r="N11" s="743"/>
      <c r="O11" s="743"/>
    </row>
    <row r="12" spans="1:15" s="744" customFormat="1" ht="22.5" customHeight="1">
      <c r="A12" s="1645" t="s">
        <v>5916</v>
      </c>
      <c r="B12" s="949" t="s">
        <v>5912</v>
      </c>
      <c r="C12" s="1649">
        <f>收入与申报核对表!E19</f>
        <v>0</v>
      </c>
      <c r="D12" s="1120"/>
      <c r="E12" s="525">
        <f t="shared" si="2"/>
        <v>0</v>
      </c>
      <c r="F12" s="2463"/>
      <c r="G12" s="1120"/>
      <c r="H12" s="525">
        <f t="shared" si="0"/>
        <v>0</v>
      </c>
      <c r="I12" s="1120"/>
      <c r="J12" s="699">
        <f t="shared" si="1"/>
        <v>0</v>
      </c>
      <c r="K12" s="493" t="s">
        <v>72</v>
      </c>
      <c r="L12" s="536"/>
      <c r="M12" s="743"/>
      <c r="N12" s="743"/>
      <c r="O12" s="743"/>
    </row>
    <row r="13" spans="1:15" s="744" customFormat="1" ht="22.5" customHeight="1">
      <c r="A13" s="1645" t="s">
        <v>5920</v>
      </c>
      <c r="B13" s="949" t="s">
        <v>5922</v>
      </c>
      <c r="C13" s="1646"/>
      <c r="D13" s="1120"/>
      <c r="E13" s="525">
        <f t="shared" si="2"/>
        <v>0</v>
      </c>
      <c r="F13" s="2463"/>
      <c r="G13" s="1120"/>
      <c r="H13" s="525">
        <f t="shared" si="0"/>
        <v>0</v>
      </c>
      <c r="I13" s="1120"/>
      <c r="J13" s="699">
        <f t="shared" si="1"/>
        <v>0</v>
      </c>
      <c r="K13" s="232" t="s">
        <v>642</v>
      </c>
      <c r="L13" s="743"/>
      <c r="M13" s="743"/>
      <c r="N13" s="743"/>
      <c r="O13" s="743"/>
    </row>
    <row r="14" spans="1:15" s="744" customFormat="1" ht="22.5" customHeight="1">
      <c r="A14" s="3620" t="s">
        <v>7168</v>
      </c>
      <c r="B14" s="733"/>
      <c r="C14" s="1120"/>
      <c r="D14" s="1120"/>
      <c r="E14" s="525">
        <f t="shared" si="2"/>
        <v>0</v>
      </c>
      <c r="F14" s="2463"/>
      <c r="G14" s="1120"/>
      <c r="H14" s="525">
        <f t="shared" si="0"/>
        <v>0</v>
      </c>
      <c r="I14" s="1120"/>
      <c r="J14" s="699">
        <f t="shared" si="1"/>
        <v>0</v>
      </c>
      <c r="K14" s="493" t="s">
        <v>676</v>
      </c>
      <c r="L14" s="743"/>
      <c r="M14" s="743"/>
      <c r="N14" s="743"/>
      <c r="O14" s="743"/>
    </row>
    <row r="15" spans="1:15" s="744" customFormat="1" ht="22.5" customHeight="1">
      <c r="A15" s="3621"/>
      <c r="B15" s="733"/>
      <c r="C15" s="1120"/>
      <c r="D15" s="1120"/>
      <c r="E15" s="525">
        <f t="shared" si="2"/>
        <v>0</v>
      </c>
      <c r="F15" s="1120"/>
      <c r="G15" s="1120"/>
      <c r="H15" s="525">
        <f t="shared" si="0"/>
        <v>0</v>
      </c>
      <c r="I15" s="1120"/>
      <c r="J15" s="699">
        <f t="shared" si="1"/>
        <v>0</v>
      </c>
      <c r="K15" s="493" t="s">
        <v>956</v>
      </c>
      <c r="L15" s="743"/>
      <c r="M15" s="743"/>
      <c r="N15" s="743"/>
      <c r="O15" s="743"/>
    </row>
    <row r="16" spans="1:15" s="744" customFormat="1" ht="22.5" customHeight="1">
      <c r="A16" s="3621"/>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94"/>
      <c r="B17" s="696" t="s">
        <v>221</v>
      </c>
      <c r="C17" s="1647">
        <f>SUM(C14:C16)</f>
        <v>0</v>
      </c>
      <c r="D17" s="1647">
        <f>SUM(D14:D16)</f>
        <v>0</v>
      </c>
      <c r="E17" s="823">
        <f>SUM(E14:E16)</f>
        <v>0</v>
      </c>
      <c r="F17" s="823">
        <f>SUM(F12:F16)</f>
        <v>0</v>
      </c>
      <c r="G17" s="823">
        <f>SUM(G12:G16)</f>
        <v>0</v>
      </c>
      <c r="H17" s="823">
        <f>SUM(H12:H16)</f>
        <v>0</v>
      </c>
      <c r="I17" s="823">
        <f>SUM(I12:I16)</f>
        <v>0</v>
      </c>
      <c r="J17" s="596">
        <f t="shared" si="1"/>
        <v>0</v>
      </c>
      <c r="K17" s="3112" t="s">
        <v>904</v>
      </c>
      <c r="L17" s="3112"/>
      <c r="M17" s="3112"/>
      <c r="N17" s="3112"/>
      <c r="O17" s="3112"/>
    </row>
    <row r="18" spans="1:15" s="744" customFormat="1" ht="22.5" customHeight="1">
      <c r="A18" s="3043" t="s">
        <v>702</v>
      </c>
      <c r="B18" s="3043"/>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112"/>
      <c r="L18" s="3112"/>
      <c r="M18" s="3112"/>
      <c r="N18" s="3112"/>
      <c r="O18" s="3112"/>
    </row>
    <row r="19" spans="1:15" s="744" customFormat="1" ht="22.5" customHeight="1">
      <c r="A19" s="3043" t="s">
        <v>905</v>
      </c>
      <c r="B19" s="3043"/>
      <c r="C19" s="3043"/>
      <c r="D19" s="3043"/>
      <c r="E19" s="582" t="s">
        <v>218</v>
      </c>
      <c r="F19" s="590">
        <f>C18-H18</f>
        <v>0</v>
      </c>
      <c r="G19" s="582" t="s">
        <v>219</v>
      </c>
      <c r="H19" s="590">
        <f>D18-I18</f>
        <v>0</v>
      </c>
      <c r="I19" s="582" t="s">
        <v>220</v>
      </c>
      <c r="J19" s="533">
        <f>F19+H19</f>
        <v>0</v>
      </c>
      <c r="K19" s="3112"/>
      <c r="L19" s="3112"/>
      <c r="M19" s="3112"/>
      <c r="N19" s="3112"/>
      <c r="O19" s="3112"/>
    </row>
    <row r="20" spans="1:15" s="744" customFormat="1" ht="22.5" customHeight="1">
      <c r="A20" s="3624" t="s">
        <v>641</v>
      </c>
      <c r="B20" s="3625"/>
      <c r="C20" s="3623" t="str">
        <f>IF($C$18+主营收支!$H$20&lt;&gt;利润!$C$5,"营业收入账载数与报表数相差"&amp;DOLLAR($C$18+主营收支!$H$20-利润!$C$5,2)&amp;"元！","营业收入账载数与报表数相符！")</f>
        <v>营业收入账载数与报表数相符！</v>
      </c>
      <c r="D20" s="3623"/>
      <c r="E20" s="3623"/>
      <c r="F20" s="3623"/>
      <c r="G20" s="3623"/>
      <c r="H20" s="3623"/>
      <c r="I20" s="3623"/>
      <c r="J20" s="3623"/>
      <c r="K20" s="3112"/>
      <c r="L20" s="3112"/>
      <c r="M20" s="3112"/>
      <c r="N20" s="3112"/>
      <c r="O20" s="3112"/>
    </row>
    <row r="21" spans="1:15" s="744" customFormat="1" ht="22.5" customHeight="1">
      <c r="A21" s="3626"/>
      <c r="B21" s="3627"/>
      <c r="C21" s="3628" t="str">
        <f>IF($H$18+主营收支!$H$37&lt;&gt;利润!$C$6,"营业成本账载数与报表数相差"&amp;DOLLAR($H$18+主营收支!$H$37-利润!$C$6,2)&amp;"元！","营业成本账载数与报表数相符！")</f>
        <v>营业成本账载数与报表数相符！</v>
      </c>
      <c r="D21" s="3629"/>
      <c r="E21" s="3629"/>
      <c r="F21" s="3629"/>
      <c r="G21" s="3629"/>
      <c r="H21" s="3629"/>
      <c r="I21" s="3629"/>
      <c r="J21" s="3630"/>
      <c r="K21" s="3112"/>
      <c r="L21" s="3112"/>
      <c r="M21" s="3112"/>
      <c r="N21" s="3112"/>
      <c r="O21" s="3112"/>
    </row>
    <row r="22" spans="1:15" s="130" customFormat="1" ht="15" customHeight="1">
      <c r="A22" s="3595" t="s">
        <v>1323</v>
      </c>
      <c r="B22" s="3595"/>
      <c r="C22" s="3632" t="s">
        <v>1644</v>
      </c>
      <c r="D22" s="3632"/>
      <c r="E22" s="3631" t="str">
        <f>IF(OR(D18&lt;&gt;0,I18&lt;&gt;0),"、E","")</f>
        <v/>
      </c>
      <c r="F22" s="3631"/>
      <c r="G22" s="3631"/>
      <c r="H22" s="3631"/>
      <c r="I22" s="3631"/>
      <c r="J22" s="3631"/>
      <c r="K22" s="3112"/>
      <c r="L22" s="3112"/>
      <c r="M22" s="3112"/>
      <c r="N22" s="3112"/>
      <c r="O22" s="3112"/>
    </row>
    <row r="23" spans="1:15" s="130" customFormat="1" ht="22.5" customHeight="1">
      <c r="A23" s="3595"/>
      <c r="B23" s="3595"/>
      <c r="C23" s="3633"/>
      <c r="D23" s="3633"/>
      <c r="E23" s="3633"/>
      <c r="F23" s="3633"/>
      <c r="G23" s="3633"/>
      <c r="H23" s="3633"/>
      <c r="I23" s="3633"/>
      <c r="J23" s="3633"/>
      <c r="K23" s="3112"/>
      <c r="L23" s="3112"/>
      <c r="M23" s="3112"/>
      <c r="N23" s="3112"/>
      <c r="O23" s="3112"/>
    </row>
    <row r="24" spans="1:15" s="130" customFormat="1" ht="9" customHeight="1">
      <c r="A24" s="3595"/>
      <c r="B24" s="3595"/>
      <c r="C24" s="3633"/>
      <c r="D24" s="3633"/>
      <c r="E24" s="3633"/>
      <c r="F24" s="3633"/>
      <c r="G24" s="3633"/>
      <c r="H24" s="3633"/>
      <c r="I24" s="3633"/>
      <c r="J24" s="3633"/>
      <c r="K24" s="3112"/>
      <c r="L24" s="3112"/>
      <c r="M24" s="3112"/>
      <c r="N24" s="3112"/>
      <c r="O24" s="3112"/>
    </row>
    <row r="25" spans="1:15" s="130" customFormat="1" ht="22.5" customHeight="1">
      <c r="A25" s="3594" t="s">
        <v>574</v>
      </c>
      <c r="B25" s="3594"/>
      <c r="C25" s="3157" t="str">
        <f>IF(OR(D18&lt;&gt;0,I18&lt;&gt;0),"调整后认可！","不存在调整事项，认可！")</f>
        <v>不存在调整事项，认可！</v>
      </c>
      <c r="D25" s="3157"/>
      <c r="E25" s="3157"/>
      <c r="F25" s="3157"/>
      <c r="G25" s="3157"/>
      <c r="H25" s="3157"/>
      <c r="I25" s="3157"/>
      <c r="J25" s="3157"/>
      <c r="K25" s="3112"/>
      <c r="L25" s="3112"/>
      <c r="M25" s="3112"/>
      <c r="N25" s="3112"/>
      <c r="O25" s="3112"/>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20:B21"/>
    <mergeCell ref="C21:J21"/>
    <mergeCell ref="E22:J22"/>
    <mergeCell ref="A25:B25"/>
    <mergeCell ref="C25:J25"/>
    <mergeCell ref="A22:B24"/>
    <mergeCell ref="C22:D22"/>
    <mergeCell ref="C23:J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5.6"/>
  <cols>
    <col min="1" max="1" width="6" style="954" customWidth="1"/>
    <col min="2" max="2" width="4.19921875" style="954" customWidth="1"/>
    <col min="3" max="3" width="26.3984375" style="771" customWidth="1"/>
    <col min="4" max="4" width="8" style="771" customWidth="1"/>
    <col min="5" max="5" width="9.59765625" style="771" customWidth="1"/>
    <col min="6" max="8" width="14.09765625" style="771" customWidth="1"/>
    <col min="9" max="9" width="30.19921875" customWidth="1"/>
    <col min="10" max="10" width="18" customWidth="1"/>
  </cols>
  <sheetData>
    <row r="1" spans="1:14" ht="29.25" customHeight="1">
      <c r="A1" s="3101" t="s">
        <v>320</v>
      </c>
      <c r="B1" s="3101"/>
      <c r="C1" s="3101"/>
      <c r="D1" s="3101"/>
      <c r="E1" s="3101"/>
      <c r="F1" s="3101"/>
      <c r="G1" s="3101"/>
      <c r="H1" s="3101"/>
      <c r="I1" s="3590"/>
      <c r="J1" s="84"/>
      <c r="K1" s="84"/>
      <c r="L1" s="84"/>
    </row>
    <row r="2" spans="1:14" ht="21.75" customHeight="1">
      <c r="A2" s="3046" t="s">
        <v>447</v>
      </c>
      <c r="B2" s="3046"/>
      <c r="C2" s="955">
        <f>基本情况!$B$2</f>
        <v>0</v>
      </c>
      <c r="D2" s="3635" t="s">
        <v>450</v>
      </c>
      <c r="E2" s="3636"/>
      <c r="F2" s="1801">
        <f>基本情况!B12</f>
        <v>0</v>
      </c>
      <c r="G2" s="644" t="str">
        <f>TEXT(基本情况!B21,"yyyy-mm-dd")</f>
        <v>2017-03-16</v>
      </c>
      <c r="H2" s="485" t="s">
        <v>283</v>
      </c>
      <c r="I2" s="3590"/>
      <c r="J2" s="84"/>
      <c r="K2" s="84"/>
      <c r="L2" s="84"/>
    </row>
    <row r="3" spans="1:14" ht="21.75" customHeight="1">
      <c r="A3" s="3169" t="s">
        <v>451</v>
      </c>
      <c r="B3" s="3169"/>
      <c r="C3" s="958" t="str">
        <f>基本情况!$B$7</f>
        <v>2016年01月01日至2016年12月31日</v>
      </c>
      <c r="D3" s="3637" t="s">
        <v>452</v>
      </c>
      <c r="E3" s="3638"/>
      <c r="F3" s="960">
        <f>基本情况!B11</f>
        <v>0</v>
      </c>
      <c r="G3" s="1799" t="str">
        <f>TEXT(基本情况!B22,"yyyy-mm-dd")</f>
        <v>2017-05-04</v>
      </c>
      <c r="H3" s="961" t="str">
        <f>档案索引!D28</f>
        <v>3-7</v>
      </c>
      <c r="I3" s="3590"/>
      <c r="J3" s="84"/>
      <c r="K3" s="84"/>
      <c r="L3" s="84"/>
    </row>
    <row r="4" spans="1:14" ht="6.75" customHeight="1">
      <c r="A4" s="2916"/>
      <c r="B4" s="2916"/>
      <c r="C4" s="2916"/>
      <c r="D4" s="2916"/>
      <c r="E4" s="2916"/>
      <c r="F4" s="2916"/>
      <c r="G4" s="2916"/>
      <c r="H4" s="2916"/>
      <c r="I4" s="3590"/>
      <c r="J4" s="84"/>
      <c r="K4" s="84"/>
      <c r="L4" s="84"/>
    </row>
    <row r="5" spans="1:14" ht="21.75" customHeight="1">
      <c r="A5" s="3043" t="s">
        <v>645</v>
      </c>
      <c r="B5" s="3043"/>
      <c r="C5" s="582" t="s">
        <v>665</v>
      </c>
      <c r="D5" s="3044" t="s">
        <v>1181</v>
      </c>
      <c r="E5" s="3044"/>
      <c r="F5" s="582" t="s">
        <v>906</v>
      </c>
      <c r="G5" s="779" t="s">
        <v>6510</v>
      </c>
      <c r="H5" s="772" t="s">
        <v>502</v>
      </c>
      <c r="I5" s="962" t="s">
        <v>395</v>
      </c>
      <c r="J5" s="812"/>
      <c r="K5" s="84"/>
      <c r="L5" s="84"/>
    </row>
    <row r="6" spans="1:14" ht="16.5" customHeight="1">
      <c r="A6" s="3175">
        <v>1</v>
      </c>
      <c r="B6" s="3175"/>
      <c r="C6" s="963" t="s">
        <v>907</v>
      </c>
      <c r="D6" s="3634">
        <f>SUMIF(余额表!J:J,"销售费用-"&amp;C6,余额表!E:E)</f>
        <v>0</v>
      </c>
      <c r="E6" s="3634"/>
      <c r="F6" s="1118"/>
      <c r="G6" s="1800"/>
      <c r="H6" s="967">
        <f>D6+F6</f>
        <v>0</v>
      </c>
      <c r="I6" s="575" t="s">
        <v>75</v>
      </c>
      <c r="J6" s="84"/>
      <c r="K6" s="84"/>
      <c r="L6" s="84"/>
    </row>
    <row r="7" spans="1:14" ht="16.5" customHeight="1">
      <c r="A7" s="2925">
        <v>2</v>
      </c>
      <c r="B7" s="2925"/>
      <c r="C7" s="494" t="s">
        <v>908</v>
      </c>
      <c r="D7" s="3639">
        <f>SUMIF(余额表!J:J,"销售费用-"&amp;C7,余额表!E:E)</f>
        <v>0</v>
      </c>
      <c r="E7" s="3640"/>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642</v>
      </c>
      <c r="J7" s="84"/>
      <c r="K7" s="84"/>
      <c r="L7" s="84"/>
    </row>
    <row r="8" spans="1:14" ht="16.5" customHeight="1">
      <c r="A8" s="2925">
        <v>3</v>
      </c>
      <c r="B8" s="2925"/>
      <c r="C8" s="494" t="s">
        <v>909</v>
      </c>
      <c r="D8" s="3639">
        <f>SUMIF(余额表!J:J,"销售费用-"&amp;C8,余额表!E:E)</f>
        <v>0</v>
      </c>
      <c r="E8" s="3640"/>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1291</v>
      </c>
      <c r="J8" s="84"/>
      <c r="K8" s="84"/>
      <c r="L8" s="84"/>
    </row>
    <row r="9" spans="1:14" ht="16.5" customHeight="1">
      <c r="A9" s="2925">
        <v>4</v>
      </c>
      <c r="B9" s="2925"/>
      <c r="C9" s="494" t="s">
        <v>910</v>
      </c>
      <c r="D9" s="3639">
        <f>SUMIF(余额表!J:J,"销售费用-"&amp;C9,余额表!E:E)</f>
        <v>0</v>
      </c>
      <c r="E9" s="3640"/>
      <c r="F9" s="1120"/>
      <c r="G9" s="1200"/>
      <c r="H9" s="699">
        <f t="shared" si="0"/>
        <v>0</v>
      </c>
      <c r="I9" s="575" t="s">
        <v>619</v>
      </c>
      <c r="J9" s="84"/>
      <c r="K9" s="84"/>
      <c r="L9" s="84"/>
    </row>
    <row r="10" spans="1:14" ht="16.5" customHeight="1">
      <c r="A10" s="2925">
        <v>5</v>
      </c>
      <c r="B10" s="2925"/>
      <c r="C10" s="494" t="s">
        <v>911</v>
      </c>
      <c r="D10" s="3639">
        <f>SUMIF(余额表!J:J,"销售费用-"&amp;C10,余额表!E:E)</f>
        <v>0</v>
      </c>
      <c r="E10" s="3640"/>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1259</v>
      </c>
      <c r="J10" s="84"/>
      <c r="K10" s="84"/>
      <c r="L10" s="84"/>
    </row>
    <row r="11" spans="1:14" ht="16.5" customHeight="1">
      <c r="A11" s="2925">
        <v>6</v>
      </c>
      <c r="B11" s="2925"/>
      <c r="C11" s="494" t="s">
        <v>912</v>
      </c>
      <c r="D11" s="3639">
        <f>SUMIF(余额表!J:J,"销售费用-"&amp;C11,余额表!E:E)</f>
        <v>0</v>
      </c>
      <c r="E11" s="3640"/>
      <c r="F11" s="1120"/>
      <c r="G11" s="1200"/>
      <c r="H11" s="699">
        <f t="shared" si="0"/>
        <v>0</v>
      </c>
      <c r="I11" s="232" t="s">
        <v>879</v>
      </c>
      <c r="J11" s="84"/>
      <c r="K11" s="84"/>
      <c r="L11" s="84"/>
    </row>
    <row r="12" spans="1:14" ht="16.5" customHeight="1">
      <c r="A12" s="2925">
        <v>7</v>
      </c>
      <c r="B12" s="2925"/>
      <c r="C12" s="494" t="s">
        <v>913</v>
      </c>
      <c r="D12" s="3639">
        <f>SUMIF(余额表!J:J,"销售费用-"&amp;C12,余额表!E:E)</f>
        <v>0</v>
      </c>
      <c r="E12" s="3640"/>
      <c r="F12" s="1120"/>
      <c r="G12" s="1200"/>
      <c r="H12" s="699">
        <f t="shared" si="0"/>
        <v>0</v>
      </c>
      <c r="I12" s="575" t="s">
        <v>85</v>
      </c>
      <c r="J12" s="84"/>
      <c r="K12" s="84"/>
      <c r="L12" s="84"/>
    </row>
    <row r="13" spans="1:14" ht="16.5" customHeight="1">
      <c r="A13" s="2925">
        <v>8</v>
      </c>
      <c r="B13" s="2925"/>
      <c r="C13" s="494" t="s">
        <v>1480</v>
      </c>
      <c r="D13" s="3639">
        <f>SUMIF(余额表!J:J,"销售费用-"&amp;C13,余额表!E:E)</f>
        <v>0</v>
      </c>
      <c r="E13" s="3640"/>
      <c r="F13" s="1120"/>
      <c r="G13" s="1200"/>
      <c r="H13" s="699">
        <f t="shared" si="0"/>
        <v>0</v>
      </c>
      <c r="I13" s="232" t="s">
        <v>1155</v>
      </c>
      <c r="J13" s="84"/>
      <c r="K13" s="84"/>
      <c r="L13" s="84"/>
    </row>
    <row r="14" spans="1:14" ht="16.5" customHeight="1">
      <c r="A14" s="2925">
        <v>9</v>
      </c>
      <c r="B14" s="2925"/>
      <c r="C14" s="790" t="s">
        <v>914</v>
      </c>
      <c r="D14" s="3639">
        <f>SUMIF(余额表!J:J,"销售费用-"&amp;C14,余额表!E:E)</f>
        <v>0</v>
      </c>
      <c r="E14" s="3640"/>
      <c r="F14" s="1120"/>
      <c r="G14" s="1200"/>
      <c r="H14" s="699">
        <f t="shared" si="0"/>
        <v>0</v>
      </c>
      <c r="I14" s="232" t="s">
        <v>915</v>
      </c>
      <c r="J14" s="84"/>
      <c r="K14" s="84"/>
      <c r="L14" s="84"/>
    </row>
    <row r="15" spans="1:14" ht="16.5" customHeight="1">
      <c r="A15" s="2925">
        <v>10</v>
      </c>
      <c r="B15" s="2925"/>
      <c r="C15" s="494" t="s">
        <v>571</v>
      </c>
      <c r="D15" s="3639">
        <f>SUMIF(余额表!J:J,"销售费用-"&amp;C15,余额表!E:E)</f>
        <v>0</v>
      </c>
      <c r="E15" s="3640"/>
      <c r="F15" s="1120"/>
      <c r="G15" s="1200"/>
      <c r="H15" s="699">
        <f t="shared" si="0"/>
        <v>0</v>
      </c>
      <c r="I15" s="232" t="s">
        <v>916</v>
      </c>
      <c r="J15" s="84"/>
      <c r="K15" s="84"/>
      <c r="L15" s="84"/>
      <c r="M15" s="673"/>
      <c r="N15" s="673"/>
    </row>
    <row r="16" spans="1:14" ht="16.5" customHeight="1">
      <c r="A16" s="2925">
        <v>11</v>
      </c>
      <c r="B16" s="2925"/>
      <c r="C16" s="494" t="s">
        <v>917</v>
      </c>
      <c r="D16" s="3639">
        <f>SUMIF(余额表!J:J,"销售费用-"&amp;C16,余额表!E:E)</f>
        <v>0</v>
      </c>
      <c r="E16" s="3640"/>
      <c r="F16" s="1120"/>
      <c r="G16" s="1200"/>
      <c r="H16" s="699">
        <f t="shared" si="0"/>
        <v>0</v>
      </c>
      <c r="I16" s="232" t="s">
        <v>918</v>
      </c>
      <c r="J16" s="84"/>
      <c r="K16" s="84"/>
      <c r="L16" s="84"/>
      <c r="M16" s="673"/>
      <c r="N16" s="673"/>
    </row>
    <row r="17" spans="1:14" ht="16.5" customHeight="1">
      <c r="A17" s="2925">
        <v>12</v>
      </c>
      <c r="B17" s="2925"/>
      <c r="C17" s="494" t="s">
        <v>919</v>
      </c>
      <c r="D17" s="3639">
        <f>SUMIF(余额表!J:J,"销售费用-"&amp;C17,余额表!E:E)</f>
        <v>0</v>
      </c>
      <c r="E17" s="3640"/>
      <c r="F17" s="1120"/>
      <c r="G17" s="1200"/>
      <c r="H17" s="699">
        <f t="shared" si="0"/>
        <v>0</v>
      </c>
      <c r="I17" s="2032" t="s">
        <v>6596</v>
      </c>
      <c r="J17" s="84"/>
      <c r="K17" s="84"/>
      <c r="L17" s="84"/>
      <c r="M17" s="673"/>
      <c r="N17" s="673"/>
    </row>
    <row r="18" spans="1:14" ht="16.5" customHeight="1">
      <c r="A18" s="2925">
        <v>13</v>
      </c>
      <c r="B18" s="2925"/>
      <c r="C18" s="494" t="s">
        <v>920</v>
      </c>
      <c r="D18" s="3639">
        <f>SUMIF(余额表!J:J,"销售费用-"&amp;C18,余额表!E:E)</f>
        <v>0</v>
      </c>
      <c r="E18" s="3640"/>
      <c r="F18" s="1120"/>
      <c r="G18" s="1200"/>
      <c r="H18" s="699">
        <f t="shared" si="0"/>
        <v>0</v>
      </c>
      <c r="I18" s="3112" t="s">
        <v>470</v>
      </c>
      <c r="J18" s="3112"/>
      <c r="K18" s="3112"/>
      <c r="L18" s="3112"/>
      <c r="M18" s="673"/>
      <c r="N18" s="673"/>
    </row>
    <row r="19" spans="1:14" ht="16.5" customHeight="1">
      <c r="A19" s="2925">
        <v>14</v>
      </c>
      <c r="B19" s="2925"/>
      <c r="C19" s="494" t="s">
        <v>36</v>
      </c>
      <c r="D19" s="3639">
        <f>SUMIF(余额表!J:J,"销售费用-"&amp;C19,余额表!E:E)</f>
        <v>0</v>
      </c>
      <c r="E19" s="3640"/>
      <c r="F19" s="1120"/>
      <c r="G19" s="1200"/>
      <c r="H19" s="699">
        <f t="shared" si="0"/>
        <v>0</v>
      </c>
      <c r="I19" s="3112"/>
      <c r="J19" s="3112"/>
      <c r="K19" s="3112"/>
      <c r="L19" s="3112"/>
      <c r="M19" s="673"/>
      <c r="N19" s="673"/>
    </row>
    <row r="20" spans="1:14" ht="16.5" customHeight="1">
      <c r="A20" s="2925">
        <v>15</v>
      </c>
      <c r="B20" s="2925"/>
      <c r="C20" s="494" t="s">
        <v>471</v>
      </c>
      <c r="D20" s="3639">
        <f>SUMIF(余额表!J:J,"销售费用-"&amp;C20,余额表!E:E)</f>
        <v>0</v>
      </c>
      <c r="E20" s="3640"/>
      <c r="F20" s="1120"/>
      <c r="G20" s="1200"/>
      <c r="H20" s="699">
        <f t="shared" si="0"/>
        <v>0</v>
      </c>
      <c r="I20" s="3112"/>
      <c r="J20" s="3112"/>
      <c r="K20" s="3112"/>
      <c r="L20" s="3112"/>
      <c r="M20" s="673"/>
      <c r="N20" s="673"/>
    </row>
    <row r="21" spans="1:14" ht="16.5" customHeight="1">
      <c r="A21" s="2925">
        <v>16</v>
      </c>
      <c r="B21" s="2925"/>
      <c r="C21" s="494" t="s">
        <v>472</v>
      </c>
      <c r="D21" s="3639">
        <f>SUMIF(余额表!J:J,"销售费用-"&amp;C21,余额表!E:E)</f>
        <v>0</v>
      </c>
      <c r="E21" s="3640"/>
      <c r="F21" s="1120"/>
      <c r="G21" s="1200"/>
      <c r="H21" s="699">
        <f t="shared" si="0"/>
        <v>0</v>
      </c>
      <c r="I21" s="3112"/>
      <c r="J21" s="3112"/>
      <c r="K21" s="3112"/>
      <c r="L21" s="3112"/>
      <c r="M21" s="673"/>
      <c r="N21" s="673"/>
    </row>
    <row r="22" spans="1:14" ht="16.5" customHeight="1">
      <c r="A22" s="2925">
        <v>17</v>
      </c>
      <c r="B22" s="2925"/>
      <c r="C22" s="2031" t="s">
        <v>6513</v>
      </c>
      <c r="D22" s="3639">
        <f>SUMIF(余额表!J:J,"销售费用-"&amp;C22,余额表!E:E)</f>
        <v>0</v>
      </c>
      <c r="E22" s="3640"/>
      <c r="F22" s="1120"/>
      <c r="G22" s="1200"/>
      <c r="H22" s="699">
        <f t="shared" si="0"/>
        <v>0</v>
      </c>
      <c r="I22" s="3112"/>
      <c r="J22" s="3112"/>
      <c r="K22" s="3112"/>
      <c r="L22" s="3112"/>
      <c r="M22" s="673"/>
      <c r="N22" s="673"/>
    </row>
    <row r="23" spans="1:14" ht="16.5" customHeight="1">
      <c r="A23" s="2925">
        <v>18</v>
      </c>
      <c r="B23" s="2925"/>
      <c r="C23" s="2031" t="s">
        <v>1630</v>
      </c>
      <c r="D23" s="3639">
        <f>SUMIF(余额表!J:J,"销售费用-"&amp;C23,余额表!E:E)</f>
        <v>0</v>
      </c>
      <c r="E23" s="3640"/>
      <c r="F23" s="1120"/>
      <c r="G23" s="1200"/>
      <c r="H23" s="699">
        <f t="shared" si="0"/>
        <v>0</v>
      </c>
      <c r="I23" s="3112"/>
      <c r="J23" s="3112"/>
      <c r="K23" s="3112"/>
      <c r="L23" s="3112"/>
      <c r="M23" s="673"/>
      <c r="N23" s="673"/>
    </row>
    <row r="24" spans="1:14" ht="16.5" customHeight="1">
      <c r="A24" s="2925">
        <v>19</v>
      </c>
      <c r="B24" s="2925"/>
      <c r="C24" s="2031" t="s">
        <v>6514</v>
      </c>
      <c r="D24" s="3639">
        <f>SUMIF(余额表!J:J,"销售费用-"&amp;C24,余额表!E:E)</f>
        <v>0</v>
      </c>
      <c r="E24" s="3640"/>
      <c r="F24" s="1120"/>
      <c r="G24" s="1200"/>
      <c r="H24" s="699">
        <f t="shared" si="0"/>
        <v>0</v>
      </c>
      <c r="I24" s="3112"/>
      <c r="J24" s="3112"/>
      <c r="K24" s="3112"/>
      <c r="L24" s="3112"/>
      <c r="M24" s="673"/>
      <c r="N24" s="673"/>
    </row>
    <row r="25" spans="1:14" ht="16.5" customHeight="1">
      <c r="A25" s="2925">
        <v>20</v>
      </c>
      <c r="B25" s="2925"/>
      <c r="C25" s="2031" t="s">
        <v>1279</v>
      </c>
      <c r="D25" s="3639">
        <f>SUMIF(余额表!J:J,"销售费用-"&amp;C25,余额表!E:E)</f>
        <v>0</v>
      </c>
      <c r="E25" s="3640"/>
      <c r="F25" s="1120"/>
      <c r="G25" s="1200"/>
      <c r="H25" s="699">
        <f t="shared" si="0"/>
        <v>0</v>
      </c>
      <c r="I25" s="3112"/>
      <c r="J25" s="3112"/>
      <c r="K25" s="3112"/>
      <c r="L25" s="3112"/>
    </row>
    <row r="26" spans="1:14" ht="16.5" customHeight="1">
      <c r="A26" s="2925">
        <v>21</v>
      </c>
      <c r="B26" s="2925"/>
      <c r="C26" s="2031" t="s">
        <v>1277</v>
      </c>
      <c r="D26" s="3639">
        <f>SUMIF(余额表!J:J,"销售费用-"&amp;C26,余额表!E:E)</f>
        <v>0</v>
      </c>
      <c r="E26" s="3640"/>
      <c r="F26" s="1120"/>
      <c r="G26" s="1200"/>
      <c r="H26" s="699">
        <f t="shared" si="0"/>
        <v>0</v>
      </c>
      <c r="I26" s="3112" t="s">
        <v>473</v>
      </c>
      <c r="J26" s="3112"/>
      <c r="K26" s="3112"/>
      <c r="L26" s="3112"/>
      <c r="M26" s="607"/>
    </row>
    <row r="27" spans="1:14" ht="16.5" customHeight="1">
      <c r="A27" s="2925">
        <v>22</v>
      </c>
      <c r="B27" s="2925"/>
      <c r="C27" s="2031" t="s">
        <v>1278</v>
      </c>
      <c r="D27" s="3639">
        <f>SUMIF(余额表!J:J,"销售费用-"&amp;C27,余额表!E:E)</f>
        <v>0</v>
      </c>
      <c r="E27" s="3640"/>
      <c r="F27" s="2006"/>
      <c r="G27" s="1200"/>
      <c r="H27" s="699">
        <f t="shared" ref="H27:H32" si="1">D27+F27</f>
        <v>0</v>
      </c>
      <c r="I27" s="3112"/>
      <c r="J27" s="3112"/>
      <c r="K27" s="3112"/>
      <c r="L27" s="3112"/>
      <c r="M27" s="2005"/>
    </row>
    <row r="28" spans="1:14" ht="16.5" customHeight="1">
      <c r="A28" s="2925">
        <v>23</v>
      </c>
      <c r="B28" s="2925"/>
      <c r="C28" s="2031" t="s">
        <v>6515</v>
      </c>
      <c r="D28" s="3639">
        <f>SUMIF(余额表!J:J,"销售费用-"&amp;C28,余额表!E:E)</f>
        <v>0</v>
      </c>
      <c r="E28" s="3640"/>
      <c r="F28" s="2006"/>
      <c r="G28" s="1200"/>
      <c r="H28" s="699">
        <f t="shared" si="1"/>
        <v>0</v>
      </c>
      <c r="I28" s="3112"/>
      <c r="J28" s="3112"/>
      <c r="K28" s="3112"/>
      <c r="L28" s="3112"/>
      <c r="M28" s="2005"/>
    </row>
    <row r="29" spans="1:14" ht="16.5" customHeight="1">
      <c r="A29" s="2925">
        <v>24</v>
      </c>
      <c r="B29" s="2925"/>
      <c r="C29" s="2031" t="s">
        <v>6233</v>
      </c>
      <c r="D29" s="3639">
        <f>SUMIF(余额表!J:J,"销售费用-"&amp;C29,余额表!E:E)</f>
        <v>0</v>
      </c>
      <c r="E29" s="3640"/>
      <c r="F29" s="2006"/>
      <c r="G29" s="1200"/>
      <c r="H29" s="699">
        <f t="shared" si="1"/>
        <v>0</v>
      </c>
      <c r="I29" s="3112"/>
      <c r="J29" s="3112"/>
      <c r="K29" s="3112"/>
      <c r="L29" s="3112"/>
      <c r="M29" s="2005"/>
    </row>
    <row r="30" spans="1:14" ht="16.5" customHeight="1">
      <c r="A30" s="2925">
        <v>25</v>
      </c>
      <c r="B30" s="2925"/>
      <c r="C30" s="2031" t="s">
        <v>6234</v>
      </c>
      <c r="D30" s="3639">
        <f>SUMIF(余额表!J:J,"销售费用-"&amp;C30,余额表!E:E)</f>
        <v>0</v>
      </c>
      <c r="E30" s="3640"/>
      <c r="F30" s="2006"/>
      <c r="G30" s="1200"/>
      <c r="H30" s="699">
        <f t="shared" si="1"/>
        <v>0</v>
      </c>
      <c r="I30" s="3112"/>
      <c r="J30" s="3112"/>
      <c r="K30" s="3112"/>
      <c r="L30" s="3112"/>
      <c r="M30" s="2005"/>
    </row>
    <row r="31" spans="1:14" ht="16.5" customHeight="1">
      <c r="A31" s="2925">
        <v>26</v>
      </c>
      <c r="B31" s="2925"/>
      <c r="C31" s="2031" t="s">
        <v>6237</v>
      </c>
      <c r="D31" s="3639">
        <f>SUMIF(余额表!J:J,"销售费用-"&amp;C31,余额表!E:E)</f>
        <v>0</v>
      </c>
      <c r="E31" s="3640"/>
      <c r="F31" s="2006"/>
      <c r="G31" s="1200"/>
      <c r="H31" s="699">
        <f t="shared" si="1"/>
        <v>0</v>
      </c>
      <c r="I31" s="3112"/>
      <c r="J31" s="3112"/>
      <c r="K31" s="3112"/>
      <c r="L31" s="3112"/>
      <c r="M31" s="2005"/>
    </row>
    <row r="32" spans="1:14" ht="16.5" customHeight="1">
      <c r="A32" s="2925">
        <v>27</v>
      </c>
      <c r="B32" s="2925"/>
      <c r="C32" s="2031" t="s">
        <v>6241</v>
      </c>
      <c r="D32" s="3639">
        <f>SUMIF(余额表!J:J,"销售费用-"&amp;C32,余额表!E:E)</f>
        <v>0</v>
      </c>
      <c r="E32" s="3640"/>
      <c r="F32" s="2006"/>
      <c r="G32" s="1200"/>
      <c r="H32" s="699">
        <f t="shared" si="1"/>
        <v>0</v>
      </c>
      <c r="I32" s="3112"/>
      <c r="J32" s="3112"/>
      <c r="K32" s="3112"/>
      <c r="L32" s="3112"/>
      <c r="M32" s="2005"/>
    </row>
    <row r="33" spans="1:13" ht="16.5" customHeight="1">
      <c r="A33" s="2925">
        <v>28</v>
      </c>
      <c r="B33" s="2925"/>
      <c r="C33" s="2031" t="s">
        <v>6242</v>
      </c>
      <c r="D33" s="3639">
        <f>SUMIF(余额表!J:J,"销售费用-"&amp;C33,余额表!E:E)</f>
        <v>0</v>
      </c>
      <c r="E33" s="3640"/>
      <c r="F33" s="1120"/>
      <c r="G33" s="1200"/>
      <c r="H33" s="699">
        <f t="shared" si="0"/>
        <v>0</v>
      </c>
      <c r="I33" s="3112"/>
      <c r="J33" s="3112"/>
      <c r="K33" s="3112"/>
      <c r="L33" s="3112"/>
      <c r="M33" s="587"/>
    </row>
    <row r="34" spans="1:13" ht="16.5" customHeight="1">
      <c r="A34" s="2925">
        <v>29</v>
      </c>
      <c r="B34" s="2925"/>
      <c r="C34" s="2031" t="s">
        <v>6244</v>
      </c>
      <c r="D34" s="3639">
        <f>SUMIF(余额表!J:J,"销售费用-"&amp;C34,余额表!E:E)</f>
        <v>0</v>
      </c>
      <c r="E34" s="3640"/>
      <c r="F34" s="1120"/>
      <c r="G34" s="1200"/>
      <c r="H34" s="699">
        <f t="shared" si="0"/>
        <v>0</v>
      </c>
      <c r="I34" s="84"/>
      <c r="J34" s="84"/>
      <c r="K34" s="84"/>
      <c r="L34" s="84"/>
      <c r="M34" s="587"/>
    </row>
    <row r="35" spans="1:13" ht="16.5" customHeight="1">
      <c r="A35" s="2925">
        <v>30</v>
      </c>
      <c r="B35" s="2925"/>
      <c r="C35" s="2031" t="s">
        <v>6245</v>
      </c>
      <c r="D35" s="3639">
        <f>SUMIF(余额表!J:J,"销售费用-"&amp;C35,余额表!E:E)</f>
        <v>0</v>
      </c>
      <c r="E35" s="3640"/>
      <c r="F35" s="1120"/>
      <c r="G35" s="1200"/>
      <c r="H35" s="699">
        <f t="shared" si="0"/>
        <v>0</v>
      </c>
      <c r="I35" s="84"/>
      <c r="J35" s="84"/>
      <c r="K35" s="84"/>
      <c r="L35" s="84"/>
      <c r="M35" s="587"/>
    </row>
    <row r="36" spans="1:13" ht="16.5" customHeight="1">
      <c r="A36" s="2925">
        <v>31</v>
      </c>
      <c r="B36" s="2925"/>
      <c r="C36" s="2031" t="s">
        <v>6246</v>
      </c>
      <c r="D36" s="3639">
        <f>SUMIF(余额表!J:J,"销售费用-"&amp;C36,余额表!E:E)</f>
        <v>0</v>
      </c>
      <c r="E36" s="3640"/>
      <c r="F36" s="1120"/>
      <c r="G36" s="1200"/>
      <c r="H36" s="699">
        <f t="shared" si="0"/>
        <v>0</v>
      </c>
      <c r="I36" s="84"/>
      <c r="J36" s="84"/>
      <c r="K36" s="84"/>
      <c r="L36" s="84"/>
      <c r="M36" s="587"/>
    </row>
    <row r="37" spans="1:13" ht="16.5" customHeight="1">
      <c r="A37" s="2925">
        <v>32</v>
      </c>
      <c r="B37" s="2925"/>
      <c r="C37" s="2031" t="s">
        <v>6516</v>
      </c>
      <c r="D37" s="3639">
        <f>SUMIF(余额表!J:J,"销售费用-"&amp;C37,余额表!E:E)</f>
        <v>0</v>
      </c>
      <c r="E37" s="3640"/>
      <c r="F37" s="1120"/>
      <c r="G37" s="1200"/>
      <c r="H37" s="699">
        <f t="shared" si="0"/>
        <v>0</v>
      </c>
      <c r="I37" s="84"/>
      <c r="J37" s="84"/>
      <c r="K37" s="84"/>
      <c r="L37" s="84"/>
      <c r="M37" s="587"/>
    </row>
    <row r="38" spans="1:13" ht="16.5" customHeight="1">
      <c r="A38" s="2925">
        <v>33</v>
      </c>
      <c r="B38" s="2925"/>
      <c r="C38" s="2031" t="s">
        <v>6249</v>
      </c>
      <c r="D38" s="3639">
        <f>SUMIF(余额表!J:J,"销售费用-"&amp;C38,余额表!E:E)</f>
        <v>0</v>
      </c>
      <c r="E38" s="3640"/>
      <c r="F38" s="1120"/>
      <c r="G38" s="1200"/>
      <c r="H38" s="699">
        <f t="shared" si="0"/>
        <v>0</v>
      </c>
      <c r="I38" s="3112" t="s">
        <v>474</v>
      </c>
      <c r="J38" s="3112"/>
      <c r="K38" s="3112"/>
      <c r="L38" s="3112"/>
      <c r="M38" s="587"/>
    </row>
    <row r="39" spans="1:13" ht="16.5" customHeight="1">
      <c r="A39" s="2925">
        <v>34</v>
      </c>
      <c r="B39" s="2925"/>
      <c r="C39" s="2031" t="s">
        <v>6250</v>
      </c>
      <c r="D39" s="3639">
        <f>SUMIF(余额表!J:J,"销售费用-"&amp;C39,余额表!E:E)</f>
        <v>0</v>
      </c>
      <c r="E39" s="3640"/>
      <c r="F39" s="1120"/>
      <c r="G39" s="1200"/>
      <c r="H39" s="699">
        <f t="shared" si="0"/>
        <v>0</v>
      </c>
      <c r="I39" s="3112"/>
      <c r="J39" s="3112"/>
      <c r="K39" s="3112"/>
      <c r="L39" s="3112"/>
      <c r="M39" s="587"/>
    </row>
    <row r="40" spans="1:13" ht="16.5" customHeight="1">
      <c r="A40" s="2925">
        <v>35</v>
      </c>
      <c r="B40" s="2925"/>
      <c r="C40" s="2031" t="s">
        <v>6251</v>
      </c>
      <c r="D40" s="3639">
        <f>SUMIF(余额表!J:J,"销售费用-"&amp;C40,余额表!E:E)</f>
        <v>0</v>
      </c>
      <c r="E40" s="3640"/>
      <c r="F40" s="1120"/>
      <c r="G40" s="1200"/>
      <c r="H40" s="699">
        <f t="shared" si="0"/>
        <v>0</v>
      </c>
      <c r="I40" s="3112" t="s">
        <v>475</v>
      </c>
      <c r="J40" s="3112"/>
      <c r="K40" s="3112"/>
      <c r="L40" s="3112"/>
    </row>
    <row r="41" spans="1:13" ht="16.5" customHeight="1">
      <c r="A41" s="2925">
        <v>36</v>
      </c>
      <c r="B41" s="2925"/>
      <c r="C41" s="2031" t="s">
        <v>6252</v>
      </c>
      <c r="D41" s="3639">
        <f>SUMIF(余额表!J:J,"销售费用-"&amp;C41,余额表!E:E)</f>
        <v>0</v>
      </c>
      <c r="E41" s="3640"/>
      <c r="F41" s="1120"/>
      <c r="G41" s="1200"/>
      <c r="H41" s="699">
        <f t="shared" si="0"/>
        <v>0</v>
      </c>
      <c r="I41" s="3112"/>
      <c r="J41" s="3112"/>
      <c r="K41" s="3112"/>
      <c r="L41" s="3112"/>
    </row>
    <row r="42" spans="1:13" ht="16.5" customHeight="1">
      <c r="A42" s="2925">
        <v>37</v>
      </c>
      <c r="B42" s="2925"/>
      <c r="C42" s="2031" t="s">
        <v>1295</v>
      </c>
      <c r="D42" s="3639">
        <f>SUMIF(余额表!J:J,"销售费用-"&amp;C42,余额表!E:E)</f>
        <v>0</v>
      </c>
      <c r="E42" s="3640"/>
      <c r="F42" s="1120">
        <f>-F7-F8-F10</f>
        <v>0</v>
      </c>
      <c r="G42" s="1200"/>
      <c r="H42" s="699">
        <f t="shared" si="0"/>
        <v>0</v>
      </c>
      <c r="I42" s="3112" t="s">
        <v>476</v>
      </c>
      <c r="J42" s="3112"/>
      <c r="K42" s="3112"/>
      <c r="L42" s="3112"/>
    </row>
    <row r="43" spans="1:13" ht="16.5" customHeight="1">
      <c r="A43" s="3642" t="s">
        <v>6549</v>
      </c>
      <c r="B43" s="3643"/>
      <c r="C43" s="964" t="s">
        <v>6602</v>
      </c>
      <c r="D43" s="3145"/>
      <c r="E43" s="3145"/>
      <c r="F43" s="1120"/>
      <c r="G43" s="1200"/>
      <c r="H43" s="699">
        <f t="shared" si="0"/>
        <v>0</v>
      </c>
      <c r="I43" s="3112"/>
      <c r="J43" s="3112"/>
      <c r="K43" s="3112"/>
      <c r="L43" s="3112"/>
    </row>
    <row r="44" spans="1:13" ht="21.75" customHeight="1">
      <c r="A44" s="2926" t="s">
        <v>702</v>
      </c>
      <c r="B44" s="2926"/>
      <c r="C44" s="2926"/>
      <c r="D44" s="3239">
        <f>SUM(D6:D42)</f>
        <v>0</v>
      </c>
      <c r="E44" s="3239"/>
      <c r="F44" s="721">
        <f>SUM(F6:F42)</f>
        <v>0</v>
      </c>
      <c r="G44" s="721">
        <f>SUM(G6:G42)</f>
        <v>0</v>
      </c>
      <c r="H44" s="702">
        <f>SUM(H6:H42)</f>
        <v>0</v>
      </c>
      <c r="I44" s="3112" t="s">
        <v>477</v>
      </c>
      <c r="J44" s="3112"/>
      <c r="K44" s="3112"/>
      <c r="L44" s="3112"/>
    </row>
    <row r="45" spans="1:13" ht="21.75" customHeight="1">
      <c r="A45" s="3046" t="s">
        <v>641</v>
      </c>
      <c r="B45" s="3046"/>
      <c r="C45" s="3176" t="str">
        <f>IF(D44&lt;&gt;利润!C15,"账载数与报表数相差"&amp;DOLLAR(D44-利润!C15,2)&amp;"元！","账载数与报表数相符！")</f>
        <v>账载数与报表数相符！</v>
      </c>
      <c r="D45" s="3176"/>
      <c r="E45" s="3176"/>
      <c r="F45" s="3176"/>
      <c r="G45" s="3176"/>
      <c r="H45" s="3176"/>
      <c r="I45" s="3112"/>
      <c r="J45" s="3112"/>
      <c r="K45" s="3112"/>
      <c r="L45" s="3112"/>
    </row>
    <row r="46" spans="1:13" ht="15" customHeight="1">
      <c r="A46" s="3080" t="s">
        <v>1323</v>
      </c>
      <c r="B46" s="3080"/>
      <c r="C46" s="965" t="s">
        <v>175</v>
      </c>
      <c r="D46" s="3641" t="str">
        <f>IF(F44&lt;&gt;0,"、E","")</f>
        <v/>
      </c>
      <c r="E46" s="3641"/>
      <c r="F46" s="3641"/>
      <c r="G46" s="3641"/>
      <c r="H46" s="3641"/>
      <c r="I46" s="3112"/>
      <c r="J46" s="3112"/>
      <c r="K46" s="3112"/>
      <c r="L46" s="3112"/>
    </row>
    <row r="47" spans="1:13" ht="49.5" customHeight="1">
      <c r="A47" s="3080"/>
      <c r="B47" s="3080"/>
      <c r="C47" s="3181"/>
      <c r="D47" s="3181"/>
      <c r="E47" s="3181"/>
      <c r="F47" s="3181"/>
      <c r="G47" s="3181"/>
      <c r="H47" s="3181"/>
      <c r="I47" s="84"/>
      <c r="J47" s="84"/>
      <c r="K47" s="84"/>
      <c r="L47" s="84"/>
    </row>
    <row r="48" spans="1:13" ht="18.75" customHeight="1">
      <c r="A48" s="3178" t="s">
        <v>574</v>
      </c>
      <c r="B48" s="3178"/>
      <c r="C48" s="3157" t="str">
        <f>IF(F44=0,"不存在调整事项，认可！","调整后认可！")</f>
        <v>不存在调整事项，认可！</v>
      </c>
      <c r="D48" s="3157"/>
      <c r="E48" s="3157"/>
      <c r="F48" s="3157"/>
      <c r="G48" s="3157"/>
      <c r="H48" s="3157"/>
      <c r="I48" s="84"/>
      <c r="J48" s="84"/>
      <c r="K48" s="84"/>
      <c r="L48" s="84"/>
    </row>
  </sheetData>
  <sheetProtection selectLockedCells="1" selectUnlockedCells="1"/>
  <mergeCells count="100">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 ref="D43:E43"/>
    <mergeCell ref="A42:B42"/>
    <mergeCell ref="A40:B40"/>
    <mergeCell ref="D40:E40"/>
    <mergeCell ref="A37:B37"/>
    <mergeCell ref="I38:L39"/>
    <mergeCell ref="A39:B39"/>
    <mergeCell ref="D39:E39"/>
    <mergeCell ref="A38:B38"/>
    <mergeCell ref="D38:E38"/>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D33:E33"/>
    <mergeCell ref="D37:E37"/>
    <mergeCell ref="A34:B34"/>
    <mergeCell ref="D34:E34"/>
    <mergeCell ref="A36:B36"/>
    <mergeCell ref="D36:E36"/>
    <mergeCell ref="A35:B35"/>
    <mergeCell ref="D35:E35"/>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A11:B11"/>
    <mergeCell ref="D11:E11"/>
    <mergeCell ref="A8:B8"/>
    <mergeCell ref="D8:E8"/>
    <mergeCell ref="A9:B9"/>
    <mergeCell ref="D9:E9"/>
    <mergeCell ref="A14:B14"/>
    <mergeCell ref="D14:E14"/>
    <mergeCell ref="A15:B15"/>
    <mergeCell ref="A12:B12"/>
    <mergeCell ref="D12:E12"/>
    <mergeCell ref="A13:B13"/>
    <mergeCell ref="D13:E13"/>
    <mergeCell ref="D15:E15"/>
    <mergeCell ref="A16:B16"/>
    <mergeCell ref="D16:E16"/>
    <mergeCell ref="A17:B17"/>
    <mergeCell ref="D17:E17"/>
    <mergeCell ref="A18:B18"/>
    <mergeCell ref="D18:E18"/>
    <mergeCell ref="I1:I4"/>
    <mergeCell ref="A2:B2"/>
    <mergeCell ref="A3:B3"/>
    <mergeCell ref="A4:H4"/>
    <mergeCell ref="A5:B5"/>
    <mergeCell ref="D5:E5"/>
    <mergeCell ref="A1:H1"/>
    <mergeCell ref="D6:E6"/>
    <mergeCell ref="A6:B6"/>
    <mergeCell ref="D2:E2"/>
    <mergeCell ref="D3:E3"/>
    <mergeCell ref="A10:B10"/>
    <mergeCell ref="D10:E10"/>
    <mergeCell ref="A7:B7"/>
    <mergeCell ref="D7:E7"/>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5.6"/>
  <cols>
    <col min="1" max="1" width="6" style="954" customWidth="1"/>
    <col min="2" max="2" width="4.19921875" style="954" customWidth="1"/>
    <col min="3" max="3" width="26.3984375" style="771" customWidth="1"/>
    <col min="4" max="4" width="6.09765625" style="771" customWidth="1"/>
    <col min="5" max="5" width="9.59765625" style="771" customWidth="1"/>
    <col min="6" max="8" width="14.09765625" style="771" customWidth="1"/>
    <col min="9" max="9" width="31.5" customWidth="1"/>
    <col min="10" max="10" width="19.59765625" style="131" customWidth="1"/>
  </cols>
  <sheetData>
    <row r="1" spans="1:12" ht="29.25" customHeight="1">
      <c r="A1" s="3101" t="s">
        <v>324</v>
      </c>
      <c r="B1" s="3101"/>
      <c r="C1" s="3101"/>
      <c r="D1" s="3101"/>
      <c r="E1" s="3101"/>
      <c r="F1" s="3101"/>
      <c r="G1" s="3101"/>
      <c r="H1" s="3101"/>
      <c r="I1" s="3590"/>
      <c r="J1" s="812"/>
      <c r="K1" s="84"/>
      <c r="L1" s="84"/>
    </row>
    <row r="2" spans="1:12" ht="21.75" customHeight="1">
      <c r="A2" s="3046" t="s">
        <v>447</v>
      </c>
      <c r="B2" s="3046"/>
      <c r="C2" s="955">
        <f>基本情况!$B$2</f>
        <v>0</v>
      </c>
      <c r="D2" s="3635" t="s">
        <v>450</v>
      </c>
      <c r="E2" s="3636"/>
      <c r="F2" s="1801">
        <f>基本情况!B12</f>
        <v>0</v>
      </c>
      <c r="G2" s="644" t="str">
        <f>TEXT(基本情况!B21,"yyyy-mm-dd")</f>
        <v>2017-03-16</v>
      </c>
      <c r="H2" s="485" t="s">
        <v>283</v>
      </c>
      <c r="I2" s="3590"/>
      <c r="J2" s="812"/>
      <c r="K2" s="84"/>
      <c r="L2" s="84"/>
    </row>
    <row r="3" spans="1:12" ht="21.75" customHeight="1">
      <c r="A3" s="2926" t="s">
        <v>451</v>
      </c>
      <c r="B3" s="2926"/>
      <c r="C3" s="139" t="str">
        <f>基本情况!$B$7</f>
        <v>2016年01月01日至2016年12月31日</v>
      </c>
      <c r="D3" s="3637" t="s">
        <v>452</v>
      </c>
      <c r="E3" s="3638"/>
      <c r="F3" s="960">
        <f>基本情况!B11</f>
        <v>0</v>
      </c>
      <c r="G3" s="1799" t="str">
        <f>TEXT(基本情况!B22,"yyyy-mm-dd")</f>
        <v>2017-05-04</v>
      </c>
      <c r="H3" s="512" t="str">
        <f>档案索引!D29</f>
        <v>3-8</v>
      </c>
      <c r="I3" s="3590"/>
      <c r="J3" s="812"/>
      <c r="K3" s="84"/>
      <c r="L3" s="84"/>
    </row>
    <row r="4" spans="1:12" ht="6.75" customHeight="1">
      <c r="A4" s="2916"/>
      <c r="B4" s="2916"/>
      <c r="C4" s="2916"/>
      <c r="D4" s="2916"/>
      <c r="E4" s="2916"/>
      <c r="F4" s="2916"/>
      <c r="G4" s="2916"/>
      <c r="H4" s="2916"/>
      <c r="I4" s="3590"/>
      <c r="J4" s="812"/>
      <c r="K4" s="84"/>
      <c r="L4" s="84"/>
    </row>
    <row r="5" spans="1:12" ht="21.75" customHeight="1">
      <c r="A5" s="3043" t="s">
        <v>645</v>
      </c>
      <c r="B5" s="3043"/>
      <c r="C5" s="582" t="s">
        <v>665</v>
      </c>
      <c r="D5" s="3044" t="s">
        <v>1181</v>
      </c>
      <c r="E5" s="3044"/>
      <c r="F5" s="582" t="s">
        <v>906</v>
      </c>
      <c r="G5" s="779" t="s">
        <v>6510</v>
      </c>
      <c r="H5" s="772" t="s">
        <v>502</v>
      </c>
      <c r="I5" s="962" t="s">
        <v>395</v>
      </c>
      <c r="J5" s="966"/>
      <c r="K5" s="84"/>
      <c r="L5" s="84"/>
    </row>
    <row r="6" spans="1:12" ht="16.5" customHeight="1">
      <c r="A6" s="3175">
        <v>1</v>
      </c>
      <c r="B6" s="3175"/>
      <c r="C6" s="963" t="s">
        <v>907</v>
      </c>
      <c r="D6" s="3634">
        <f>SUMIF(余额表!J:J,"管理费用-"&amp;C6,余额表!E:E)</f>
        <v>0</v>
      </c>
      <c r="E6" s="3634"/>
      <c r="F6" s="1118"/>
      <c r="G6" s="1800"/>
      <c r="H6" s="967">
        <f>D6+F6</f>
        <v>0</v>
      </c>
      <c r="I6" s="1266" t="s">
        <v>6596</v>
      </c>
      <c r="J6" s="812"/>
      <c r="K6" s="84"/>
      <c r="L6" s="84"/>
    </row>
    <row r="7" spans="1:12" ht="16.5" customHeight="1">
      <c r="A7" s="2925">
        <v>2</v>
      </c>
      <c r="B7" s="2925"/>
      <c r="C7" s="494" t="s">
        <v>908</v>
      </c>
      <c r="D7" s="3639">
        <f>SUMIF(余额表!J:J,"管理费用-"&amp;C7,余额表!E:E)</f>
        <v>0</v>
      </c>
      <c r="E7" s="3640"/>
      <c r="F7" s="1120">
        <f>-SUMIFS(凭证检查!G6:G205,凭证检查!E6:E205,"管理费用",凭证检查!F6:F205,"福利费",凭证检查!M6:M205,"&lt;&gt;")</f>
        <v>0</v>
      </c>
      <c r="G7" s="1200"/>
      <c r="H7" s="699">
        <f>D7+F7</f>
        <v>0</v>
      </c>
      <c r="I7" s="232" t="s">
        <v>642</v>
      </c>
      <c r="J7" s="812"/>
      <c r="K7" s="84"/>
      <c r="L7" s="84"/>
    </row>
    <row r="8" spans="1:12" ht="16.5" customHeight="1">
      <c r="A8" s="2925">
        <v>3</v>
      </c>
      <c r="B8" s="2925"/>
      <c r="C8" s="494" t="s">
        <v>909</v>
      </c>
      <c r="D8" s="3639">
        <f>SUMIF(余额表!J:J,"管理费用-"&amp;C8,余额表!E:E)</f>
        <v>0</v>
      </c>
      <c r="E8" s="3640"/>
      <c r="F8" s="1120">
        <f>-SUMIFS(凭证检查!G6:G205,凭证检查!E6:E205,"管理费用",凭证检查!F6:F205,"职工教育经费",凭证检查!M6:M205,"&lt;&gt;")</f>
        <v>0</v>
      </c>
      <c r="G8" s="1200"/>
      <c r="H8" s="699">
        <f t="shared" ref="H8:H43" si="0">D8+F8</f>
        <v>0</v>
      </c>
      <c r="I8" s="575" t="s">
        <v>1291</v>
      </c>
      <c r="J8" s="812"/>
      <c r="K8" s="84"/>
      <c r="L8" s="84"/>
    </row>
    <row r="9" spans="1:12" ht="16.5" customHeight="1">
      <c r="A9" s="2925">
        <v>4</v>
      </c>
      <c r="B9" s="2925"/>
      <c r="C9" s="494" t="s">
        <v>910</v>
      </c>
      <c r="D9" s="3639">
        <f>SUMIF(余额表!J:J,"管理费用-"&amp;C9,余额表!E:E)</f>
        <v>0</v>
      </c>
      <c r="E9" s="3640"/>
      <c r="F9" s="1120"/>
      <c r="G9" s="1200"/>
      <c r="H9" s="699">
        <f t="shared" si="0"/>
        <v>0</v>
      </c>
      <c r="I9" s="575" t="s">
        <v>619</v>
      </c>
      <c r="J9" s="812"/>
      <c r="K9" s="84"/>
      <c r="L9" s="84"/>
    </row>
    <row r="10" spans="1:12" ht="16.5" customHeight="1">
      <c r="A10" s="2925">
        <v>5</v>
      </c>
      <c r="B10" s="2925"/>
      <c r="C10" s="494" t="s">
        <v>911</v>
      </c>
      <c r="D10" s="3639">
        <f>SUMIF(余额表!J:J,"管理费用-"&amp;C10,余额表!E:E)</f>
        <v>0</v>
      </c>
      <c r="E10" s="3640"/>
      <c r="F10" s="1120">
        <f>-SUMIFS(凭证检查!G6:G205,凭证检查!E6:E205,"管理费用",凭证检查!F6:F205,"业务招待费",凭证检查!M6:M205,"&lt;&gt;")</f>
        <v>0</v>
      </c>
      <c r="G10" s="1200"/>
      <c r="H10" s="699">
        <f t="shared" si="0"/>
        <v>0</v>
      </c>
      <c r="I10" s="232" t="s">
        <v>1259</v>
      </c>
      <c r="J10" s="812"/>
      <c r="K10" s="84"/>
      <c r="L10" s="84"/>
    </row>
    <row r="11" spans="1:12" ht="16.5" customHeight="1">
      <c r="A11" s="2925">
        <v>6</v>
      </c>
      <c r="B11" s="2925"/>
      <c r="C11" s="494" t="s">
        <v>912</v>
      </c>
      <c r="D11" s="3639">
        <f>SUMIF(余额表!J:J,"管理费用-"&amp;C11,余额表!E:E)</f>
        <v>0</v>
      </c>
      <c r="E11" s="3640"/>
      <c r="F11" s="1120"/>
      <c r="G11" s="1200"/>
      <c r="H11" s="699">
        <f t="shared" si="0"/>
        <v>0</v>
      </c>
      <c r="I11" s="232" t="s">
        <v>879</v>
      </c>
      <c r="J11" s="812"/>
      <c r="K11" s="84"/>
      <c r="L11" s="84"/>
    </row>
    <row r="12" spans="1:12" ht="16.5" customHeight="1">
      <c r="A12" s="2925">
        <v>7</v>
      </c>
      <c r="B12" s="2925"/>
      <c r="C12" s="494" t="s">
        <v>913</v>
      </c>
      <c r="D12" s="3639">
        <f>SUMIF(余额表!J:J,"管理费用-"&amp;C12,余额表!E:E)</f>
        <v>0</v>
      </c>
      <c r="E12" s="3640"/>
      <c r="F12" s="1120"/>
      <c r="G12" s="1200"/>
      <c r="H12" s="699">
        <f t="shared" si="0"/>
        <v>0</v>
      </c>
      <c r="I12" s="575" t="s">
        <v>85</v>
      </c>
      <c r="J12" s="812"/>
      <c r="K12" s="84"/>
      <c r="L12" s="84"/>
    </row>
    <row r="13" spans="1:12" ht="16.5" customHeight="1">
      <c r="A13" s="2925">
        <v>8</v>
      </c>
      <c r="B13" s="2925"/>
      <c r="C13" s="494" t="s">
        <v>1480</v>
      </c>
      <c r="D13" s="3639">
        <f>SUMIF(余额表!J:J,"管理费用-"&amp;C13,余额表!E:E)</f>
        <v>0</v>
      </c>
      <c r="E13" s="3640"/>
      <c r="F13" s="1120"/>
      <c r="G13" s="1200"/>
      <c r="H13" s="699">
        <f t="shared" si="0"/>
        <v>0</v>
      </c>
      <c r="I13" s="232" t="s">
        <v>1155</v>
      </c>
      <c r="J13" s="812"/>
      <c r="K13" s="84"/>
      <c r="L13" s="84"/>
    </row>
    <row r="14" spans="1:12" ht="16.5" customHeight="1">
      <c r="A14" s="2925">
        <v>9</v>
      </c>
      <c r="B14" s="2925"/>
      <c r="C14" s="790" t="s">
        <v>914</v>
      </c>
      <c r="D14" s="3639">
        <f>SUMIF(余额表!J:J,"管理费用-"&amp;C14,余额表!E:E)</f>
        <v>0</v>
      </c>
      <c r="E14" s="3640"/>
      <c r="F14" s="1120"/>
      <c r="G14" s="1200"/>
      <c r="H14" s="699">
        <f t="shared" si="0"/>
        <v>0</v>
      </c>
      <c r="I14" s="232" t="s">
        <v>915</v>
      </c>
      <c r="J14" s="812"/>
      <c r="K14" s="84"/>
      <c r="L14" s="84"/>
    </row>
    <row r="15" spans="1:12" ht="16.5" customHeight="1">
      <c r="A15" s="2925">
        <v>10</v>
      </c>
      <c r="B15" s="2925"/>
      <c r="C15" s="492" t="s">
        <v>571</v>
      </c>
      <c r="D15" s="3639">
        <f>SUMIF(余额表!J:J,"管理费用-"&amp;C15,余额表!E:E)</f>
        <v>0</v>
      </c>
      <c r="E15" s="3640"/>
      <c r="F15" s="1120"/>
      <c r="G15" s="1200"/>
      <c r="H15" s="699">
        <f t="shared" si="0"/>
        <v>0</v>
      </c>
      <c r="I15" s="232" t="s">
        <v>916</v>
      </c>
      <c r="J15" s="812"/>
      <c r="K15" s="84"/>
      <c r="L15" s="84"/>
    </row>
    <row r="16" spans="1:12" ht="16.5" customHeight="1">
      <c r="A16" s="2925">
        <v>11</v>
      </c>
      <c r="B16" s="2925"/>
      <c r="C16" s="494" t="s">
        <v>917</v>
      </c>
      <c r="D16" s="3639">
        <f>SUMIF(余额表!J:J,"管理费用-"&amp;C16,余额表!E:E)</f>
        <v>0</v>
      </c>
      <c r="E16" s="3640"/>
      <c r="F16" s="1120"/>
      <c r="G16" s="1200"/>
      <c r="H16" s="699">
        <f t="shared" si="0"/>
        <v>0</v>
      </c>
      <c r="I16" s="232" t="s">
        <v>931</v>
      </c>
      <c r="J16" s="812"/>
      <c r="K16" s="84"/>
      <c r="L16" s="84"/>
    </row>
    <row r="17" spans="1:13" ht="16.5" customHeight="1">
      <c r="A17" s="2925">
        <v>12</v>
      </c>
      <c r="B17" s="2925"/>
      <c r="C17" s="494" t="s">
        <v>919</v>
      </c>
      <c r="D17" s="3639">
        <f>SUMIF(余额表!J:J,"管理费用-"&amp;C17,余额表!E:E)</f>
        <v>0</v>
      </c>
      <c r="E17" s="3640"/>
      <c r="F17" s="1120"/>
      <c r="G17" s="1200"/>
      <c r="H17" s="699">
        <f t="shared" si="0"/>
        <v>0</v>
      </c>
      <c r="I17" s="232" t="s">
        <v>918</v>
      </c>
      <c r="J17" s="812"/>
      <c r="K17" s="84"/>
      <c r="L17" s="84"/>
    </row>
    <row r="18" spans="1:13" ht="16.5" customHeight="1">
      <c r="A18" s="2925">
        <v>13</v>
      </c>
      <c r="B18" s="2925"/>
      <c r="C18" s="494" t="s">
        <v>920</v>
      </c>
      <c r="D18" s="3639">
        <f>SUMIF(余额表!J:J,"管理费用-"&amp;C18,余额表!E:E)</f>
        <v>0</v>
      </c>
      <c r="E18" s="3640"/>
      <c r="F18" s="1120"/>
      <c r="G18" s="1200"/>
      <c r="H18" s="699">
        <f t="shared" si="0"/>
        <v>0</v>
      </c>
      <c r="I18" s="3112" t="s">
        <v>478</v>
      </c>
      <c r="J18" s="3112"/>
      <c r="K18" s="3112"/>
      <c r="L18" s="3112"/>
    </row>
    <row r="19" spans="1:13" ht="16.5" customHeight="1">
      <c r="A19" s="2925">
        <v>14</v>
      </c>
      <c r="B19" s="2925"/>
      <c r="C19" s="494" t="s">
        <v>36</v>
      </c>
      <c r="D19" s="3639">
        <f>SUMIF(余额表!J:J,"管理费用-"&amp;C19,余额表!E:E)</f>
        <v>0</v>
      </c>
      <c r="E19" s="3640"/>
      <c r="F19" s="1120"/>
      <c r="G19" s="1200"/>
      <c r="H19" s="699">
        <f t="shared" si="0"/>
        <v>0</v>
      </c>
      <c r="I19" s="3112"/>
      <c r="J19" s="3112"/>
      <c r="K19" s="3112"/>
      <c r="L19" s="3112"/>
      <c r="M19" s="673"/>
    </row>
    <row r="20" spans="1:13" ht="16.5" customHeight="1">
      <c r="A20" s="2925">
        <v>15</v>
      </c>
      <c r="B20" s="2925"/>
      <c r="C20" s="494" t="s">
        <v>471</v>
      </c>
      <c r="D20" s="3639">
        <f>SUMIF(余额表!J:J,"管理费用-"&amp;C20,余额表!E:E)</f>
        <v>0</v>
      </c>
      <c r="E20" s="3640"/>
      <c r="F20" s="1120"/>
      <c r="G20" s="1200"/>
      <c r="H20" s="699">
        <f t="shared" si="0"/>
        <v>0</v>
      </c>
      <c r="I20" s="3112"/>
      <c r="J20" s="3112"/>
      <c r="K20" s="3112"/>
      <c r="L20" s="3112"/>
      <c r="M20" s="673"/>
    </row>
    <row r="21" spans="1:13" ht="16.5" customHeight="1">
      <c r="A21" s="2925">
        <v>16</v>
      </c>
      <c r="B21" s="2925"/>
      <c r="C21" s="494" t="s">
        <v>472</v>
      </c>
      <c r="D21" s="3639">
        <f>SUMIF(余额表!J:J,"管理费用-"&amp;C21,余额表!E:E)</f>
        <v>0</v>
      </c>
      <c r="E21" s="3640"/>
      <c r="F21" s="1120"/>
      <c r="G21" s="1200"/>
      <c r="H21" s="699">
        <f t="shared" si="0"/>
        <v>0</v>
      </c>
      <c r="I21" s="3112"/>
      <c r="J21" s="3112"/>
      <c r="K21" s="3112"/>
      <c r="L21" s="3112"/>
      <c r="M21" s="673"/>
    </row>
    <row r="22" spans="1:13" ht="16.5" customHeight="1">
      <c r="A22" s="2925">
        <v>17</v>
      </c>
      <c r="B22" s="2925"/>
      <c r="C22" s="2031" t="s">
        <v>6513</v>
      </c>
      <c r="D22" s="3639">
        <f>SUMIF(余额表!J:J,"管理费用-"&amp;C22,余额表!E:E)</f>
        <v>0</v>
      </c>
      <c r="E22" s="3640"/>
      <c r="F22" s="1120"/>
      <c r="G22" s="1200"/>
      <c r="H22" s="699">
        <f t="shared" si="0"/>
        <v>0</v>
      </c>
      <c r="I22" s="3112"/>
      <c r="J22" s="3112"/>
      <c r="K22" s="3112"/>
      <c r="L22" s="3112"/>
      <c r="M22" s="673"/>
    </row>
    <row r="23" spans="1:13" ht="16.5" customHeight="1">
      <c r="A23" s="2925">
        <v>18</v>
      </c>
      <c r="B23" s="2925"/>
      <c r="C23" s="2031" t="s">
        <v>1630</v>
      </c>
      <c r="D23" s="3639">
        <f>SUMIF(余额表!J:J,"管理费用-"&amp;C23,余额表!E:E)</f>
        <v>0</v>
      </c>
      <c r="E23" s="3640"/>
      <c r="F23" s="1120"/>
      <c r="G23" s="1200"/>
      <c r="H23" s="699">
        <f t="shared" si="0"/>
        <v>0</v>
      </c>
      <c r="I23" s="3112"/>
      <c r="J23" s="3112"/>
      <c r="K23" s="3112"/>
      <c r="L23" s="3112"/>
      <c r="M23" s="673"/>
    </row>
    <row r="24" spans="1:13" ht="16.5" customHeight="1">
      <c r="A24" s="2925">
        <v>19</v>
      </c>
      <c r="B24" s="2925"/>
      <c r="C24" s="2031" t="s">
        <v>6514</v>
      </c>
      <c r="D24" s="3639">
        <f>SUMIF(余额表!J:J,"管理费用-"&amp;C24,余额表!E:E)</f>
        <v>0</v>
      </c>
      <c r="E24" s="3640"/>
      <c r="F24" s="1120"/>
      <c r="G24" s="1200"/>
      <c r="H24" s="699">
        <f t="shared" si="0"/>
        <v>0</v>
      </c>
      <c r="I24" s="3112"/>
      <c r="J24" s="3112"/>
      <c r="K24" s="3112"/>
      <c r="L24" s="3112"/>
      <c r="M24" s="673"/>
    </row>
    <row r="25" spans="1:13" ht="16.5" customHeight="1">
      <c r="A25" s="2925">
        <v>20</v>
      </c>
      <c r="B25" s="2925"/>
      <c r="C25" s="2031" t="s">
        <v>1279</v>
      </c>
      <c r="D25" s="3639">
        <f>SUMIF(余额表!J:J,"管理费用-"&amp;C25,余额表!E:E)</f>
        <v>0</v>
      </c>
      <c r="E25" s="3640"/>
      <c r="F25" s="1120"/>
      <c r="G25" s="1200"/>
      <c r="H25" s="699">
        <f t="shared" si="0"/>
        <v>0</v>
      </c>
      <c r="I25" s="3112"/>
      <c r="J25" s="3112"/>
      <c r="K25" s="3112"/>
      <c r="L25" s="3112"/>
      <c r="M25" s="673"/>
    </row>
    <row r="26" spans="1:13" ht="16.5" customHeight="1">
      <c r="A26" s="2925">
        <v>21</v>
      </c>
      <c r="B26" s="2925"/>
      <c r="C26" s="2031" t="s">
        <v>1277</v>
      </c>
      <c r="D26" s="3639">
        <f>SUMIF(余额表!J:J,"管理费用-"&amp;C26,余额表!E:E)</f>
        <v>0</v>
      </c>
      <c r="E26" s="3640"/>
      <c r="F26" s="1120"/>
      <c r="G26" s="1200"/>
      <c r="H26" s="699">
        <f t="shared" si="0"/>
        <v>0</v>
      </c>
      <c r="I26" s="523"/>
      <c r="J26" s="748"/>
      <c r="K26" s="748"/>
      <c r="L26" s="748"/>
      <c r="M26" s="673"/>
    </row>
    <row r="27" spans="1:13" ht="16.5" customHeight="1">
      <c r="A27" s="2925">
        <v>22</v>
      </c>
      <c r="B27" s="2925"/>
      <c r="C27" s="2031" t="s">
        <v>1278</v>
      </c>
      <c r="D27" s="3639">
        <f>SUMIF(余额表!J:J,"管理费用-"&amp;C27,余额表!E:E)</f>
        <v>0</v>
      </c>
      <c r="E27" s="3640"/>
      <c r="F27" s="1120"/>
      <c r="G27" s="1200"/>
      <c r="H27" s="699">
        <f t="shared" si="0"/>
        <v>0</v>
      </c>
      <c r="I27" s="84"/>
      <c r="J27" s="812"/>
      <c r="K27" s="84"/>
      <c r="L27" s="84"/>
      <c r="M27" s="673"/>
    </row>
    <row r="28" spans="1:13" ht="16.5" customHeight="1">
      <c r="A28" s="2925">
        <v>23</v>
      </c>
      <c r="B28" s="2925"/>
      <c r="C28" s="2031" t="s">
        <v>6515</v>
      </c>
      <c r="D28" s="3639">
        <f>SUMIF(余额表!J:J,"管理费用-"&amp;C28,余额表!E:E)</f>
        <v>0</v>
      </c>
      <c r="E28" s="3640"/>
      <c r="F28" s="1120"/>
      <c r="G28" s="1200"/>
      <c r="H28" s="699">
        <f t="shared" si="0"/>
        <v>0</v>
      </c>
      <c r="I28" s="84"/>
      <c r="J28" s="812"/>
      <c r="K28" s="84"/>
      <c r="L28" s="84"/>
      <c r="M28" s="673"/>
    </row>
    <row r="29" spans="1:13" ht="16.5" customHeight="1">
      <c r="A29" s="2925">
        <v>24</v>
      </c>
      <c r="B29" s="2925"/>
      <c r="C29" s="2031" t="s">
        <v>6233</v>
      </c>
      <c r="D29" s="3639">
        <f>SUMIF(余额表!J:J,"管理费用-"&amp;C29,余额表!E:E)</f>
        <v>0</v>
      </c>
      <c r="E29" s="3640"/>
      <c r="F29" s="1120"/>
      <c r="G29" s="1200"/>
      <c r="H29" s="699">
        <f t="shared" si="0"/>
        <v>0</v>
      </c>
      <c r="I29" s="3112" t="s">
        <v>479</v>
      </c>
      <c r="J29" s="3112"/>
      <c r="K29" s="3112"/>
      <c r="L29" s="3112"/>
    </row>
    <row r="30" spans="1:13" ht="16.5" customHeight="1">
      <c r="A30" s="2925">
        <v>25</v>
      </c>
      <c r="B30" s="2925"/>
      <c r="C30" s="2031" t="s">
        <v>6234</v>
      </c>
      <c r="D30" s="3639">
        <f>SUMIF(余额表!J:J,"管理费用-"&amp;C30,余额表!E:E)</f>
        <v>0</v>
      </c>
      <c r="E30" s="3640"/>
      <c r="F30" s="1120"/>
      <c r="G30" s="1200"/>
      <c r="H30" s="699">
        <f t="shared" si="0"/>
        <v>0</v>
      </c>
      <c r="I30" s="3112"/>
      <c r="J30" s="3112"/>
      <c r="K30" s="3112"/>
      <c r="L30" s="3112"/>
    </row>
    <row r="31" spans="1:13" ht="16.5" customHeight="1">
      <c r="A31" s="2925">
        <v>26</v>
      </c>
      <c r="B31" s="2925"/>
      <c r="C31" s="2031" t="s">
        <v>6237</v>
      </c>
      <c r="D31" s="3639">
        <f>SUMIF(余额表!J:J,"管理费用-"&amp;C31,余额表!E:E)</f>
        <v>0</v>
      </c>
      <c r="E31" s="3640"/>
      <c r="F31" s="1120"/>
      <c r="G31" s="1200"/>
      <c r="H31" s="699">
        <f t="shared" si="0"/>
        <v>0</v>
      </c>
      <c r="I31" s="3112" t="s">
        <v>480</v>
      </c>
      <c r="J31" s="3112"/>
      <c r="K31" s="3112"/>
      <c r="L31" s="3112"/>
    </row>
    <row r="32" spans="1:13" ht="16.5" customHeight="1">
      <c r="A32" s="2925">
        <v>27</v>
      </c>
      <c r="B32" s="2925"/>
      <c r="C32" s="2031" t="s">
        <v>6241</v>
      </c>
      <c r="D32" s="3639">
        <f>SUMIF(余额表!J:J,"管理费用-"&amp;C32,余额表!E:E)</f>
        <v>0</v>
      </c>
      <c r="E32" s="3640"/>
      <c r="F32" s="1120"/>
      <c r="G32" s="1200"/>
      <c r="H32" s="699">
        <f t="shared" si="0"/>
        <v>0</v>
      </c>
      <c r="I32" s="3112"/>
      <c r="J32" s="3112"/>
      <c r="K32" s="3112"/>
      <c r="L32" s="3112"/>
    </row>
    <row r="33" spans="1:12" ht="16.5" customHeight="1">
      <c r="A33" s="2925">
        <v>28</v>
      </c>
      <c r="B33" s="2925"/>
      <c r="C33" s="2031" t="s">
        <v>6242</v>
      </c>
      <c r="D33" s="3639">
        <f>SUMIF(余额表!J:J,"管理费用-"&amp;C33,余额表!E:E)</f>
        <v>0</v>
      </c>
      <c r="E33" s="3640"/>
      <c r="F33" s="1120"/>
      <c r="G33" s="1200"/>
      <c r="H33" s="699">
        <f t="shared" si="0"/>
        <v>0</v>
      </c>
      <c r="I33" s="3112" t="s">
        <v>476</v>
      </c>
      <c r="J33" s="3112"/>
      <c r="K33" s="3112"/>
      <c r="L33" s="3112"/>
    </row>
    <row r="34" spans="1:12" ht="16.5" customHeight="1">
      <c r="A34" s="2925">
        <v>29</v>
      </c>
      <c r="B34" s="2925"/>
      <c r="C34" s="2031" t="s">
        <v>6244</v>
      </c>
      <c r="D34" s="3639">
        <f>SUMIF(余额表!J:J,"管理费用-"&amp;C34,余额表!E:E)</f>
        <v>0</v>
      </c>
      <c r="E34" s="3640"/>
      <c r="F34" s="2006"/>
      <c r="G34" s="1200"/>
      <c r="H34" s="699">
        <f t="shared" si="0"/>
        <v>0</v>
      </c>
      <c r="I34" s="3112"/>
      <c r="J34" s="3112"/>
      <c r="K34" s="3112"/>
      <c r="L34" s="3112"/>
    </row>
    <row r="35" spans="1:12" ht="16.5" customHeight="1">
      <c r="A35" s="2925">
        <v>30</v>
      </c>
      <c r="B35" s="2925"/>
      <c r="C35" s="2031" t="s">
        <v>6245</v>
      </c>
      <c r="D35" s="3639">
        <f>SUMIF(余额表!J:J,"管理费用-"&amp;C35,余额表!E:E)</f>
        <v>0</v>
      </c>
      <c r="E35" s="3640"/>
      <c r="F35" s="2006"/>
      <c r="G35" s="1200"/>
      <c r="H35" s="699">
        <f t="shared" si="0"/>
        <v>0</v>
      </c>
      <c r="I35" s="3112"/>
      <c r="J35" s="3112"/>
      <c r="K35" s="3112"/>
      <c r="L35" s="3112"/>
    </row>
    <row r="36" spans="1:12" ht="16.5" customHeight="1">
      <c r="A36" s="2925">
        <v>31</v>
      </c>
      <c r="B36" s="2925"/>
      <c r="C36" s="2031" t="s">
        <v>6246</v>
      </c>
      <c r="D36" s="3639">
        <f>SUMIF(余额表!J:J,"管理费用-"&amp;C36,余额表!E:E)</f>
        <v>0</v>
      </c>
      <c r="E36" s="3640"/>
      <c r="F36" s="2006"/>
      <c r="G36" s="1200"/>
      <c r="H36" s="699">
        <f t="shared" si="0"/>
        <v>0</v>
      </c>
      <c r="I36" s="3112"/>
      <c r="J36" s="3112"/>
      <c r="K36" s="3112"/>
      <c r="L36" s="3112"/>
    </row>
    <row r="37" spans="1:12" ht="16.5" customHeight="1">
      <c r="A37" s="2925">
        <v>32</v>
      </c>
      <c r="B37" s="2925"/>
      <c r="C37" s="2031" t="s">
        <v>6516</v>
      </c>
      <c r="D37" s="3639">
        <f>SUMIF(余额表!J:J,"管理费用-"&amp;C37,余额表!E:E)</f>
        <v>0</v>
      </c>
      <c r="E37" s="3640"/>
      <c r="F37" s="2006"/>
      <c r="G37" s="1200"/>
      <c r="H37" s="699">
        <f t="shared" si="0"/>
        <v>0</v>
      </c>
      <c r="I37" s="3112"/>
      <c r="J37" s="3112"/>
      <c r="K37" s="3112"/>
      <c r="L37" s="3112"/>
    </row>
    <row r="38" spans="1:12" ht="16.5" customHeight="1">
      <c r="A38" s="2925">
        <v>33</v>
      </c>
      <c r="B38" s="2925"/>
      <c r="C38" s="2031" t="s">
        <v>6249</v>
      </c>
      <c r="D38" s="3639">
        <f>SUMIF(余额表!J:J,"管理费用-"&amp;C38,余额表!E:E)</f>
        <v>0</v>
      </c>
      <c r="E38" s="3640"/>
      <c r="F38" s="1120"/>
      <c r="G38" s="1200"/>
      <c r="H38" s="699">
        <f t="shared" si="0"/>
        <v>0</v>
      </c>
      <c r="I38" s="3112"/>
      <c r="J38" s="3112"/>
      <c r="K38" s="3112"/>
      <c r="L38" s="3112"/>
    </row>
    <row r="39" spans="1:12" ht="16.5" customHeight="1">
      <c r="A39" s="2925">
        <v>34</v>
      </c>
      <c r="B39" s="2925"/>
      <c r="C39" s="2031" t="s">
        <v>6250</v>
      </c>
      <c r="D39" s="3639">
        <f>SUMIF(余额表!J:J,"管理费用-"&amp;C39,余额表!E:E)</f>
        <v>0</v>
      </c>
      <c r="E39" s="3640"/>
      <c r="F39" s="1120"/>
      <c r="G39" s="1200"/>
      <c r="H39" s="699">
        <f t="shared" si="0"/>
        <v>0</v>
      </c>
      <c r="I39" s="3112" t="s">
        <v>481</v>
      </c>
      <c r="J39" s="3112"/>
      <c r="K39" s="3112"/>
      <c r="L39" s="3112"/>
    </row>
    <row r="40" spans="1:12" ht="16.5" customHeight="1">
      <c r="A40" s="2925">
        <v>35</v>
      </c>
      <c r="B40" s="2925"/>
      <c r="C40" s="2031" t="s">
        <v>6251</v>
      </c>
      <c r="D40" s="3639">
        <f>SUMIF(余额表!J:J,"管理费用-"&amp;C40,余额表!E:E)</f>
        <v>0</v>
      </c>
      <c r="E40" s="3640"/>
      <c r="F40" s="1120"/>
      <c r="G40" s="1200"/>
      <c r="H40" s="699">
        <f t="shared" si="0"/>
        <v>0</v>
      </c>
      <c r="I40" s="3112"/>
      <c r="J40" s="3112"/>
      <c r="K40" s="3112"/>
      <c r="L40" s="3112"/>
    </row>
    <row r="41" spans="1:12" ht="16.5" customHeight="1">
      <c r="A41" s="2925">
        <v>36</v>
      </c>
      <c r="B41" s="2925"/>
      <c r="C41" s="2031" t="s">
        <v>6252</v>
      </c>
      <c r="D41" s="3639">
        <f>SUMIF(余额表!J:J,"管理费用-"&amp;C41,余额表!E:E)</f>
        <v>0</v>
      </c>
      <c r="E41" s="3640"/>
      <c r="F41" s="2006"/>
      <c r="G41" s="1200"/>
      <c r="H41" s="699">
        <f t="shared" si="0"/>
        <v>0</v>
      </c>
      <c r="I41" s="3112"/>
      <c r="J41" s="3112"/>
      <c r="K41" s="3112"/>
      <c r="L41" s="3112"/>
    </row>
    <row r="42" spans="1:12" ht="16.5" customHeight="1">
      <c r="A42" s="2925">
        <v>37</v>
      </c>
      <c r="B42" s="2925"/>
      <c r="C42" s="2031" t="s">
        <v>1295</v>
      </c>
      <c r="D42" s="3639">
        <f>SUMIF(余额表!J:J,"管理费用-"&amp;C42,余额表!E:E)</f>
        <v>0</v>
      </c>
      <c r="E42" s="3640"/>
      <c r="F42" s="2637">
        <f>-F7-F8-F10</f>
        <v>0</v>
      </c>
      <c r="G42" s="1200"/>
      <c r="H42" s="699">
        <f t="shared" si="0"/>
        <v>0</v>
      </c>
      <c r="I42" s="3112"/>
      <c r="J42" s="3112"/>
      <c r="K42" s="3112"/>
      <c r="L42" s="3112"/>
    </row>
    <row r="43" spans="1:12" ht="16.5" customHeight="1">
      <c r="A43" s="3642" t="s">
        <v>6549</v>
      </c>
      <c r="B43" s="3643"/>
      <c r="C43" s="964" t="s">
        <v>6601</v>
      </c>
      <c r="D43" s="3145"/>
      <c r="E43" s="3145"/>
      <c r="F43" s="1120"/>
      <c r="G43" s="1200"/>
      <c r="H43" s="699">
        <f t="shared" si="0"/>
        <v>0</v>
      </c>
      <c r="I43" s="3112"/>
      <c r="J43" s="3112"/>
      <c r="K43" s="3112"/>
      <c r="L43" s="3112"/>
    </row>
    <row r="44" spans="1:12" ht="21.75" customHeight="1">
      <c r="A44" s="2926" t="s">
        <v>702</v>
      </c>
      <c r="B44" s="2926"/>
      <c r="C44" s="2926"/>
      <c r="D44" s="3239">
        <f>SUM(D6:D42)</f>
        <v>0</v>
      </c>
      <c r="E44" s="3239"/>
      <c r="F44" s="721">
        <f>SUM(F6:F42)</f>
        <v>0</v>
      </c>
      <c r="G44" s="721">
        <f>SUM(G6:G42)</f>
        <v>0</v>
      </c>
      <c r="H44" s="596">
        <f>SUM(H6:H42)</f>
        <v>0</v>
      </c>
      <c r="I44" s="84"/>
      <c r="J44" s="812"/>
      <c r="K44" s="84"/>
      <c r="L44" s="84"/>
    </row>
    <row r="45" spans="1:12" ht="21.75" customHeight="1">
      <c r="A45" s="3046" t="s">
        <v>641</v>
      </c>
      <c r="B45" s="3046"/>
      <c r="C45" s="3176" t="str">
        <f>IF(D44&lt;&gt;利润!C18,"账载数与报表数相差"&amp;DOLLAR(D44-利润!C18,2)&amp;"元！","账载数与报表数相符！")</f>
        <v>账载数与报表数相符！</v>
      </c>
      <c r="D45" s="3176"/>
      <c r="E45" s="3176"/>
      <c r="F45" s="3176"/>
      <c r="G45" s="3176"/>
      <c r="H45" s="3176"/>
      <c r="I45" s="84"/>
      <c r="J45" s="812"/>
      <c r="K45" s="84"/>
      <c r="L45" s="84"/>
    </row>
    <row r="46" spans="1:12" ht="15" customHeight="1">
      <c r="A46" s="3080" t="s">
        <v>1323</v>
      </c>
      <c r="B46" s="3080"/>
      <c r="C46" s="965" t="s">
        <v>175</v>
      </c>
      <c r="D46" s="3641" t="str">
        <f>IF(F44&lt;&gt;0,"、E","")</f>
        <v/>
      </c>
      <c r="E46" s="3641"/>
      <c r="F46" s="3641"/>
      <c r="G46" s="3641"/>
      <c r="H46" s="3641"/>
      <c r="I46" s="84"/>
      <c r="J46" s="812"/>
      <c r="K46" s="84"/>
      <c r="L46" s="84"/>
    </row>
    <row r="47" spans="1:12" ht="33.75" customHeight="1">
      <c r="A47" s="3080"/>
      <c r="B47" s="3080"/>
      <c r="C47" s="3181"/>
      <c r="D47" s="3181"/>
      <c r="E47" s="3181"/>
      <c r="F47" s="3181"/>
      <c r="G47" s="3181"/>
      <c r="H47" s="3181"/>
      <c r="I47" s="84"/>
      <c r="J47" s="812"/>
      <c r="K47" s="84"/>
      <c r="L47" s="84"/>
    </row>
    <row r="48" spans="1:12" ht="18.75" customHeight="1">
      <c r="A48" s="3178" t="s">
        <v>574</v>
      </c>
      <c r="B48" s="3178"/>
      <c r="C48" s="3157" t="str">
        <f>IF(F44=0,"不存在调整事项，认可！","调整后认可！")</f>
        <v>不存在调整事项，认可！</v>
      </c>
      <c r="D48" s="3157"/>
      <c r="E48" s="3157"/>
      <c r="F48" s="3157"/>
      <c r="G48" s="3157"/>
      <c r="H48" s="3157"/>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D37:E37"/>
    <mergeCell ref="A41:B41"/>
    <mergeCell ref="D41:E41"/>
    <mergeCell ref="A42:B42"/>
    <mergeCell ref="D42:E42"/>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I29:L30"/>
    <mergeCell ref="A30:B30"/>
    <mergeCell ref="D32:E32"/>
    <mergeCell ref="A31:B31"/>
    <mergeCell ref="D31:E31"/>
    <mergeCell ref="I31:L32"/>
    <mergeCell ref="A32:B32"/>
    <mergeCell ref="D30:E30"/>
    <mergeCell ref="A26:B26"/>
    <mergeCell ref="D26:E26"/>
    <mergeCell ref="A29:B29"/>
    <mergeCell ref="D29:E29"/>
    <mergeCell ref="D27:E27"/>
    <mergeCell ref="A27:B27"/>
    <mergeCell ref="I18:L25"/>
    <mergeCell ref="A19:B19"/>
    <mergeCell ref="D19:E19"/>
    <mergeCell ref="A20:B20"/>
    <mergeCell ref="D20:E20"/>
    <mergeCell ref="A23:B23"/>
    <mergeCell ref="D23:E23"/>
    <mergeCell ref="A24:B24"/>
    <mergeCell ref="D24:E24"/>
    <mergeCell ref="A25:B25"/>
    <mergeCell ref="D25:E25"/>
    <mergeCell ref="A22:B22"/>
    <mergeCell ref="D22:E22"/>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0:B10"/>
    <mergeCell ref="D10:E10"/>
    <mergeCell ref="D11:E11"/>
    <mergeCell ref="A8:B8"/>
    <mergeCell ref="D8:E8"/>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5.6"/>
  <cols>
    <col min="1" max="1" width="6" style="954" customWidth="1"/>
    <col min="2" max="2" width="1.5" style="954" customWidth="1"/>
    <col min="3" max="3" width="31" style="771" customWidth="1"/>
    <col min="4" max="4" width="6.3984375" style="771" customWidth="1"/>
    <col min="5" max="5" width="8.5" style="771" customWidth="1"/>
    <col min="6" max="8" width="14.09765625" style="771" customWidth="1"/>
    <col min="9" max="9" width="28.09765625" customWidth="1"/>
    <col min="10" max="10" width="19.59765625" customWidth="1"/>
  </cols>
  <sheetData>
    <row r="1" spans="1:13" ht="29.25" customHeight="1">
      <c r="A1" s="3101" t="s">
        <v>328</v>
      </c>
      <c r="B1" s="3101"/>
      <c r="C1" s="3101"/>
      <c r="D1" s="3101"/>
      <c r="E1" s="3101"/>
      <c r="F1" s="3101"/>
      <c r="G1" s="3101"/>
      <c r="H1" s="3101"/>
      <c r="I1" s="3590"/>
      <c r="J1" s="84"/>
      <c r="K1" s="84"/>
      <c r="L1" s="84"/>
    </row>
    <row r="2" spans="1:13" ht="21.75" customHeight="1">
      <c r="A2" s="3046" t="s">
        <v>447</v>
      </c>
      <c r="B2" s="3046"/>
      <c r="C2" s="955">
        <f>基本情况!$B$2</f>
        <v>0</v>
      </c>
      <c r="D2" s="3635" t="s">
        <v>450</v>
      </c>
      <c r="E2" s="3636"/>
      <c r="F2" s="1801">
        <f>基本情况!B12</f>
        <v>0</v>
      </c>
      <c r="G2" s="644" t="str">
        <f>TEXT(基本情况!B21,"yyyy-mm-dd")</f>
        <v>2017-03-16</v>
      </c>
      <c r="H2" s="485" t="s">
        <v>283</v>
      </c>
      <c r="I2" s="3590"/>
      <c r="J2" s="84"/>
      <c r="K2" s="84"/>
      <c r="L2" s="84"/>
    </row>
    <row r="3" spans="1:13" ht="21.75" customHeight="1">
      <c r="A3" s="3169" t="s">
        <v>451</v>
      </c>
      <c r="B3" s="3169"/>
      <c r="C3" s="958" t="str">
        <f>基本情况!$B$7</f>
        <v>2016年01月01日至2016年12月31日</v>
      </c>
      <c r="D3" s="3637" t="s">
        <v>452</v>
      </c>
      <c r="E3" s="3638"/>
      <c r="F3" s="960">
        <f>基本情况!B11</f>
        <v>0</v>
      </c>
      <c r="G3" s="1799" t="str">
        <f>TEXT(基本情况!B22,"yyyy-mm-dd")</f>
        <v>2017-05-04</v>
      </c>
      <c r="H3" s="961" t="str">
        <f>档案索引!D30</f>
        <v>3-9</v>
      </c>
      <c r="I3" s="3590"/>
      <c r="J3" s="84"/>
      <c r="K3" s="84"/>
      <c r="L3" s="84"/>
    </row>
    <row r="4" spans="1:13" ht="6.75" customHeight="1">
      <c r="A4" s="2916"/>
      <c r="B4" s="2916"/>
      <c r="C4" s="2916"/>
      <c r="D4" s="2916"/>
      <c r="E4" s="2916"/>
      <c r="F4" s="2916"/>
      <c r="G4" s="2916"/>
      <c r="H4" s="2916"/>
      <c r="I4" s="3590"/>
      <c r="J4" s="84"/>
      <c r="K4" s="84"/>
      <c r="L4" s="84"/>
    </row>
    <row r="5" spans="1:13" ht="21.75" customHeight="1">
      <c r="A5" s="3043" t="s">
        <v>645</v>
      </c>
      <c r="B5" s="3043"/>
      <c r="C5" s="582" t="s">
        <v>665</v>
      </c>
      <c r="D5" s="3044" t="s">
        <v>1181</v>
      </c>
      <c r="E5" s="3044"/>
      <c r="F5" s="582" t="s">
        <v>906</v>
      </c>
      <c r="G5" s="779" t="s">
        <v>6510</v>
      </c>
      <c r="H5" s="772" t="s">
        <v>502</v>
      </c>
      <c r="I5" s="962" t="s">
        <v>395</v>
      </c>
      <c r="J5" s="966"/>
      <c r="K5" s="84"/>
      <c r="L5" s="84"/>
    </row>
    <row r="6" spans="1:13" ht="23.25" customHeight="1">
      <c r="A6" s="3175">
        <v>1</v>
      </c>
      <c r="B6" s="3175"/>
      <c r="C6" s="963" t="s">
        <v>482</v>
      </c>
      <c r="D6" s="3634">
        <f>SUMIF(余额表!J:J,"财务费用-"&amp;C6,余额表!E:E)</f>
        <v>0</v>
      </c>
      <c r="E6" s="3634"/>
      <c r="F6" s="1118"/>
      <c r="G6" s="1800"/>
      <c r="H6" s="967">
        <f>D6+F6</f>
        <v>0</v>
      </c>
      <c r="I6" s="1266" t="s">
        <v>6596</v>
      </c>
      <c r="J6" s="84"/>
      <c r="K6" s="84"/>
      <c r="L6" s="84"/>
    </row>
    <row r="7" spans="1:13" ht="23.25" customHeight="1">
      <c r="A7" s="2925">
        <v>2</v>
      </c>
      <c r="B7" s="2925"/>
      <c r="C7" s="494" t="s">
        <v>483</v>
      </c>
      <c r="D7" s="3639">
        <f>SUMIF(余额表!J:J,"财务费用-"&amp;C7,余额表!E:E)</f>
        <v>0</v>
      </c>
      <c r="E7" s="3640"/>
      <c r="F7" s="1120"/>
      <c r="G7" s="1200"/>
      <c r="H7" s="699">
        <f>D7+F7</f>
        <v>0</v>
      </c>
      <c r="I7" s="232" t="s">
        <v>642</v>
      </c>
      <c r="J7" s="84"/>
      <c r="K7" s="84"/>
      <c r="L7" s="84"/>
    </row>
    <row r="8" spans="1:13" ht="23.25" customHeight="1">
      <c r="A8" s="2925">
        <v>3</v>
      </c>
      <c r="B8" s="2925"/>
      <c r="C8" s="970" t="s">
        <v>484</v>
      </c>
      <c r="D8" s="3145"/>
      <c r="E8" s="3145"/>
      <c r="F8" s="1120"/>
      <c r="G8" s="1200"/>
      <c r="H8" s="699">
        <f t="shared" ref="H8:H26" si="0">D8+F8</f>
        <v>0</v>
      </c>
      <c r="I8" s="575" t="s">
        <v>1291</v>
      </c>
      <c r="J8" s="84"/>
      <c r="K8" s="84"/>
      <c r="L8" s="84"/>
    </row>
    <row r="9" spans="1:13" ht="23.25" customHeight="1">
      <c r="A9" s="2925">
        <v>4</v>
      </c>
      <c r="B9" s="2925"/>
      <c r="C9" s="494" t="s">
        <v>485</v>
      </c>
      <c r="D9" s="3639">
        <f>SUMIF(余额表!J:J,"财务费用-"&amp;C9,余额表!E:E)</f>
        <v>0</v>
      </c>
      <c r="E9" s="3640"/>
      <c r="F9" s="1120"/>
      <c r="G9" s="1200"/>
      <c r="H9" s="699">
        <f t="shared" si="0"/>
        <v>0</v>
      </c>
      <c r="I9" s="575" t="s">
        <v>72</v>
      </c>
      <c r="J9" s="84"/>
      <c r="K9" s="84"/>
      <c r="L9" s="84"/>
    </row>
    <row r="10" spans="1:13" ht="23.25" customHeight="1">
      <c r="A10" s="2925">
        <v>5</v>
      </c>
      <c r="B10" s="2925"/>
      <c r="C10" s="2029" t="s">
        <v>6557</v>
      </c>
      <c r="D10" s="3639">
        <f>SUMIF(余额表!J:J,"财务费用-"&amp;C10,余额表!E:E)</f>
        <v>0</v>
      </c>
      <c r="E10" s="3640"/>
      <c r="F10" s="1120"/>
      <c r="G10" s="1200"/>
      <c r="H10" s="699">
        <f t="shared" si="0"/>
        <v>0</v>
      </c>
      <c r="I10" s="575" t="s">
        <v>1485</v>
      </c>
      <c r="J10" s="84"/>
      <c r="K10" s="84"/>
      <c r="L10" s="84"/>
    </row>
    <row r="11" spans="1:13" ht="23.25" customHeight="1">
      <c r="A11" s="2925">
        <v>6</v>
      </c>
      <c r="B11" s="2925"/>
      <c r="C11" s="2029" t="s">
        <v>486</v>
      </c>
      <c r="D11" s="3639">
        <f>-SUMIF(余额表!J:J,"财务费用-利息收入",余额表!E:E)</f>
        <v>0</v>
      </c>
      <c r="E11" s="3640"/>
      <c r="F11" s="1120"/>
      <c r="G11" s="1200"/>
      <c r="H11" s="699">
        <f t="shared" si="0"/>
        <v>0</v>
      </c>
      <c r="I11" s="232" t="s">
        <v>487</v>
      </c>
      <c r="J11" s="84"/>
      <c r="K11" s="84"/>
      <c r="L11" s="84"/>
    </row>
    <row r="12" spans="1:13" ht="23.25" customHeight="1">
      <c r="A12" s="2925">
        <v>7</v>
      </c>
      <c r="B12" s="2925"/>
      <c r="C12" s="2029" t="s">
        <v>488</v>
      </c>
      <c r="D12" s="3145"/>
      <c r="E12" s="3145"/>
      <c r="F12" s="1120"/>
      <c r="G12" s="1200"/>
      <c r="H12" s="699">
        <f t="shared" si="0"/>
        <v>0</v>
      </c>
      <c r="I12" s="232" t="s">
        <v>931</v>
      </c>
      <c r="J12" s="84"/>
      <c r="K12" s="84"/>
      <c r="L12" s="84"/>
    </row>
    <row r="13" spans="1:13" ht="23.25" customHeight="1">
      <c r="A13" s="2925">
        <v>8</v>
      </c>
      <c r="B13" s="2925"/>
      <c r="C13" s="2029" t="s">
        <v>489</v>
      </c>
      <c r="D13" s="3639">
        <f>-SUMIF(余额表!J:J,"财务费用-汇兑收益",余额表!E:E)</f>
        <v>0</v>
      </c>
      <c r="E13" s="3640"/>
      <c r="F13" s="1120"/>
      <c r="G13" s="1200"/>
      <c r="H13" s="699">
        <f t="shared" si="0"/>
        <v>0</v>
      </c>
      <c r="I13" s="232" t="s">
        <v>918</v>
      </c>
      <c r="J13" s="84"/>
      <c r="K13" s="84"/>
      <c r="L13" s="84"/>
    </row>
    <row r="14" spans="1:13" ht="23.25" customHeight="1">
      <c r="A14" s="2925">
        <v>9</v>
      </c>
      <c r="B14" s="2925"/>
      <c r="C14" s="2029" t="s">
        <v>6558</v>
      </c>
      <c r="D14" s="3639">
        <f>SUMIF(余额表!J:J,"财务费用-其他",余额表!E:E)</f>
        <v>0</v>
      </c>
      <c r="E14" s="3640"/>
      <c r="F14" s="1120"/>
      <c r="G14" s="1200"/>
      <c r="H14" s="699">
        <f t="shared" si="0"/>
        <v>0</v>
      </c>
      <c r="I14" s="1235" t="s">
        <v>368</v>
      </c>
      <c r="J14" s="84"/>
      <c r="K14" s="84"/>
      <c r="L14" s="84"/>
    </row>
    <row r="15" spans="1:13" ht="23.25" customHeight="1">
      <c r="A15" s="2925">
        <v>10</v>
      </c>
      <c r="B15" s="2925"/>
      <c r="C15" s="2038" t="s">
        <v>6550</v>
      </c>
      <c r="D15" s="3145"/>
      <c r="E15" s="3145"/>
      <c r="F15" s="1120"/>
      <c r="G15" s="1200"/>
      <c r="H15" s="699">
        <f t="shared" si="0"/>
        <v>0</v>
      </c>
      <c r="I15" s="3112" t="s">
        <v>490</v>
      </c>
      <c r="J15" s="3112"/>
      <c r="K15" s="3112"/>
      <c r="L15" s="3112"/>
      <c r="M15" s="673"/>
    </row>
    <row r="16" spans="1:13" ht="23.25" customHeight="1">
      <c r="A16" s="2925">
        <v>11</v>
      </c>
      <c r="B16" s="2925"/>
      <c r="C16" s="971"/>
      <c r="D16" s="3145"/>
      <c r="E16" s="3145"/>
      <c r="F16" s="1120"/>
      <c r="G16" s="1200"/>
      <c r="H16" s="699">
        <f t="shared" si="0"/>
        <v>0</v>
      </c>
      <c r="I16" s="3112"/>
      <c r="J16" s="3112"/>
      <c r="K16" s="3112"/>
      <c r="L16" s="3112"/>
      <c r="M16" s="673"/>
    </row>
    <row r="17" spans="1:16" ht="23.25" customHeight="1">
      <c r="A17" s="2925">
        <v>12</v>
      </c>
      <c r="B17" s="2925"/>
      <c r="C17" s="964"/>
      <c r="D17" s="3145"/>
      <c r="E17" s="3145"/>
      <c r="F17" s="1120"/>
      <c r="G17" s="1200"/>
      <c r="H17" s="699">
        <f t="shared" si="0"/>
        <v>0</v>
      </c>
      <c r="I17" s="3112"/>
      <c r="J17" s="3112"/>
      <c r="K17" s="3112"/>
      <c r="L17" s="3112"/>
      <c r="M17" s="673"/>
    </row>
    <row r="18" spans="1:16" ht="23.25" customHeight="1">
      <c r="A18" s="2925">
        <v>13</v>
      </c>
      <c r="B18" s="2925"/>
      <c r="C18" s="964"/>
      <c r="D18" s="3145"/>
      <c r="E18" s="3145"/>
      <c r="F18" s="1120"/>
      <c r="G18" s="1200"/>
      <c r="H18" s="699">
        <f t="shared" si="0"/>
        <v>0</v>
      </c>
      <c r="I18" s="3112"/>
      <c r="J18" s="3112"/>
      <c r="K18" s="3112"/>
      <c r="L18" s="3112"/>
      <c r="M18" s="673"/>
    </row>
    <row r="19" spans="1:16" ht="23.25" customHeight="1">
      <c r="A19" s="2925">
        <v>14</v>
      </c>
      <c r="B19" s="2925"/>
      <c r="C19" s="964"/>
      <c r="D19" s="3145"/>
      <c r="E19" s="3145"/>
      <c r="F19" s="1120"/>
      <c r="G19" s="1200"/>
      <c r="H19" s="699">
        <f t="shared" si="0"/>
        <v>0</v>
      </c>
      <c r="I19" s="3112"/>
      <c r="J19" s="3112"/>
      <c r="K19" s="3112"/>
      <c r="L19" s="3112"/>
      <c r="M19" s="673"/>
    </row>
    <row r="20" spans="1:16" ht="23.25" customHeight="1">
      <c r="A20" s="2925">
        <v>15</v>
      </c>
      <c r="B20" s="2925"/>
      <c r="C20" s="964"/>
      <c r="D20" s="3145"/>
      <c r="E20" s="3145"/>
      <c r="F20" s="1120"/>
      <c r="G20" s="1200"/>
      <c r="H20" s="699">
        <f t="shared" si="0"/>
        <v>0</v>
      </c>
      <c r="I20" s="3112"/>
      <c r="J20" s="3112"/>
      <c r="K20" s="3112"/>
      <c r="L20" s="3112"/>
      <c r="M20" s="673"/>
    </row>
    <row r="21" spans="1:16" ht="23.25" customHeight="1">
      <c r="A21" s="2925">
        <v>16</v>
      </c>
      <c r="B21" s="2925"/>
      <c r="C21" s="968"/>
      <c r="D21" s="3145"/>
      <c r="E21" s="3145"/>
      <c r="F21" s="1120"/>
      <c r="G21" s="1200"/>
      <c r="H21" s="699">
        <f t="shared" si="0"/>
        <v>0</v>
      </c>
      <c r="I21" s="3112" t="s">
        <v>491</v>
      </c>
      <c r="J21" s="3112"/>
      <c r="K21" s="3112"/>
      <c r="L21" s="3112"/>
      <c r="M21" s="673"/>
    </row>
    <row r="22" spans="1:16" ht="23.25" customHeight="1">
      <c r="A22" s="2925">
        <v>17</v>
      </c>
      <c r="B22" s="2925"/>
      <c r="C22" s="968"/>
      <c r="D22" s="3145"/>
      <c r="E22" s="3145"/>
      <c r="F22" s="1120"/>
      <c r="G22" s="1200"/>
      <c r="H22" s="699">
        <f t="shared" si="0"/>
        <v>0</v>
      </c>
      <c r="I22" s="3112"/>
      <c r="J22" s="3112"/>
      <c r="K22" s="3112"/>
      <c r="L22" s="3112"/>
    </row>
    <row r="23" spans="1:16" ht="23.25" customHeight="1">
      <c r="A23" s="2925">
        <v>18</v>
      </c>
      <c r="B23" s="2925"/>
      <c r="C23" s="968"/>
      <c r="D23" s="3145"/>
      <c r="E23" s="3145"/>
      <c r="F23" s="1120"/>
      <c r="G23" s="1200"/>
      <c r="H23" s="699">
        <f t="shared" si="0"/>
        <v>0</v>
      </c>
      <c r="I23" s="3112"/>
      <c r="J23" s="3112"/>
      <c r="K23" s="3112"/>
      <c r="L23" s="3112"/>
    </row>
    <row r="24" spans="1:16" ht="23.25" customHeight="1">
      <c r="A24" s="2925">
        <v>19</v>
      </c>
      <c r="B24" s="2925"/>
      <c r="C24" s="968"/>
      <c r="D24" s="3145"/>
      <c r="E24" s="3145"/>
      <c r="F24" s="1120"/>
      <c r="G24" s="1200"/>
      <c r="H24" s="699">
        <f t="shared" si="0"/>
        <v>0</v>
      </c>
      <c r="I24" s="3112"/>
      <c r="J24" s="3112"/>
      <c r="K24" s="3112"/>
      <c r="L24" s="3112"/>
    </row>
    <row r="25" spans="1:16" ht="23.25" customHeight="1">
      <c r="A25" s="2925">
        <v>20</v>
      </c>
      <c r="B25" s="2925"/>
      <c r="C25" s="968"/>
      <c r="D25" s="3145"/>
      <c r="E25" s="3145"/>
      <c r="F25" s="1120"/>
      <c r="G25" s="1200"/>
      <c r="H25" s="699">
        <f t="shared" si="0"/>
        <v>0</v>
      </c>
      <c r="I25" s="3112"/>
      <c r="J25" s="3112"/>
      <c r="K25" s="3112"/>
      <c r="L25" s="3112"/>
    </row>
    <row r="26" spans="1:16" ht="23.25" customHeight="1">
      <c r="A26" s="2925">
        <v>21</v>
      </c>
      <c r="B26" s="2925"/>
      <c r="C26" s="968"/>
      <c r="D26" s="3145"/>
      <c r="E26" s="3145"/>
      <c r="F26" s="1120"/>
      <c r="G26" s="1200"/>
      <c r="H26" s="699">
        <f t="shared" si="0"/>
        <v>0</v>
      </c>
      <c r="I26" s="3644" t="s">
        <v>1353</v>
      </c>
      <c r="J26" s="3644"/>
      <c r="K26" s="3644"/>
      <c r="L26" s="3644"/>
      <c r="M26" s="502"/>
      <c r="N26" s="502"/>
      <c r="O26" s="502"/>
      <c r="P26" s="502"/>
    </row>
    <row r="27" spans="1:16" ht="23.25" customHeight="1">
      <c r="A27" s="2926" t="s">
        <v>702</v>
      </c>
      <c r="B27" s="2926"/>
      <c r="C27" s="2926"/>
      <c r="D27" s="3239">
        <f>D6+D7+D9+D10-D11-D13+D14</f>
        <v>0</v>
      </c>
      <c r="E27" s="3239"/>
      <c r="F27" s="721">
        <f>F6+F7+F9+F10-F11-F13+F14</f>
        <v>0</v>
      </c>
      <c r="G27" s="721">
        <f>G6+G7+G9+G10-G11-G13+G14</f>
        <v>0</v>
      </c>
      <c r="H27" s="702">
        <f>H6+H7+H9+H10-H11-H13+H14</f>
        <v>0</v>
      </c>
      <c r="I27" s="3644"/>
      <c r="J27" s="3644"/>
      <c r="K27" s="3644"/>
      <c r="L27" s="3644"/>
      <c r="M27" s="502"/>
      <c r="N27" s="502"/>
      <c r="O27" s="502"/>
      <c r="P27" s="502"/>
    </row>
    <row r="28" spans="1:16" ht="23.25" customHeight="1">
      <c r="A28" s="3163" t="s">
        <v>641</v>
      </c>
      <c r="B28" s="3163"/>
      <c r="C28" s="3176" t="str">
        <f>IF(D27&lt;&gt;利润!C22,"账载数与报表数相差"&amp;DOLLAR(D27-利润!C22,2)&amp;"元！","账载数与报表数相符！")</f>
        <v>账载数与报表数相符！</v>
      </c>
      <c r="D28" s="3176"/>
      <c r="E28" s="3176"/>
      <c r="F28" s="3176"/>
      <c r="G28" s="3176"/>
      <c r="H28" s="3176"/>
      <c r="I28" s="3644"/>
      <c r="J28" s="3644"/>
      <c r="K28" s="3644"/>
      <c r="L28" s="3644"/>
      <c r="M28" s="502"/>
      <c r="N28" s="502"/>
      <c r="O28" s="502"/>
      <c r="P28" s="502"/>
    </row>
    <row r="29" spans="1:16" ht="15" customHeight="1">
      <c r="A29" s="3080" t="s">
        <v>1323</v>
      </c>
      <c r="B29" s="3080"/>
      <c r="C29" s="965" t="s">
        <v>175</v>
      </c>
      <c r="D29" s="3641" t="str">
        <f>IF(F27&lt;&gt;0,"、E","")</f>
        <v/>
      </c>
      <c r="E29" s="3641"/>
      <c r="F29" s="3641"/>
      <c r="G29" s="3641"/>
      <c r="H29" s="3641"/>
      <c r="I29" s="3644"/>
      <c r="J29" s="3644"/>
      <c r="K29" s="3644"/>
      <c r="L29" s="3644"/>
      <c r="M29" s="502"/>
      <c r="N29" s="502"/>
      <c r="O29" s="502"/>
      <c r="P29" s="502"/>
    </row>
    <row r="30" spans="1:16" ht="70.5" customHeight="1">
      <c r="A30" s="3080"/>
      <c r="B30" s="3080"/>
      <c r="C30" s="3181"/>
      <c r="D30" s="3181"/>
      <c r="E30" s="3181"/>
      <c r="F30" s="3181"/>
      <c r="G30" s="3181"/>
      <c r="H30" s="3181"/>
      <c r="I30" s="3644"/>
      <c r="J30" s="3644"/>
      <c r="K30" s="3644"/>
      <c r="L30" s="3644"/>
      <c r="M30" s="502"/>
      <c r="N30" s="502"/>
      <c r="O30" s="502"/>
      <c r="P30" s="502"/>
    </row>
    <row r="31" spans="1:16" ht="23.25" customHeight="1">
      <c r="A31" s="3178" t="s">
        <v>574</v>
      </c>
      <c r="B31" s="3178"/>
      <c r="C31" s="3157" t="str">
        <f>IF(F27=0,"不存在调整事项，认可！","调整后认可！")</f>
        <v>不存在调整事项，认可！</v>
      </c>
      <c r="D31" s="3157"/>
      <c r="E31" s="3157"/>
      <c r="F31" s="3157"/>
      <c r="G31" s="3157"/>
      <c r="H31" s="3157"/>
      <c r="I31" s="3645" t="s">
        <v>1354</v>
      </c>
      <c r="J31" s="3645"/>
      <c r="K31" s="3645"/>
      <c r="L31" s="3645"/>
      <c r="M31" s="502"/>
      <c r="N31" s="502"/>
      <c r="O31" s="502"/>
      <c r="P31" s="502"/>
    </row>
    <row r="32" spans="1:16">
      <c r="A32" s="969"/>
      <c r="B32" s="969"/>
      <c r="C32" s="502"/>
      <c r="D32" s="502"/>
      <c r="E32" s="502"/>
      <c r="F32" s="502"/>
      <c r="G32" s="502"/>
      <c r="H32" s="502"/>
      <c r="I32" s="3645"/>
      <c r="J32" s="3645"/>
      <c r="K32" s="3645"/>
      <c r="L32" s="3645"/>
      <c r="M32" s="502"/>
      <c r="N32" s="502"/>
      <c r="O32" s="502"/>
      <c r="P32" s="502"/>
    </row>
    <row r="33" spans="1:16">
      <c r="A33" s="969"/>
      <c r="B33" s="969"/>
      <c r="C33" s="502"/>
      <c r="D33" s="502"/>
      <c r="E33" s="502"/>
      <c r="F33" s="502"/>
      <c r="G33" s="502"/>
      <c r="H33" s="502"/>
      <c r="I33" s="3645"/>
      <c r="J33" s="3645"/>
      <c r="K33" s="3645"/>
      <c r="L33" s="3645"/>
      <c r="M33" s="502"/>
      <c r="N33" s="502"/>
      <c r="O33" s="502"/>
      <c r="P33" s="502"/>
    </row>
    <row r="34" spans="1:16" ht="14.25" customHeight="1">
      <c r="A34" s="969"/>
      <c r="B34" s="969"/>
      <c r="C34" s="502"/>
      <c r="D34" s="502"/>
      <c r="E34" s="502"/>
      <c r="F34" s="502"/>
      <c r="G34" s="502"/>
      <c r="H34" s="502"/>
      <c r="I34" s="3158" t="s">
        <v>1355</v>
      </c>
      <c r="J34" s="3158"/>
      <c r="K34" s="3158"/>
      <c r="L34" s="3158"/>
      <c r="M34" s="502"/>
      <c r="N34" s="502"/>
      <c r="O34" s="502"/>
      <c r="P34" s="502"/>
    </row>
    <row r="35" spans="1:16">
      <c r="A35" s="969"/>
      <c r="B35" s="969"/>
      <c r="C35" s="502"/>
      <c r="D35" s="502"/>
      <c r="E35" s="502"/>
      <c r="F35" s="502"/>
      <c r="G35" s="502"/>
      <c r="H35" s="502"/>
      <c r="I35" s="3158"/>
      <c r="J35" s="3158"/>
      <c r="K35" s="3158"/>
      <c r="L35" s="3158"/>
      <c r="M35" s="502"/>
      <c r="N35" s="502"/>
      <c r="O35" s="502"/>
      <c r="P35" s="502"/>
    </row>
    <row r="36" spans="1:16" ht="15.15" customHeight="1">
      <c r="A36" s="969"/>
      <c r="B36" s="969"/>
      <c r="C36" s="502"/>
      <c r="D36" s="502"/>
      <c r="E36" s="502"/>
      <c r="F36" s="502"/>
      <c r="G36" s="502"/>
      <c r="H36" s="502"/>
      <c r="I36" s="3158" t="s">
        <v>1356</v>
      </c>
      <c r="J36" s="3158"/>
      <c r="K36" s="3158"/>
      <c r="L36" s="3158"/>
      <c r="M36" s="502"/>
      <c r="N36" s="502"/>
      <c r="O36" s="502"/>
      <c r="P36" s="502"/>
    </row>
    <row r="37" spans="1:16" ht="14.25" customHeight="1">
      <c r="A37" s="969"/>
      <c r="B37" s="969"/>
      <c r="C37" s="502"/>
      <c r="D37" s="502"/>
      <c r="E37" s="502"/>
      <c r="F37" s="502"/>
      <c r="G37" s="502"/>
      <c r="H37" s="502"/>
      <c r="I37" s="3158" t="s">
        <v>476</v>
      </c>
      <c r="J37" s="3158"/>
      <c r="K37" s="3158"/>
      <c r="L37" s="3158"/>
      <c r="M37" s="502"/>
      <c r="N37" s="502"/>
      <c r="O37" s="502"/>
      <c r="P37" s="502"/>
    </row>
    <row r="38" spans="1:16">
      <c r="A38" s="969"/>
      <c r="B38" s="969"/>
      <c r="C38" s="502"/>
      <c r="D38" s="502"/>
      <c r="E38" s="502"/>
      <c r="F38" s="502"/>
      <c r="G38" s="502"/>
      <c r="H38" s="502"/>
      <c r="I38" s="3158"/>
      <c r="J38" s="3158"/>
      <c r="K38" s="3158"/>
      <c r="L38" s="3158"/>
      <c r="M38" s="502"/>
      <c r="N38" s="502"/>
      <c r="O38" s="502"/>
      <c r="P38" s="502"/>
    </row>
    <row r="39" spans="1:16" ht="14.25" customHeight="1">
      <c r="A39" s="969"/>
      <c r="B39" s="969"/>
      <c r="C39" s="502"/>
      <c r="D39" s="502"/>
      <c r="E39" s="502"/>
      <c r="F39" s="502"/>
      <c r="G39" s="502"/>
      <c r="H39" s="502"/>
      <c r="I39" s="3158" t="s">
        <v>1357</v>
      </c>
      <c r="J39" s="3158"/>
      <c r="K39" s="3158"/>
      <c r="L39" s="3158"/>
      <c r="M39" s="502"/>
      <c r="N39" s="502"/>
      <c r="O39" s="502"/>
      <c r="P39" s="502"/>
    </row>
    <row r="40" spans="1:16">
      <c r="A40" s="969"/>
      <c r="B40" s="969"/>
      <c r="C40" s="502"/>
      <c r="D40" s="502"/>
      <c r="E40" s="502"/>
      <c r="F40" s="502"/>
      <c r="G40" s="502"/>
      <c r="H40" s="502"/>
      <c r="I40" s="3158"/>
      <c r="J40" s="3158"/>
      <c r="K40" s="3158"/>
      <c r="L40" s="3158"/>
      <c r="M40" s="502"/>
      <c r="N40" s="502"/>
      <c r="O40" s="502"/>
      <c r="P40" s="502"/>
    </row>
    <row r="41" spans="1:16">
      <c r="A41" s="969"/>
      <c r="B41" s="969"/>
      <c r="C41" s="502"/>
      <c r="D41" s="502"/>
      <c r="E41" s="502"/>
      <c r="F41" s="502"/>
      <c r="G41" s="502"/>
      <c r="H41" s="502"/>
      <c r="I41" s="3158"/>
      <c r="J41" s="3158"/>
      <c r="K41" s="3158"/>
      <c r="L41" s="3158"/>
      <c r="M41" s="502"/>
      <c r="N41" s="502"/>
      <c r="O41" s="502"/>
      <c r="P41" s="502"/>
    </row>
    <row r="42" spans="1:16">
      <c r="A42" s="969"/>
      <c r="B42" s="969"/>
      <c r="C42" s="502"/>
      <c r="D42" s="502"/>
      <c r="E42" s="502"/>
      <c r="F42" s="502"/>
      <c r="G42" s="502"/>
      <c r="H42" s="502"/>
      <c r="I42" s="3158"/>
      <c r="J42" s="3158"/>
      <c r="K42" s="3158"/>
      <c r="L42" s="3158"/>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I39:L42"/>
    <mergeCell ref="A31:B31"/>
    <mergeCell ref="C31:H31"/>
    <mergeCell ref="I31:L33"/>
    <mergeCell ref="I34:L35"/>
    <mergeCell ref="I36:L36"/>
    <mergeCell ref="I37:L38"/>
    <mergeCell ref="I26:L30"/>
    <mergeCell ref="A27:C27"/>
    <mergeCell ref="D27:E27"/>
    <mergeCell ref="A28:B28"/>
    <mergeCell ref="C28:H28"/>
    <mergeCell ref="A29:B30"/>
    <mergeCell ref="D29:H29"/>
    <mergeCell ref="C30:H30"/>
    <mergeCell ref="A26:B26"/>
    <mergeCell ref="D26:E26"/>
    <mergeCell ref="I21:L25"/>
    <mergeCell ref="A22:B22"/>
    <mergeCell ref="D22:E22"/>
    <mergeCell ref="A23:B23"/>
    <mergeCell ref="D23:E23"/>
    <mergeCell ref="A21:B21"/>
    <mergeCell ref="D21:E21"/>
    <mergeCell ref="A25:B25"/>
    <mergeCell ref="D25:E25"/>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15:L20"/>
    <mergeCell ref="A16:B16"/>
    <mergeCell ref="D16:E16"/>
    <mergeCell ref="A17:B17"/>
    <mergeCell ref="D17:E17"/>
    <mergeCell ref="A19:B19"/>
    <mergeCell ref="D19:E19"/>
    <mergeCell ref="A7:B7"/>
    <mergeCell ref="D7:E7"/>
    <mergeCell ref="A11:B11"/>
    <mergeCell ref="D11:E11"/>
    <mergeCell ref="A9:B9"/>
    <mergeCell ref="D9:E9"/>
    <mergeCell ref="A10:B10"/>
    <mergeCell ref="A8:B8"/>
    <mergeCell ref="D8:E8"/>
    <mergeCell ref="D10:E10"/>
    <mergeCell ref="A5:B5"/>
    <mergeCell ref="D5:E5"/>
    <mergeCell ref="A6:B6"/>
    <mergeCell ref="A1:H1"/>
    <mergeCell ref="I1:I4"/>
    <mergeCell ref="A2:B2"/>
    <mergeCell ref="A3:B3"/>
    <mergeCell ref="A4:H4"/>
    <mergeCell ref="D6:E6"/>
    <mergeCell ref="D2:E2"/>
    <mergeCell ref="D3:E3"/>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5.6"/>
  <cols>
    <col min="1" max="1" width="5.69921875" style="954" customWidth="1"/>
    <col min="2" max="2" width="24.5" style="954" customWidth="1"/>
    <col min="3" max="3" width="12.5" style="954" customWidth="1"/>
    <col min="4" max="4" width="11.69921875" style="954" customWidth="1"/>
    <col min="5" max="5" width="7.8984375" style="954" customWidth="1"/>
    <col min="6" max="6" width="9.8984375" style="954" customWidth="1"/>
    <col min="7" max="7" width="9.3984375" style="954" customWidth="1"/>
    <col min="8" max="8" width="54" customWidth="1"/>
    <col min="11" max="11" width="9" style="131"/>
    <col min="12" max="13" width="9" style="973"/>
  </cols>
  <sheetData>
    <row r="1" spans="1:12" ht="30" customHeight="1">
      <c r="A1" s="2764" t="s">
        <v>332</v>
      </c>
      <c r="B1" s="2764"/>
      <c r="C1" s="2764"/>
      <c r="D1" s="2764"/>
      <c r="E1" s="2764"/>
      <c r="F1" s="2764"/>
      <c r="G1" s="2764"/>
      <c r="H1" s="3590"/>
      <c r="I1" s="84"/>
      <c r="J1" s="84"/>
      <c r="K1" s="812"/>
    </row>
    <row r="2" spans="1:12" ht="21" customHeight="1">
      <c r="A2" s="3185" t="str">
        <f>"委托单位："&amp;基本情况!B2</f>
        <v>委托单位：0</v>
      </c>
      <c r="B2" s="3185"/>
      <c r="C2" s="3185"/>
      <c r="D2" s="136" t="s">
        <v>450</v>
      </c>
      <c r="E2" s="603">
        <f>基本情况!B12</f>
        <v>0</v>
      </c>
      <c r="F2" s="957" t="str">
        <f>TEXT(基本情况!B21,"yyyy-mm-dd")</f>
        <v>2017-03-16</v>
      </c>
      <c r="G2" s="485" t="s">
        <v>283</v>
      </c>
      <c r="H2" s="3590"/>
      <c r="I2" s="84"/>
      <c r="J2" s="84"/>
      <c r="K2" s="812"/>
    </row>
    <row r="3" spans="1:12" ht="21" customHeight="1">
      <c r="A3" s="3183" t="str">
        <f>"会计期间："&amp;基本情况!B7</f>
        <v>会计期间：2016年01月01日至2016年12月31日</v>
      </c>
      <c r="B3" s="3183"/>
      <c r="C3" s="3183"/>
      <c r="D3" s="140" t="s">
        <v>452</v>
      </c>
      <c r="E3" s="974">
        <f>基本情况!B11</f>
        <v>0</v>
      </c>
      <c r="F3" s="960" t="str">
        <f>TEXT(基本情况!B22,"yyyy-mm-dd")</f>
        <v>2017-05-04</v>
      </c>
      <c r="G3" s="512" t="str">
        <f>档案索引!D31</f>
        <v>3-10</v>
      </c>
      <c r="H3" s="3590"/>
      <c r="I3" s="84"/>
      <c r="J3" s="84"/>
      <c r="K3" s="812"/>
    </row>
    <row r="4" spans="1:12" ht="7.5" customHeight="1">
      <c r="A4" s="2916"/>
      <c r="B4" s="2916"/>
      <c r="C4" s="2916"/>
      <c r="D4" s="2916"/>
      <c r="E4" s="2916"/>
      <c r="F4" s="2916"/>
      <c r="G4" s="2916"/>
      <c r="H4" s="3590"/>
      <c r="I4" s="84"/>
      <c r="J4" s="84"/>
      <c r="K4" s="812"/>
    </row>
    <row r="5" spans="1:12" ht="30.75" customHeight="1">
      <c r="A5" s="532" t="s">
        <v>453</v>
      </c>
      <c r="B5" s="582" t="s">
        <v>665</v>
      </c>
      <c r="C5" s="582" t="s">
        <v>1181</v>
      </c>
      <c r="D5" s="582" t="s">
        <v>980</v>
      </c>
      <c r="E5" s="3044" t="s">
        <v>502</v>
      </c>
      <c r="F5" s="3044"/>
      <c r="G5" s="772" t="s">
        <v>455</v>
      </c>
      <c r="H5" s="962" t="s">
        <v>395</v>
      </c>
      <c r="I5" s="84"/>
      <c r="J5" s="84"/>
      <c r="K5" s="812"/>
    </row>
    <row r="6" spans="1:12" ht="14.25" customHeight="1">
      <c r="A6" s="135">
        <v>1</v>
      </c>
      <c r="B6" s="975" t="s">
        <v>4885</v>
      </c>
      <c r="C6" s="1161"/>
      <c r="D6" s="1161"/>
      <c r="E6" s="3232">
        <f t="shared" ref="E6:E20" si="0">C6+D6</f>
        <v>0</v>
      </c>
      <c r="F6" s="3232"/>
      <c r="G6" s="976"/>
      <c r="H6" s="232" t="s">
        <v>653</v>
      </c>
      <c r="I6" s="84"/>
      <c r="J6" s="84"/>
      <c r="K6" s="812"/>
      <c r="L6" s="977"/>
    </row>
    <row r="7" spans="1:12" ht="14.25" customHeight="1">
      <c r="A7" s="143">
        <v>2</v>
      </c>
      <c r="B7" s="978" t="s">
        <v>4886</v>
      </c>
      <c r="C7" s="1120"/>
      <c r="D7" s="1120"/>
      <c r="E7" s="3146">
        <f t="shared" si="0"/>
        <v>0</v>
      </c>
      <c r="F7" s="3146"/>
      <c r="G7" s="164"/>
      <c r="H7" s="232" t="s">
        <v>252</v>
      </c>
      <c r="I7" s="84"/>
      <c r="J7" s="84"/>
      <c r="K7" s="812"/>
      <c r="L7" s="979"/>
    </row>
    <row r="8" spans="1:12" ht="14.25" customHeight="1">
      <c r="A8" s="143">
        <v>3</v>
      </c>
      <c r="B8" s="978" t="s">
        <v>4887</v>
      </c>
      <c r="C8" s="1120"/>
      <c r="D8" s="1120"/>
      <c r="E8" s="3146">
        <f t="shared" si="0"/>
        <v>0</v>
      </c>
      <c r="F8" s="3146"/>
      <c r="G8" s="164"/>
      <c r="H8" s="493" t="s">
        <v>673</v>
      </c>
      <c r="I8" s="84"/>
      <c r="J8" s="84"/>
      <c r="K8" s="812"/>
      <c r="L8" s="979"/>
    </row>
    <row r="9" spans="1:12" ht="14.25" customHeight="1">
      <c r="A9" s="143">
        <v>4</v>
      </c>
      <c r="B9" s="978" t="s">
        <v>4888</v>
      </c>
      <c r="C9" s="1120"/>
      <c r="D9" s="1120"/>
      <c r="E9" s="3146">
        <f t="shared" si="0"/>
        <v>0</v>
      </c>
      <c r="F9" s="3146"/>
      <c r="G9" s="164"/>
      <c r="H9" s="493" t="s">
        <v>669</v>
      </c>
      <c r="I9" s="84"/>
      <c r="J9" s="84"/>
      <c r="K9" s="812"/>
      <c r="L9" s="979"/>
    </row>
    <row r="10" spans="1:12" ht="14.25" customHeight="1">
      <c r="A10" s="143">
        <v>5</v>
      </c>
      <c r="B10" s="978" t="s">
        <v>4889</v>
      </c>
      <c r="C10" s="1120"/>
      <c r="D10" s="1120"/>
      <c r="E10" s="3146">
        <f t="shared" si="0"/>
        <v>0</v>
      </c>
      <c r="F10" s="3146"/>
      <c r="G10" s="164"/>
      <c r="H10" s="493" t="s">
        <v>642</v>
      </c>
      <c r="I10" s="84"/>
      <c r="J10" s="84"/>
      <c r="K10" s="812"/>
      <c r="L10" s="979"/>
    </row>
    <row r="11" spans="1:12" ht="14.25" customHeight="1">
      <c r="A11" s="143">
        <v>6</v>
      </c>
      <c r="B11" s="978" t="s">
        <v>4890</v>
      </c>
      <c r="C11" s="1120"/>
      <c r="D11" s="1120"/>
      <c r="E11" s="3146">
        <f t="shared" si="0"/>
        <v>0</v>
      </c>
      <c r="F11" s="3146"/>
      <c r="G11" s="164"/>
      <c r="H11" s="493" t="s">
        <v>676</v>
      </c>
      <c r="I11" s="84"/>
      <c r="J11" s="84"/>
      <c r="K11" s="812"/>
      <c r="L11" s="979"/>
    </row>
    <row r="12" spans="1:12" ht="14.25" customHeight="1">
      <c r="A12" s="143">
        <v>7</v>
      </c>
      <c r="B12" s="978" t="s">
        <v>4891</v>
      </c>
      <c r="C12" s="1120"/>
      <c r="D12" s="1120"/>
      <c r="E12" s="3146">
        <f t="shared" si="0"/>
        <v>0</v>
      </c>
      <c r="F12" s="3146"/>
      <c r="G12" s="164"/>
      <c r="H12" s="493" t="s">
        <v>72</v>
      </c>
      <c r="I12" s="84"/>
      <c r="J12" s="84"/>
      <c r="K12" s="812"/>
      <c r="L12" s="977"/>
    </row>
    <row r="13" spans="1:12" ht="14.25" customHeight="1">
      <c r="A13" s="143">
        <v>8</v>
      </c>
      <c r="B13" s="978" t="s">
        <v>4892</v>
      </c>
      <c r="C13" s="1120"/>
      <c r="D13" s="1120"/>
      <c r="E13" s="3146">
        <f t="shared" si="0"/>
        <v>0</v>
      </c>
      <c r="F13" s="3146"/>
      <c r="G13" s="164"/>
      <c r="H13" s="493" t="s">
        <v>75</v>
      </c>
      <c r="I13" s="84"/>
      <c r="J13" s="84"/>
      <c r="K13" s="812"/>
    </row>
    <row r="14" spans="1:12" ht="14.25" customHeight="1">
      <c r="A14" s="143">
        <v>9</v>
      </c>
      <c r="B14" s="978" t="s">
        <v>4893</v>
      </c>
      <c r="C14" s="1632"/>
      <c r="D14" s="1632"/>
      <c r="E14" s="3146">
        <f t="shared" si="0"/>
        <v>0</v>
      </c>
      <c r="F14" s="3146"/>
      <c r="G14" s="164"/>
      <c r="H14" s="232" t="s">
        <v>1486</v>
      </c>
      <c r="I14" s="84"/>
      <c r="J14" s="84"/>
      <c r="K14" s="812"/>
    </row>
    <row r="15" spans="1:12" ht="14.25" customHeight="1">
      <c r="A15" s="143"/>
      <c r="B15" s="978" t="s">
        <v>4894</v>
      </c>
      <c r="C15" s="525">
        <f>SUM(C16:C20)</f>
        <v>0</v>
      </c>
      <c r="D15" s="525">
        <f>SUM(D16:D20)</f>
        <v>0</v>
      </c>
      <c r="E15" s="3146">
        <f t="shared" si="0"/>
        <v>0</v>
      </c>
      <c r="F15" s="3146"/>
      <c r="G15" s="164"/>
      <c r="H15" s="232" t="s">
        <v>487</v>
      </c>
      <c r="I15" s="84"/>
      <c r="J15" s="84"/>
      <c r="K15" s="812"/>
    </row>
    <row r="16" spans="1:12" ht="14.25" customHeight="1">
      <c r="A16" s="143"/>
      <c r="B16" s="980" t="s">
        <v>1358</v>
      </c>
      <c r="C16" s="1120"/>
      <c r="D16" s="1120"/>
      <c r="E16" s="3146">
        <f t="shared" si="0"/>
        <v>0</v>
      </c>
      <c r="F16" s="3146"/>
      <c r="G16" s="164"/>
      <c r="H16" s="232" t="s">
        <v>1360</v>
      </c>
      <c r="I16" s="84"/>
      <c r="J16" s="84"/>
      <c r="K16" s="812"/>
    </row>
    <row r="17" spans="1:11" ht="14.25" customHeight="1">
      <c r="A17" s="143"/>
      <c r="B17" s="980" t="s">
        <v>1359</v>
      </c>
      <c r="C17" s="1120"/>
      <c r="D17" s="1120"/>
      <c r="E17" s="3146">
        <f t="shared" si="0"/>
        <v>0</v>
      </c>
      <c r="F17" s="3146"/>
      <c r="G17" s="164"/>
      <c r="H17" s="836"/>
      <c r="I17" s="84"/>
      <c r="J17" s="84"/>
      <c r="K17" s="812"/>
    </row>
    <row r="18" spans="1:11" ht="14.25" customHeight="1">
      <c r="A18" s="143"/>
      <c r="B18" s="980" t="s">
        <v>1361</v>
      </c>
      <c r="C18" s="1120"/>
      <c r="D18" s="1120"/>
      <c r="E18" s="3146">
        <f t="shared" si="0"/>
        <v>0</v>
      </c>
      <c r="F18" s="3146"/>
      <c r="G18" s="164"/>
      <c r="H18" s="3535"/>
      <c r="I18" s="3535"/>
      <c r="J18" s="84"/>
      <c r="K18" s="812"/>
    </row>
    <row r="19" spans="1:11" ht="14.25" customHeight="1">
      <c r="A19" s="143"/>
      <c r="B19" s="980"/>
      <c r="C19" s="1120"/>
      <c r="D19" s="1120"/>
      <c r="E19" s="3146">
        <f t="shared" si="0"/>
        <v>0</v>
      </c>
      <c r="F19" s="3146"/>
      <c r="G19" s="164"/>
      <c r="H19" s="3535"/>
      <c r="I19" s="3535"/>
      <c r="J19" s="84"/>
      <c r="K19" s="812"/>
    </row>
    <row r="20" spans="1:11" ht="14.25" customHeight="1">
      <c r="A20" s="138"/>
      <c r="B20" s="981"/>
      <c r="C20" s="1125"/>
      <c r="D20" s="1125"/>
      <c r="E20" s="3146">
        <f t="shared" si="0"/>
        <v>0</v>
      </c>
      <c r="F20" s="3146"/>
      <c r="G20" s="167"/>
      <c r="H20" s="3535"/>
      <c r="I20" s="3535"/>
      <c r="J20" s="84"/>
      <c r="K20" s="812"/>
    </row>
    <row r="21" spans="1:11" ht="14.25" customHeight="1">
      <c r="A21" s="3043" t="s">
        <v>1362</v>
      </c>
      <c r="B21" s="3043"/>
      <c r="C21" s="590">
        <f>SUM(C6:C15)</f>
        <v>0</v>
      </c>
      <c r="D21" s="590">
        <f>SUM(D6:D15)</f>
        <v>0</v>
      </c>
      <c r="E21" s="3646">
        <f>SUM(E6:F15)</f>
        <v>0</v>
      </c>
      <c r="F21" s="3646"/>
      <c r="G21" s="982"/>
      <c r="H21" s="983" t="str">
        <f>"账载营业外收入与报表数相差"&amp;DOLLAR(C21-利润!C28,2)</f>
        <v>账载营业外收入与报表数相差¥0.00</v>
      </c>
      <c r="I21" s="84"/>
      <c r="J21" s="84"/>
      <c r="K21" s="812"/>
    </row>
    <row r="22" spans="1:11" ht="14.25" customHeight="1">
      <c r="A22" s="135">
        <v>1</v>
      </c>
      <c r="B22" s="975" t="s">
        <v>4962</v>
      </c>
      <c r="C22" s="1161"/>
      <c r="D22" s="1161"/>
      <c r="E22" s="3146">
        <f>C22+D22</f>
        <v>0</v>
      </c>
      <c r="F22" s="3146"/>
      <c r="G22" s="976"/>
      <c r="H22" s="3158" t="s">
        <v>1346</v>
      </c>
      <c r="I22" s="3158"/>
      <c r="J22" s="3158"/>
      <c r="K22" s="3158"/>
    </row>
    <row r="23" spans="1:11" ht="14.25" customHeight="1">
      <c r="A23" s="143">
        <v>2</v>
      </c>
      <c r="B23" s="978" t="s">
        <v>4963</v>
      </c>
      <c r="C23" s="1120"/>
      <c r="D23" s="1120"/>
      <c r="E23" s="3146">
        <f>C23+D23</f>
        <v>0</v>
      </c>
      <c r="F23" s="3146"/>
      <c r="G23" s="164"/>
      <c r="H23" s="3158"/>
      <c r="I23" s="3158"/>
      <c r="J23" s="3158"/>
      <c r="K23" s="3158"/>
    </row>
    <row r="24" spans="1:11" ht="14.25" customHeight="1">
      <c r="A24" s="143">
        <v>3</v>
      </c>
      <c r="B24" s="978" t="s">
        <v>4964</v>
      </c>
      <c r="C24" s="1120"/>
      <c r="D24" s="1120"/>
      <c r="E24" s="3146">
        <f t="shared" ref="E24:E35" si="1">C24+D24</f>
        <v>0</v>
      </c>
      <c r="F24" s="3146"/>
      <c r="G24" s="164"/>
      <c r="H24" s="3158"/>
      <c r="I24" s="3158"/>
      <c r="J24" s="3158"/>
      <c r="K24" s="3158"/>
    </row>
    <row r="25" spans="1:11" ht="14.25" customHeight="1">
      <c r="A25" s="143">
        <v>4</v>
      </c>
      <c r="B25" s="978" t="s">
        <v>4965</v>
      </c>
      <c r="C25" s="1120"/>
      <c r="D25" s="1120"/>
      <c r="E25" s="3146">
        <f t="shared" si="1"/>
        <v>0</v>
      </c>
      <c r="F25" s="3146"/>
      <c r="G25" s="164"/>
      <c r="H25" s="3158"/>
      <c r="I25" s="3158"/>
      <c r="J25" s="3158"/>
      <c r="K25" s="3158"/>
    </row>
    <row r="26" spans="1:11" ht="14.25" customHeight="1">
      <c r="A26" s="143">
        <v>5</v>
      </c>
      <c r="B26" s="978" t="s">
        <v>4966</v>
      </c>
      <c r="C26" s="1120"/>
      <c r="D26" s="1120"/>
      <c r="E26" s="3146">
        <f t="shared" si="1"/>
        <v>0</v>
      </c>
      <c r="F26" s="3146"/>
      <c r="G26" s="164"/>
      <c r="H26" s="3158"/>
      <c r="I26" s="3158"/>
      <c r="J26" s="3158"/>
      <c r="K26" s="3158"/>
    </row>
    <row r="27" spans="1:11" ht="14.25" customHeight="1">
      <c r="A27" s="143">
        <v>6</v>
      </c>
      <c r="B27" s="978" t="s">
        <v>4967</v>
      </c>
      <c r="C27" s="1120"/>
      <c r="D27" s="1120"/>
      <c r="E27" s="3146">
        <f t="shared" ref="E27:E33" si="2">C27+D27</f>
        <v>0</v>
      </c>
      <c r="F27" s="3146"/>
      <c r="G27" s="164"/>
      <c r="H27" s="3158"/>
      <c r="I27" s="3158"/>
      <c r="J27" s="3158"/>
      <c r="K27" s="3158"/>
    </row>
    <row r="28" spans="1:11" ht="14.25" customHeight="1">
      <c r="A28" s="143">
        <v>7</v>
      </c>
      <c r="B28" s="978" t="s">
        <v>4968</v>
      </c>
      <c r="C28" s="1120"/>
      <c r="D28" s="1120"/>
      <c r="E28" s="3146">
        <f t="shared" si="2"/>
        <v>0</v>
      </c>
      <c r="F28" s="3146"/>
      <c r="G28" s="164"/>
      <c r="H28" s="3158"/>
      <c r="I28" s="3158"/>
      <c r="J28" s="3158"/>
      <c r="K28" s="3158"/>
    </row>
    <row r="29" spans="1:11" ht="14.25" customHeight="1">
      <c r="A29" s="143">
        <v>8</v>
      </c>
      <c r="B29" s="978" t="s">
        <v>4969</v>
      </c>
      <c r="E29" s="3146">
        <f t="shared" si="2"/>
        <v>0</v>
      </c>
      <c r="F29" s="3146"/>
      <c r="G29" s="164"/>
      <c r="H29" s="3158"/>
      <c r="I29" s="3158"/>
      <c r="J29" s="3158"/>
      <c r="K29" s="3158"/>
    </row>
    <row r="30" spans="1:11" ht="14.25" customHeight="1">
      <c r="A30" s="143">
        <v>9</v>
      </c>
      <c r="B30" s="978" t="s">
        <v>4970</v>
      </c>
      <c r="C30" s="1120"/>
      <c r="D30" s="1120"/>
      <c r="E30" s="3146">
        <f t="shared" si="2"/>
        <v>0</v>
      </c>
      <c r="F30" s="3146"/>
      <c r="G30" s="164"/>
      <c r="H30" s="3158"/>
      <c r="I30" s="3158"/>
      <c r="J30" s="3158"/>
      <c r="K30" s="3158"/>
    </row>
    <row r="31" spans="1:11" ht="14.25" customHeight="1">
      <c r="A31" s="143">
        <v>10</v>
      </c>
      <c r="B31" s="978" t="s">
        <v>4894</v>
      </c>
      <c r="C31" s="525">
        <f>SUM(C32:C35)</f>
        <v>0</v>
      </c>
      <c r="D31" s="525">
        <f>SUM(D32:D35)</f>
        <v>0</v>
      </c>
      <c r="E31" s="3146">
        <f t="shared" si="2"/>
        <v>0</v>
      </c>
      <c r="F31" s="3146"/>
      <c r="G31" s="164"/>
      <c r="H31" s="3158"/>
      <c r="I31" s="3158"/>
      <c r="J31" s="3158"/>
      <c r="K31" s="3158"/>
    </row>
    <row r="32" spans="1:11" ht="14.25" customHeight="1">
      <c r="A32" s="143">
        <v>11</v>
      </c>
      <c r="B32" s="2059" t="s">
        <v>6625</v>
      </c>
      <c r="C32" s="1120"/>
      <c r="D32" s="1120"/>
      <c r="E32" s="3146">
        <f t="shared" si="2"/>
        <v>0</v>
      </c>
      <c r="F32" s="3146"/>
      <c r="G32" s="164"/>
      <c r="H32" s="3158"/>
      <c r="I32" s="3158"/>
      <c r="J32" s="3158"/>
      <c r="K32" s="3158"/>
    </row>
    <row r="33" spans="1:11" ht="14.25" customHeight="1">
      <c r="A33" s="143">
        <v>12</v>
      </c>
      <c r="B33" s="980"/>
      <c r="C33" s="1120"/>
      <c r="D33" s="1120"/>
      <c r="E33" s="3146">
        <f t="shared" si="2"/>
        <v>0</v>
      </c>
      <c r="F33" s="3146"/>
      <c r="G33" s="164"/>
      <c r="H33" s="3158"/>
      <c r="I33" s="3158"/>
      <c r="J33" s="3158"/>
      <c r="K33" s="3158"/>
    </row>
    <row r="34" spans="1:11" ht="14.25" customHeight="1">
      <c r="A34" s="143"/>
      <c r="B34" s="980"/>
      <c r="C34" s="1120"/>
      <c r="D34" s="1120"/>
      <c r="E34" s="3146">
        <f t="shared" si="1"/>
        <v>0</v>
      </c>
      <c r="F34" s="3146"/>
      <c r="G34" s="164"/>
      <c r="H34" s="3158"/>
      <c r="I34" s="3158"/>
      <c r="J34" s="3158"/>
      <c r="K34" s="3158"/>
    </row>
    <row r="35" spans="1:11" ht="14.25" customHeight="1">
      <c r="A35" s="138"/>
      <c r="B35" s="981"/>
      <c r="C35" s="1125"/>
      <c r="D35" s="1125"/>
      <c r="E35" s="3146">
        <f t="shared" si="1"/>
        <v>0</v>
      </c>
      <c r="F35" s="3146"/>
      <c r="G35" s="167"/>
      <c r="H35" s="3158"/>
      <c r="I35" s="3158"/>
      <c r="J35" s="3158"/>
      <c r="K35" s="3158"/>
    </row>
    <row r="36" spans="1:11" ht="14.25" customHeight="1">
      <c r="A36" s="3043" t="s">
        <v>1365</v>
      </c>
      <c r="B36" s="3043"/>
      <c r="C36" s="590">
        <f>SUM(C22:C31)</f>
        <v>0</v>
      </c>
      <c r="D36" s="590">
        <f>SUM(D22:D31)</f>
        <v>0</v>
      </c>
      <c r="E36" s="3646">
        <f>SUM(E22:E29)</f>
        <v>0</v>
      </c>
      <c r="F36" s="3646"/>
      <c r="G36" s="982"/>
      <c r="H36" s="983" t="str">
        <f>"账载营业外支出与报表数相差"&amp;DOLLAR(C36-利润!C30,2)</f>
        <v>账载营业外支出与报表数相差¥0.00</v>
      </c>
      <c r="I36" s="84"/>
      <c r="J36" s="84"/>
      <c r="K36" s="812"/>
    </row>
    <row r="37" spans="1:11" ht="30" customHeight="1">
      <c r="A37" s="566" t="s">
        <v>641</v>
      </c>
      <c r="B37" s="3647" t="str">
        <f>IF(C21&lt;&gt;利润!C28,"营业外收入账载数与报表数相差"&amp;DOLLAR(C21-利润!C28,2)&amp;"元！","营业外收入账载数与报表数一致！")</f>
        <v>营业外收入账载数与报表数一致！</v>
      </c>
      <c r="C37" s="3647"/>
      <c r="D37" s="3648" t="str">
        <f>IF(C36&lt;&gt;利润!C30,"营业外支出账载数与报表数相差"&amp;DOLLAR(C36-利润!C30,2)&amp;"元！","营业外支出账载数与报表数一致！")</f>
        <v>营业外支出账载数与报表数一致！</v>
      </c>
      <c r="E37" s="3648"/>
      <c r="F37" s="3648"/>
      <c r="G37" s="3648"/>
      <c r="H37" s="836" t="s">
        <v>456</v>
      </c>
      <c r="I37" s="84"/>
      <c r="J37" s="84"/>
      <c r="K37" s="812"/>
    </row>
    <row r="38" spans="1:11" ht="15" customHeight="1">
      <c r="A38" s="3163" t="s">
        <v>1366</v>
      </c>
      <c r="B38" s="550" t="s">
        <v>1367</v>
      </c>
      <c r="C38" s="3131" t="str">
        <f>IF(OR(D21&lt;&gt;0,D36&lt;&gt;0),"、E","")</f>
        <v/>
      </c>
      <c r="D38" s="3131"/>
      <c r="E38" s="3131"/>
      <c r="F38" s="3131"/>
      <c r="G38" s="3131"/>
      <c r="H38" s="3535" t="s">
        <v>1368</v>
      </c>
      <c r="I38" s="3535"/>
      <c r="J38" s="84"/>
      <c r="K38" s="812"/>
    </row>
    <row r="39" spans="1:11" ht="18" customHeight="1">
      <c r="A39" s="3163"/>
      <c r="B39" s="3598"/>
      <c r="C39" s="3181"/>
      <c r="D39" s="3181"/>
      <c r="E39" s="3181"/>
      <c r="F39" s="3181"/>
      <c r="G39" s="3181"/>
      <c r="H39" s="3535"/>
      <c r="I39" s="3535"/>
      <c r="J39" s="84"/>
      <c r="K39" s="812"/>
    </row>
    <row r="40" spans="1:11" ht="18" customHeight="1">
      <c r="A40" s="3163"/>
      <c r="B40" s="3181"/>
      <c r="C40" s="3181"/>
      <c r="D40" s="3181"/>
      <c r="E40" s="3181"/>
      <c r="F40" s="3181"/>
      <c r="G40" s="3181"/>
      <c r="H40" s="3535"/>
      <c r="I40" s="3535"/>
      <c r="J40" s="84"/>
      <c r="K40" s="812"/>
    </row>
    <row r="41" spans="1:11" ht="15.75" customHeight="1">
      <c r="A41" s="3163"/>
      <c r="B41" s="3181"/>
      <c r="C41" s="3181"/>
      <c r="D41" s="3181"/>
      <c r="E41" s="3181"/>
      <c r="F41" s="3181"/>
      <c r="G41" s="3181"/>
      <c r="H41" s="3158" t="s">
        <v>1369</v>
      </c>
      <c r="I41" s="3158"/>
      <c r="J41" s="84"/>
      <c r="K41" s="812"/>
    </row>
    <row r="42" spans="1:11" ht="18" customHeight="1">
      <c r="A42" s="3163"/>
      <c r="B42" s="3181"/>
      <c r="C42" s="3181"/>
      <c r="D42" s="3181"/>
      <c r="E42" s="3181"/>
      <c r="F42" s="3181"/>
      <c r="G42" s="3181"/>
      <c r="H42" s="3158"/>
      <c r="I42" s="3158"/>
      <c r="J42" s="84"/>
      <c r="K42" s="812"/>
    </row>
    <row r="43" spans="1:11" ht="24" customHeight="1">
      <c r="A43" s="3163"/>
      <c r="B43" s="3181"/>
      <c r="C43" s="3181"/>
      <c r="D43" s="3181"/>
      <c r="E43" s="3181"/>
      <c r="F43" s="3181"/>
      <c r="G43" s="3181"/>
      <c r="H43" s="3158"/>
      <c r="I43" s="3158"/>
      <c r="J43" s="84"/>
      <c r="K43" s="812"/>
    </row>
    <row r="44" spans="1:11" ht="30" customHeight="1">
      <c r="A44" s="528" t="s">
        <v>15</v>
      </c>
      <c r="B44" s="3157" t="str">
        <f>IF(AND(D21=0,D36=0),"没有调整事项，且勾稽关系正确，认可！","调整后，认可！")</f>
        <v>没有调整事项，且勾稽关系正确，认可！</v>
      </c>
      <c r="C44" s="3157"/>
      <c r="D44" s="3157"/>
      <c r="E44" s="3157"/>
      <c r="F44" s="3157"/>
      <c r="G44" s="3157"/>
      <c r="H44" s="3158"/>
      <c r="I44" s="3158"/>
      <c r="J44" s="84"/>
      <c r="K44" s="812"/>
    </row>
    <row r="45" spans="1:11" ht="25.5" customHeight="1">
      <c r="H45" s="3158"/>
      <c r="I45" s="3158"/>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H41:I45"/>
    <mergeCell ref="B44:G44"/>
    <mergeCell ref="B39:G43"/>
    <mergeCell ref="H38:I40"/>
    <mergeCell ref="B37:C37"/>
    <mergeCell ref="D37:G37"/>
    <mergeCell ref="A36:B36"/>
    <mergeCell ref="E36:F36"/>
    <mergeCell ref="A38:A43"/>
    <mergeCell ref="C38:G38"/>
    <mergeCell ref="A21:B21"/>
    <mergeCell ref="E21:F21"/>
    <mergeCell ref="E22:F22"/>
    <mergeCell ref="E34:F34"/>
    <mergeCell ref="E35:F35"/>
    <mergeCell ref="E32:F32"/>
    <mergeCell ref="E31:F31"/>
    <mergeCell ref="E8:F8"/>
    <mergeCell ref="E9:F9"/>
    <mergeCell ref="E10:F10"/>
    <mergeCell ref="E18:F18"/>
    <mergeCell ref="E11:F11"/>
    <mergeCell ref="E12:F12"/>
    <mergeCell ref="E17:F17"/>
    <mergeCell ref="E13:F13"/>
    <mergeCell ref="E14:F14"/>
    <mergeCell ref="E15:F15"/>
    <mergeCell ref="E16:F16"/>
    <mergeCell ref="H18:I20"/>
    <mergeCell ref="E19:F19"/>
    <mergeCell ref="E20:F20"/>
    <mergeCell ref="H22:K35"/>
    <mergeCell ref="E29:F29"/>
    <mergeCell ref="E30:F30"/>
    <mergeCell ref="E24:F24"/>
    <mergeCell ref="E25:F25"/>
    <mergeCell ref="E33:F33"/>
    <mergeCell ref="E26:F26"/>
    <mergeCell ref="E27:F27"/>
    <mergeCell ref="E23:F23"/>
    <mergeCell ref="E28:F28"/>
    <mergeCell ref="E6:F6"/>
    <mergeCell ref="E7:F7"/>
    <mergeCell ref="A1:G1"/>
    <mergeCell ref="H1:H4"/>
    <mergeCell ref="A2:C2"/>
    <mergeCell ref="A3:C3"/>
    <mergeCell ref="A4:G4"/>
    <mergeCell ref="E5:F5"/>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5.6"/>
  <cols>
    <col min="1" max="1" width="3.5" style="130" customWidth="1"/>
    <col min="2" max="2" width="23.3984375" style="130" customWidth="1"/>
    <col min="3" max="3" width="18.5" style="130" customWidth="1"/>
    <col min="4" max="5" width="14.3984375" style="130" customWidth="1"/>
    <col min="6" max="6" width="12.09765625" style="130" customWidth="1"/>
    <col min="7" max="8" width="14.3984375" style="130" customWidth="1"/>
    <col min="9" max="9" width="30.3984375" customWidth="1"/>
  </cols>
  <sheetData>
    <row r="1" spans="1:13" ht="31.5" customHeight="1">
      <c r="A1" s="3172" t="s">
        <v>339</v>
      </c>
      <c r="B1" s="3172"/>
      <c r="C1" s="3172"/>
      <c r="D1" s="3172"/>
      <c r="E1" s="3172"/>
      <c r="F1" s="3172"/>
      <c r="G1" s="3172"/>
      <c r="H1" s="3172"/>
      <c r="I1" s="3590"/>
      <c r="J1" s="84"/>
      <c r="K1" s="84"/>
      <c r="L1" s="84"/>
      <c r="M1" s="84"/>
    </row>
    <row r="2" spans="1:13" ht="15.75" customHeight="1">
      <c r="A2" s="3649" t="str">
        <f>"委托单位："&amp;基本情况!B2</f>
        <v>委托单位：0</v>
      </c>
      <c r="B2" s="3649"/>
      <c r="C2" s="3649"/>
      <c r="D2" s="956" t="s">
        <v>450</v>
      </c>
      <c r="E2" s="984">
        <f>基本情况!B12</f>
        <v>0</v>
      </c>
      <c r="F2" s="593" t="s">
        <v>1455</v>
      </c>
      <c r="G2" s="957" t="str">
        <f>TEXT(基本情况!B21,"yyyy-mm-dd")</f>
        <v>2017-03-16</v>
      </c>
      <c r="H2" s="594" t="s">
        <v>283</v>
      </c>
      <c r="I2" s="3590"/>
      <c r="J2" s="84"/>
      <c r="K2" s="84"/>
      <c r="L2" s="84"/>
      <c r="M2" s="84"/>
    </row>
    <row r="3" spans="1:13" ht="15.75" customHeight="1">
      <c r="A3" s="3319" t="str">
        <f>"会计期间："&amp;基本情况!B7</f>
        <v>会计期间：2016年01月01日至2016年12月31日</v>
      </c>
      <c r="B3" s="3319"/>
      <c r="C3" s="3319"/>
      <c r="D3" s="140" t="s">
        <v>452</v>
      </c>
      <c r="E3" s="959">
        <f>基本情况!B11</f>
        <v>0</v>
      </c>
      <c r="F3" s="140" t="s">
        <v>1455</v>
      </c>
      <c r="G3" s="513" t="str">
        <f>TEXT(基本情况!B22,"yyyy-mm-dd")</f>
        <v>2017-05-04</v>
      </c>
      <c r="H3" s="512" t="str">
        <f>档案索引!D34</f>
        <v>4-1</v>
      </c>
      <c r="I3" s="3590"/>
      <c r="J3" s="84"/>
      <c r="K3" s="84"/>
      <c r="L3" s="84"/>
      <c r="M3" s="84"/>
    </row>
    <row r="4" spans="1:13" ht="7.5" customHeight="1">
      <c r="A4" s="2916"/>
      <c r="B4" s="2916"/>
      <c r="C4" s="2916"/>
      <c r="D4" s="2916"/>
      <c r="E4" s="2916"/>
      <c r="F4" s="2916"/>
      <c r="G4" s="2916"/>
      <c r="H4" s="2916"/>
      <c r="I4" s="3590"/>
      <c r="J4" s="84"/>
      <c r="K4" s="84"/>
      <c r="L4" s="84"/>
      <c r="M4" s="84"/>
    </row>
    <row r="5" spans="1:13" ht="15.75" customHeight="1">
      <c r="A5" s="3561" t="s">
        <v>1370</v>
      </c>
      <c r="B5" s="3561"/>
      <c r="C5" s="3561"/>
      <c r="D5" s="582" t="s">
        <v>1181</v>
      </c>
      <c r="E5" s="3044" t="s">
        <v>1371</v>
      </c>
      <c r="F5" s="3044"/>
      <c r="G5" s="582" t="s">
        <v>980</v>
      </c>
      <c r="H5" s="772" t="s">
        <v>502</v>
      </c>
      <c r="I5" s="3590"/>
      <c r="J5" s="84"/>
      <c r="K5" s="84"/>
      <c r="L5" s="84"/>
      <c r="M5" s="84"/>
    </row>
    <row r="6" spans="1:13" ht="15.75" customHeight="1">
      <c r="A6" s="3150" t="s">
        <v>1372</v>
      </c>
      <c r="B6" s="3650" t="s">
        <v>1373</v>
      </c>
      <c r="C6" s="3650"/>
      <c r="D6" s="1175"/>
      <c r="E6" s="3651">
        <f>D6</f>
        <v>0</v>
      </c>
      <c r="F6" s="3651"/>
      <c r="G6" s="985">
        <f>E6-D6</f>
        <v>0</v>
      </c>
      <c r="H6" s="986">
        <f>IF(D6-E6=0,D6,E6)</f>
        <v>0</v>
      </c>
      <c r="I6" s="84" t="s">
        <v>395</v>
      </c>
      <c r="J6" s="84"/>
      <c r="K6" s="84"/>
      <c r="L6" s="84"/>
      <c r="M6" s="84"/>
    </row>
    <row r="7" spans="1:13" ht="15.75" customHeight="1">
      <c r="A7" s="3150"/>
      <c r="B7" s="3652" t="s">
        <v>1374</v>
      </c>
      <c r="C7" s="3652"/>
      <c r="D7" s="1110"/>
      <c r="E7" s="3653">
        <f>D7</f>
        <v>0</v>
      </c>
      <c r="F7" s="3653"/>
      <c r="G7" s="524">
        <f>E7-D7</f>
        <v>0</v>
      </c>
      <c r="H7" s="736">
        <f>IF(D7-E7=0,D7,E7)</f>
        <v>0</v>
      </c>
      <c r="I7" s="493" t="s">
        <v>1288</v>
      </c>
      <c r="J7" s="84"/>
      <c r="K7" s="84"/>
      <c r="L7" s="84"/>
      <c r="M7" s="84"/>
    </row>
    <row r="8" spans="1:13" ht="15.75" customHeight="1">
      <c r="A8" s="3150"/>
      <c r="B8" s="3654" t="s">
        <v>1375</v>
      </c>
      <c r="C8" s="3654"/>
      <c r="D8" s="1113"/>
      <c r="E8" s="3653">
        <f>D8</f>
        <v>0</v>
      </c>
      <c r="F8" s="3653"/>
      <c r="G8" s="524">
        <f>E8-D8</f>
        <v>0</v>
      </c>
      <c r="H8" s="736">
        <f>IF(D8-E8=0,D8,E8)</f>
        <v>0</v>
      </c>
      <c r="I8" s="493"/>
      <c r="J8" s="84"/>
      <c r="K8" s="84"/>
      <c r="L8" s="84"/>
      <c r="M8" s="84"/>
    </row>
    <row r="9" spans="1:13" ht="15.75" customHeight="1">
      <c r="A9" s="3150"/>
      <c r="B9" s="987"/>
      <c r="C9" s="988"/>
      <c r="D9" s="1113"/>
      <c r="E9" s="3240"/>
      <c r="F9" s="3240"/>
      <c r="G9" s="524">
        <f>E9-D9</f>
        <v>0</v>
      </c>
      <c r="H9" s="736">
        <f>IF(D9-E9=0,D9,E9)</f>
        <v>0</v>
      </c>
      <c r="I9" s="493"/>
      <c r="J9" s="84"/>
      <c r="K9" s="84"/>
      <c r="L9" s="84"/>
      <c r="M9" s="84"/>
    </row>
    <row r="10" spans="1:13" ht="15.75" customHeight="1">
      <c r="A10" s="3150"/>
      <c r="B10" s="3655" t="s">
        <v>1376</v>
      </c>
      <c r="C10" s="3655"/>
      <c r="D10" s="529">
        <f>SUM(D6:D9)</f>
        <v>0</v>
      </c>
      <c r="E10" s="3239">
        <f>SUM(E6:E9)</f>
        <v>0</v>
      </c>
      <c r="F10" s="3239"/>
      <c r="G10" s="529">
        <f>SUM(G6:G9)</f>
        <v>0</v>
      </c>
      <c r="H10" s="989">
        <f>SUM(H6:H9)</f>
        <v>0</v>
      </c>
      <c r="I10" s="84"/>
      <c r="J10" s="84"/>
      <c r="K10" s="84"/>
      <c r="L10" s="84"/>
      <c r="M10" s="84"/>
    </row>
    <row r="11" spans="1:13" ht="26.25" customHeight="1">
      <c r="A11" s="3150" t="s">
        <v>1377</v>
      </c>
      <c r="B11" s="136" t="s">
        <v>424</v>
      </c>
      <c r="C11" s="136" t="s">
        <v>426</v>
      </c>
      <c r="D11" s="990" t="s">
        <v>1181</v>
      </c>
      <c r="E11" s="990" t="s">
        <v>1378</v>
      </c>
      <c r="F11" s="608" t="s">
        <v>1379</v>
      </c>
      <c r="G11" s="990" t="s">
        <v>980</v>
      </c>
      <c r="H11" s="991" t="s">
        <v>502</v>
      </c>
      <c r="I11" s="992" t="s">
        <v>1380</v>
      </c>
      <c r="J11" s="84"/>
      <c r="K11" s="84"/>
      <c r="L11" s="84"/>
      <c r="M11" s="84"/>
    </row>
    <row r="12" spans="1:13" ht="15.75" customHeight="1">
      <c r="A12" s="3150"/>
      <c r="B12" s="1479" t="s">
        <v>6560</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50"/>
      <c r="B13" s="1323" t="s">
        <v>6561</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50"/>
      <c r="B14" s="1323" t="s">
        <v>6562</v>
      </c>
      <c r="C14" s="994"/>
      <c r="D14" s="1190"/>
      <c r="E14" s="993">
        <f t="shared" si="0"/>
        <v>0</v>
      </c>
      <c r="F14" s="1191"/>
      <c r="G14" s="524">
        <f t="shared" si="1"/>
        <v>0</v>
      </c>
      <c r="H14" s="736">
        <f t="shared" si="2"/>
        <v>0</v>
      </c>
      <c r="I14" s="3112" t="s">
        <v>1381</v>
      </c>
      <c r="J14" s="3112"/>
      <c r="K14" s="3112"/>
      <c r="L14" s="3112"/>
      <c r="M14" s="3112"/>
    </row>
    <row r="15" spans="1:13" ht="15.75" customHeight="1">
      <c r="A15" s="3150"/>
      <c r="B15" s="1323" t="s">
        <v>6563</v>
      </c>
      <c r="C15" s="994"/>
      <c r="D15" s="1190"/>
      <c r="E15" s="993">
        <f t="shared" si="0"/>
        <v>0</v>
      </c>
      <c r="F15" s="1191"/>
      <c r="G15" s="524">
        <f t="shared" si="1"/>
        <v>0</v>
      </c>
      <c r="H15" s="736">
        <f t="shared" si="2"/>
        <v>0</v>
      </c>
      <c r="I15" s="3112"/>
      <c r="J15" s="3112"/>
      <c r="K15" s="3112"/>
      <c r="L15" s="3112"/>
      <c r="M15" s="3112"/>
    </row>
    <row r="16" spans="1:13" ht="15.75" customHeight="1">
      <c r="A16" s="3150"/>
      <c r="B16" s="1323" t="s">
        <v>6564</v>
      </c>
      <c r="C16" s="994"/>
      <c r="D16" s="1190"/>
      <c r="E16" s="993">
        <f t="shared" si="0"/>
        <v>0</v>
      </c>
      <c r="F16" s="1191"/>
      <c r="G16" s="524">
        <f t="shared" si="1"/>
        <v>0</v>
      </c>
      <c r="H16" s="736">
        <f t="shared" si="2"/>
        <v>0</v>
      </c>
      <c r="I16" s="3112"/>
      <c r="J16" s="3112"/>
      <c r="K16" s="3112"/>
      <c r="L16" s="3112"/>
      <c r="M16" s="3112"/>
    </row>
    <row r="17" spans="1:13" ht="15.75" customHeight="1">
      <c r="A17" s="3150"/>
      <c r="B17" s="1323" t="s">
        <v>6565</v>
      </c>
      <c r="C17" s="994"/>
      <c r="D17" s="1190"/>
      <c r="E17" s="993">
        <f t="shared" si="0"/>
        <v>0</v>
      </c>
      <c r="F17" s="1191"/>
      <c r="G17" s="524">
        <f t="shared" si="1"/>
        <v>0</v>
      </c>
      <c r="H17" s="736">
        <f t="shared" si="2"/>
        <v>0</v>
      </c>
      <c r="I17" s="3112"/>
      <c r="J17" s="3112"/>
      <c r="K17" s="3112"/>
      <c r="L17" s="3112"/>
      <c r="M17" s="3112"/>
    </row>
    <row r="18" spans="1:13" ht="15.75" customHeight="1">
      <c r="A18" s="3150"/>
      <c r="B18" s="1323" t="s">
        <v>6566</v>
      </c>
      <c r="C18" s="994"/>
      <c r="D18" s="1190"/>
      <c r="E18" s="993">
        <f t="shared" si="0"/>
        <v>0</v>
      </c>
      <c r="F18" s="1191"/>
      <c r="G18" s="524">
        <f t="shared" si="1"/>
        <v>0</v>
      </c>
      <c r="H18" s="736">
        <f t="shared" si="2"/>
        <v>0</v>
      </c>
      <c r="I18" s="3112"/>
      <c r="J18" s="3112"/>
      <c r="K18" s="3112"/>
      <c r="L18" s="3112"/>
      <c r="M18" s="3112"/>
    </row>
    <row r="19" spans="1:13" ht="15.75" customHeight="1">
      <c r="A19" s="3150"/>
      <c r="B19" s="2922" t="s">
        <v>1382</v>
      </c>
      <c r="C19" s="2922"/>
      <c r="D19" s="529">
        <f>SUM(D12:D18)</f>
        <v>0</v>
      </c>
      <c r="E19" s="529">
        <f>SUM(E12:E18)</f>
        <v>0</v>
      </c>
      <c r="F19" s="1192"/>
      <c r="G19" s="529">
        <f>SUM(G12:G18)</f>
        <v>0</v>
      </c>
      <c r="H19" s="989">
        <f>SUM(H12:H18)</f>
        <v>0</v>
      </c>
      <c r="I19" s="3112"/>
      <c r="J19" s="3112"/>
      <c r="K19" s="3112"/>
      <c r="L19" s="3112"/>
      <c r="M19" s="3112"/>
    </row>
    <row r="20" spans="1:13" ht="15.75" customHeight="1">
      <c r="A20" s="3150" t="s">
        <v>1383</v>
      </c>
      <c r="B20" s="3656"/>
      <c r="C20" s="3656"/>
      <c r="D20" s="1193"/>
      <c r="E20" s="1194"/>
      <c r="F20" s="1194"/>
      <c r="G20" s="1193"/>
      <c r="H20" s="986">
        <f>D20+G20</f>
        <v>0</v>
      </c>
      <c r="I20" s="3112"/>
      <c r="J20" s="3112"/>
      <c r="K20" s="3112"/>
      <c r="L20" s="3112"/>
      <c r="M20" s="3112"/>
    </row>
    <row r="21" spans="1:13" ht="15.75" customHeight="1">
      <c r="A21" s="3150"/>
      <c r="B21" s="3657"/>
      <c r="C21" s="3657"/>
      <c r="D21" s="1190"/>
      <c r="E21" s="1108"/>
      <c r="F21" s="1108"/>
      <c r="G21" s="1190"/>
      <c r="H21" s="736">
        <f>D21+G21</f>
        <v>0</v>
      </c>
      <c r="I21" s="3112"/>
      <c r="J21" s="3112"/>
      <c r="K21" s="3112"/>
      <c r="L21" s="3112"/>
      <c r="M21" s="3112"/>
    </row>
    <row r="22" spans="1:13" ht="15.75" customHeight="1">
      <c r="A22" s="3150"/>
      <c r="B22" s="3657"/>
      <c r="C22" s="3657"/>
      <c r="D22" s="1190"/>
      <c r="E22" s="1108"/>
      <c r="F22" s="1108"/>
      <c r="G22" s="1190"/>
      <c r="H22" s="736">
        <f>D22+G22</f>
        <v>0</v>
      </c>
      <c r="I22" s="3112"/>
      <c r="J22" s="3112"/>
      <c r="K22" s="3112"/>
      <c r="L22" s="3112"/>
      <c r="M22" s="3112"/>
    </row>
    <row r="23" spans="1:13" ht="15.75" customHeight="1">
      <c r="A23" s="3150"/>
      <c r="B23" s="2922" t="s">
        <v>1384</v>
      </c>
      <c r="C23" s="2922"/>
      <c r="D23" s="529">
        <f>SUM(D20:D22)</f>
        <v>0</v>
      </c>
      <c r="E23" s="529">
        <f>SUM(E20:E22)</f>
        <v>0</v>
      </c>
      <c r="F23" s="529">
        <f>SUM(F20:F22)</f>
        <v>0</v>
      </c>
      <c r="G23" s="529">
        <f>SUM(G20:G22)</f>
        <v>0</v>
      </c>
      <c r="H23" s="989">
        <f>SUM(H20:H22)</f>
        <v>0</v>
      </c>
      <c r="I23" s="3112" t="s">
        <v>1385</v>
      </c>
      <c r="J23" s="3112"/>
      <c r="K23" s="3112"/>
      <c r="L23" s="3112"/>
      <c r="M23" s="3112"/>
    </row>
    <row r="24" spans="1:13" ht="15.75" customHeight="1">
      <c r="A24" s="3156" t="s">
        <v>1386</v>
      </c>
      <c r="B24" s="3156"/>
      <c r="C24" s="3156"/>
      <c r="D24" s="995">
        <f>D10+D19+D23</f>
        <v>0</v>
      </c>
      <c r="E24" s="996"/>
      <c r="F24" s="996"/>
      <c r="G24" s="995">
        <f>G10+G19+G23</f>
        <v>0</v>
      </c>
      <c r="H24" s="997">
        <f>H10+H19+H23</f>
        <v>0</v>
      </c>
      <c r="I24" s="3112"/>
      <c r="J24" s="3112"/>
      <c r="K24" s="3112"/>
      <c r="L24" s="3112"/>
      <c r="M24" s="3112"/>
    </row>
    <row r="25" spans="1:13" ht="27.75" customHeight="1">
      <c r="A25" s="3043" t="s">
        <v>641</v>
      </c>
      <c r="B25" s="3043"/>
      <c r="C25" s="3272" t="str">
        <f>IF(D24&lt;&gt;资产负债!D5,"货币资金账载数与报表数相差"&amp;DOLLAR(D24-资产负债!D5,2)&amp;"元，请查明原因！","货币资金账载数与报表数相符！")</f>
        <v>货币资金账载数与报表数相符！</v>
      </c>
      <c r="D25" s="3272"/>
      <c r="E25" s="3272"/>
      <c r="F25" s="3272"/>
      <c r="G25" s="3272"/>
      <c r="H25" s="3272"/>
      <c r="I25" s="3112"/>
      <c r="J25" s="3112"/>
      <c r="K25" s="3112"/>
      <c r="L25" s="3112"/>
      <c r="M25" s="3112"/>
    </row>
    <row r="26" spans="1:13" ht="15" customHeight="1">
      <c r="A26" s="3046" t="s">
        <v>1323</v>
      </c>
      <c r="B26" s="3046"/>
      <c r="C26" s="550" t="s">
        <v>1387</v>
      </c>
      <c r="D26" s="3131" t="str">
        <f>IF(G24&lt;&gt;0,"、E","")</f>
        <v/>
      </c>
      <c r="E26" s="3131"/>
      <c r="F26" s="3131"/>
      <c r="G26" s="3131"/>
      <c r="H26" s="3131"/>
      <c r="I26" s="523"/>
      <c r="J26" s="748"/>
      <c r="K26" s="748"/>
      <c r="L26" s="748"/>
      <c r="M26" s="748"/>
    </row>
    <row r="27" spans="1:13" ht="25.5" customHeight="1">
      <c r="A27" s="3046"/>
      <c r="B27" s="3046"/>
      <c r="C27" s="3658"/>
      <c r="D27" s="3658"/>
      <c r="E27" s="3658"/>
      <c r="F27" s="3658"/>
      <c r="G27" s="3658"/>
      <c r="H27" s="3658"/>
    </row>
    <row r="28" spans="1:13" ht="21" customHeight="1">
      <c r="A28" s="3178" t="s">
        <v>574</v>
      </c>
      <c r="B28" s="3178"/>
      <c r="C28" s="3157" t="str">
        <f>IF(H24&lt;&gt;D24,"货币资金调整后认可！","货币资金与相关文件相符,认可！")</f>
        <v>货币资金与相关文件相符,认可！</v>
      </c>
      <c r="D28" s="3157"/>
      <c r="E28" s="3157"/>
      <c r="F28" s="3157"/>
      <c r="G28" s="3157"/>
      <c r="H28" s="3157"/>
    </row>
  </sheetData>
  <sheetProtection selectLockedCells="1" selectUnlockedCells="1"/>
  <mergeCells count="34">
    <mergeCell ref="A26:B27"/>
    <mergeCell ref="D26:H26"/>
    <mergeCell ref="C27:H27"/>
    <mergeCell ref="A28:B28"/>
    <mergeCell ref="C28:H28"/>
    <mergeCell ref="A11:A19"/>
    <mergeCell ref="I14:M22"/>
    <mergeCell ref="B19:C19"/>
    <mergeCell ref="A20:A23"/>
    <mergeCell ref="B20:C20"/>
    <mergeCell ref="B21:C21"/>
    <mergeCell ref="B22:C22"/>
    <mergeCell ref="B23:C23"/>
    <mergeCell ref="I23:M25"/>
    <mergeCell ref="A24:C24"/>
    <mergeCell ref="A25:B25"/>
    <mergeCell ref="C25:H25"/>
    <mergeCell ref="A6:A10"/>
    <mergeCell ref="B6:C6"/>
    <mergeCell ref="E6:F6"/>
    <mergeCell ref="B7:C7"/>
    <mergeCell ref="E7:F7"/>
    <mergeCell ref="B8:C8"/>
    <mergeCell ref="E8:F8"/>
    <mergeCell ref="E9:F9"/>
    <mergeCell ref="B10:C10"/>
    <mergeCell ref="E10:F10"/>
    <mergeCell ref="A1:H1"/>
    <mergeCell ref="I1:I5"/>
    <mergeCell ref="A2:C2"/>
    <mergeCell ref="A3:C3"/>
    <mergeCell ref="A4:H4"/>
    <mergeCell ref="A5:C5"/>
    <mergeCell ref="E5:F5"/>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5.6"/>
  <cols>
    <col min="1" max="1" width="14.69921875" style="92" customWidth="1"/>
    <col min="2" max="2" width="35" style="92" customWidth="1"/>
    <col min="3" max="3" width="6" style="92" customWidth="1"/>
    <col min="4" max="4" width="17.59765625" style="92" customWidth="1"/>
    <col min="5" max="5" width="2.19921875" style="92" customWidth="1"/>
    <col min="6" max="16384" width="9" style="92"/>
  </cols>
  <sheetData>
    <row r="1" spans="1:12" s="317" customFormat="1" ht="44.25" customHeight="1">
      <c r="A1" s="315"/>
      <c r="B1" s="2729" t="s">
        <v>515</v>
      </c>
      <c r="C1" s="2729"/>
      <c r="D1" s="2729"/>
      <c r="E1" s="2729"/>
      <c r="F1" s="316"/>
      <c r="G1" s="316"/>
      <c r="H1" s="316"/>
      <c r="I1" s="316"/>
      <c r="J1" s="316"/>
      <c r="K1" s="316"/>
      <c r="L1" s="316"/>
    </row>
    <row r="2" spans="1:12" ht="18.75" customHeight="1">
      <c r="A2" s="318"/>
      <c r="B2" s="3029"/>
      <c r="C2" s="3029"/>
      <c r="D2" s="3029"/>
      <c r="E2" s="3029"/>
      <c r="F2" s="98"/>
      <c r="G2" s="98"/>
      <c r="H2" s="98"/>
      <c r="I2" s="98"/>
      <c r="J2" s="98"/>
      <c r="K2" s="98"/>
      <c r="L2" s="98"/>
    </row>
    <row r="3" spans="1:12" ht="33" customHeight="1">
      <c r="A3" s="319" t="s">
        <v>516</v>
      </c>
      <c r="B3" s="3660">
        <f>基本情况!B2</f>
        <v>0</v>
      </c>
      <c r="C3" s="3660"/>
      <c r="D3" s="3660"/>
      <c r="E3" s="3660"/>
      <c r="F3" s="98"/>
      <c r="G3" s="98"/>
      <c r="H3" s="98"/>
      <c r="I3" s="98"/>
      <c r="J3" s="98"/>
      <c r="K3" s="98"/>
      <c r="L3" s="98"/>
    </row>
    <row r="4" spans="1:12" ht="33" customHeight="1">
      <c r="A4" s="320"/>
      <c r="B4" s="3661"/>
      <c r="C4" s="3661"/>
      <c r="D4" s="3661"/>
      <c r="E4" s="3661"/>
      <c r="F4" s="98"/>
      <c r="G4" s="98"/>
      <c r="H4" s="98"/>
      <c r="I4" s="98"/>
      <c r="J4" s="98"/>
      <c r="K4" s="98"/>
      <c r="L4" s="98"/>
    </row>
    <row r="5" spans="1:12" ht="33" customHeight="1">
      <c r="A5" s="3659" t="str">
        <f>"兹证明上述公司在以下结算日  "&amp;本年度&amp;"年"&amp;截止月&amp;"月"&amp;截止日&amp;"日"&amp;"  持有现金额为："</f>
        <v>兹证明上述公司在以下结算日  2016年12月31日  持有现金额为：</v>
      </c>
      <c r="B5" s="3659"/>
      <c r="C5" s="3659"/>
      <c r="D5" s="3659"/>
      <c r="E5" s="3659"/>
      <c r="F5" s="2915" t="s">
        <v>395</v>
      </c>
      <c r="G5" s="2915"/>
      <c r="H5" s="98"/>
      <c r="I5" s="321"/>
      <c r="J5" s="98"/>
      <c r="K5" s="98"/>
      <c r="L5" s="98"/>
    </row>
    <row r="6" spans="1:12" ht="33" customHeight="1">
      <c r="A6" s="318" t="s">
        <v>517</v>
      </c>
      <c r="B6" s="322" t="str">
        <f>IF(D6&lt;0,"負","")&amp;TEXT(TRUNC(ABS(ROUND(D6,2))),"[DBNum2]")&amp;"元"&amp;IF(ISERR(FIND(".",ROUND(D6,2))),"",TEXT(RIGHT(TRUNC(ROUND(D6,2)*10)),"[DBNum2]"))&amp;IF(ISERR(FIND(".0",TEXT(D6,"0.00"))),"角","")&amp;IF(LEFT(RIGHT(ROUND(D6,2),3))=".",TEXT(RIGHT(ROUND(D6,2)),"[DBNum2]")&amp;"分","整")</f>
        <v>零元整</v>
      </c>
      <c r="C6" s="318" t="s">
        <v>518</v>
      </c>
      <c r="D6" s="323">
        <f>货币资金!E6</f>
        <v>0</v>
      </c>
      <c r="E6" s="324" t="s">
        <v>519</v>
      </c>
      <c r="F6" s="3663" t="s">
        <v>339</v>
      </c>
      <c r="G6" s="3663"/>
      <c r="H6" s="98"/>
      <c r="I6" s="98"/>
      <c r="J6" s="98"/>
      <c r="K6" s="98"/>
      <c r="L6" s="98"/>
    </row>
    <row r="7" spans="1:12" ht="33" customHeight="1">
      <c r="A7" s="318" t="s">
        <v>520</v>
      </c>
      <c r="B7" s="322" t="str">
        <f>IF(D7&lt;0,"負","")&amp;TEXT(TRUNC(ABS(ROUND(D7,2))),"[DBNum2]")&amp;"元"&amp;IF(ISERR(FIND(".",ROUND(D7,2))),"",TEXT(RIGHT(TRUNC(ROUND(D7,2)*10)),"[DBNum2]"))&amp;IF(ISERR(FIND(".0",TEXT(D7,"0.00"))),"角","")&amp;IF(LEFT(RIGHT(ROUND(D7,2),3))=".",TEXT(RIGHT(ROUND(D7,2)),"[DBNum2]")&amp;"分","整")</f>
        <v>零元整</v>
      </c>
      <c r="C7" s="318" t="s">
        <v>521</v>
      </c>
      <c r="D7" s="323">
        <f>货币资金!E7</f>
        <v>0</v>
      </c>
      <c r="E7" s="324" t="s">
        <v>519</v>
      </c>
      <c r="F7" s="98"/>
      <c r="G7" s="98"/>
      <c r="H7" s="98"/>
      <c r="I7" s="98"/>
      <c r="J7" s="98"/>
      <c r="K7" s="98"/>
      <c r="L7" s="98"/>
    </row>
    <row r="8" spans="1:12" ht="33" customHeight="1">
      <c r="A8" s="318" t="s">
        <v>522</v>
      </c>
      <c r="B8" s="322" t="str">
        <f>IF(D8&lt;0,"負","")&amp;TEXT(TRUNC(ABS(ROUND(D8,2))),"[DBNum2]")&amp;"元"&amp;IF(ISERR(FIND(".",ROUND(D8,2))),"",TEXT(RIGHT(TRUNC(ROUND(D8,2)*10)),"[DBNum2]"))&amp;IF(ISERR(FIND(".0",TEXT(D8,"0.00"))),"角","")&amp;IF(LEFT(RIGHT(ROUND(D8,2),3))=".",TEXT(RIGHT(ROUND(D8,2)),"[DBNum2]")&amp;"分","整")</f>
        <v>零元整</v>
      </c>
      <c r="C8" s="318" t="s">
        <v>523</v>
      </c>
      <c r="D8" s="323">
        <f>货币资金!E8</f>
        <v>0</v>
      </c>
      <c r="E8" s="324" t="s">
        <v>524</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525</v>
      </c>
      <c r="C11" s="3664" t="s">
        <v>526</v>
      </c>
      <c r="D11" s="3664"/>
      <c r="E11" s="3664"/>
      <c r="F11" s="98"/>
      <c r="G11" s="98"/>
      <c r="H11" s="98"/>
      <c r="I11" s="98"/>
      <c r="J11" s="98"/>
      <c r="K11" s="98"/>
      <c r="L11" s="98"/>
    </row>
    <row r="12" spans="1:12" ht="40.5" customHeight="1">
      <c r="A12" s="318"/>
      <c r="B12" s="318"/>
      <c r="C12" s="3665"/>
      <c r="D12" s="3665"/>
      <c r="E12" s="3665"/>
      <c r="F12" s="98"/>
      <c r="G12" s="98"/>
      <c r="H12" s="98"/>
      <c r="I12" s="98"/>
      <c r="J12" s="98"/>
      <c r="K12" s="98"/>
      <c r="L12" s="98"/>
    </row>
    <row r="13" spans="1:12" s="329" customFormat="1" ht="33" customHeight="1">
      <c r="A13" s="326"/>
      <c r="B13" s="327" t="s">
        <v>527</v>
      </c>
      <c r="C13" s="3664"/>
      <c r="D13" s="3664"/>
      <c r="E13" s="3664"/>
      <c r="F13" s="328"/>
      <c r="G13" s="328"/>
      <c r="H13" s="328"/>
      <c r="I13" s="328"/>
      <c r="J13" s="328"/>
      <c r="K13" s="328"/>
      <c r="L13" s="328"/>
    </row>
    <row r="14" spans="1:12" s="329" customFormat="1" ht="40.5" customHeight="1">
      <c r="A14" s="326"/>
      <c r="B14" s="327" t="s">
        <v>528</v>
      </c>
      <c r="C14" s="3664"/>
      <c r="D14" s="3664"/>
      <c r="E14" s="3664"/>
      <c r="F14" s="328"/>
      <c r="G14" s="328"/>
      <c r="H14" s="328"/>
      <c r="I14" s="328"/>
      <c r="J14" s="328"/>
      <c r="K14" s="328"/>
      <c r="L14" s="328"/>
    </row>
    <row r="15" spans="1:12" s="329" customFormat="1" ht="40.5" customHeight="1">
      <c r="A15" s="326"/>
      <c r="B15" s="327" t="s">
        <v>529</v>
      </c>
      <c r="C15" s="3664"/>
      <c r="D15" s="3664"/>
      <c r="E15" s="3664"/>
      <c r="F15" s="328"/>
      <c r="G15" s="328"/>
      <c r="H15" s="328"/>
      <c r="I15" s="328"/>
      <c r="J15" s="328"/>
      <c r="K15" s="328"/>
      <c r="L15" s="328"/>
    </row>
    <row r="16" spans="1:12" s="329" customFormat="1" ht="33" customHeight="1">
      <c r="A16" s="326"/>
      <c r="B16" s="327" t="s">
        <v>1455</v>
      </c>
      <c r="C16" s="3662" t="str">
        <f>基本情况!B21</f>
        <v>2017年3月16日</v>
      </c>
      <c r="D16" s="3662"/>
      <c r="E16" s="3662"/>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C16:E16"/>
    <mergeCell ref="F6:G6"/>
    <mergeCell ref="C11:E11"/>
    <mergeCell ref="C12:E12"/>
    <mergeCell ref="C13:E13"/>
    <mergeCell ref="C14:E14"/>
    <mergeCell ref="C15:E15"/>
    <mergeCell ref="A5:E5"/>
    <mergeCell ref="F5:G5"/>
    <mergeCell ref="B1:E1"/>
    <mergeCell ref="B2:E2"/>
    <mergeCell ref="B3:E3"/>
    <mergeCell ref="B4:E4"/>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5.6"/>
  <cols>
    <col min="1" max="2" width="37.3984375" style="317" customWidth="1"/>
    <col min="3" max="16384" width="9" style="317"/>
  </cols>
  <sheetData>
    <row r="1" spans="1:7" ht="26.25" customHeight="1">
      <c r="A1" s="3667" t="s">
        <v>61</v>
      </c>
      <c r="B1" s="3668"/>
      <c r="C1" s="316"/>
      <c r="D1" s="316"/>
      <c r="E1" s="316"/>
      <c r="F1" s="316"/>
      <c r="G1" s="316"/>
    </row>
    <row r="2" spans="1:7">
      <c r="A2" s="3669"/>
      <c r="B2" s="3670"/>
      <c r="C2" s="316"/>
      <c r="D2" s="316"/>
      <c r="E2" s="316"/>
      <c r="F2" s="316"/>
      <c r="G2" s="316"/>
    </row>
    <row r="3" spans="1:7">
      <c r="A3" s="1949" t="s">
        <v>1388</v>
      </c>
      <c r="B3" s="1948" t="str">
        <f>本年度&amp;"年"&amp;截止月&amp;"月"&amp;截止日&amp;"日"</f>
        <v>2016年12月31日</v>
      </c>
      <c r="C3" s="316"/>
      <c r="D3" s="316"/>
      <c r="E3" s="316"/>
      <c r="F3" s="316"/>
      <c r="G3" s="316"/>
    </row>
    <row r="4" spans="1:7">
      <c r="A4" s="3669"/>
      <c r="B4" s="3670"/>
      <c r="C4" s="316"/>
      <c r="D4" s="316"/>
      <c r="E4" s="316"/>
      <c r="F4" s="316"/>
      <c r="G4" s="316"/>
    </row>
    <row r="5" spans="1:7" ht="21" customHeight="1">
      <c r="A5" s="998" t="str">
        <f>"编制单位："&amp;基本情况!B2</f>
        <v>编制单位：0</v>
      </c>
      <c r="B5" s="1951" t="s">
        <v>1389</v>
      </c>
      <c r="C5" s="316"/>
      <c r="D5" s="316"/>
      <c r="E5" s="316"/>
      <c r="F5" s="316"/>
      <c r="G5" s="316"/>
    </row>
    <row r="6" spans="1:7" ht="21" customHeight="1">
      <c r="A6" s="999" t="s">
        <v>1390</v>
      </c>
      <c r="B6" s="1950" t="s">
        <v>1391</v>
      </c>
      <c r="C6" s="316"/>
      <c r="D6" s="316"/>
      <c r="E6" s="316"/>
      <c r="F6" s="316"/>
      <c r="G6" s="316"/>
    </row>
    <row r="7" spans="1:7" ht="21" customHeight="1">
      <c r="A7" s="1000" t="s">
        <v>1392</v>
      </c>
      <c r="B7" s="1000" t="s">
        <v>1393</v>
      </c>
      <c r="C7" s="316"/>
      <c r="D7" s="316"/>
      <c r="E7" s="316"/>
      <c r="F7" s="316"/>
      <c r="G7" s="316"/>
    </row>
    <row r="8" spans="1:7" ht="18" customHeight="1">
      <c r="A8" s="1001" t="s">
        <v>1394</v>
      </c>
      <c r="B8" s="1001" t="s">
        <v>1394</v>
      </c>
      <c r="C8" s="316"/>
      <c r="D8" s="316"/>
      <c r="E8" s="316"/>
      <c r="F8" s="316"/>
      <c r="G8" s="316"/>
    </row>
    <row r="9" spans="1:7" ht="18" customHeight="1">
      <c r="A9" s="1001" t="s">
        <v>1395</v>
      </c>
      <c r="B9" s="1001" t="s">
        <v>1395</v>
      </c>
      <c r="C9" s="316"/>
      <c r="D9" s="316"/>
      <c r="E9" s="316"/>
      <c r="F9" s="316"/>
      <c r="G9" s="316"/>
    </row>
    <row r="10" spans="1:7" ht="18" customHeight="1">
      <c r="A10" s="1001" t="s">
        <v>1396</v>
      </c>
      <c r="B10" s="1001" t="s">
        <v>1396</v>
      </c>
      <c r="C10" s="316"/>
      <c r="D10" s="316"/>
      <c r="E10" s="316"/>
      <c r="F10" s="316"/>
      <c r="G10" s="316"/>
    </row>
    <row r="11" spans="1:7" ht="18" customHeight="1">
      <c r="A11" s="1001" t="s">
        <v>1395</v>
      </c>
      <c r="B11" s="1001" t="s">
        <v>1395</v>
      </c>
      <c r="C11" s="316"/>
      <c r="D11" s="316"/>
      <c r="E11" s="316"/>
      <c r="F11" s="316"/>
      <c r="G11" s="316"/>
    </row>
    <row r="12" spans="1:7" ht="18" customHeight="1">
      <c r="A12" s="1001" t="s">
        <v>1397</v>
      </c>
      <c r="B12" s="1001" t="s">
        <v>1397</v>
      </c>
      <c r="C12" s="316"/>
      <c r="D12" s="316"/>
      <c r="E12" s="316"/>
      <c r="F12" s="316"/>
      <c r="G12" s="316"/>
    </row>
    <row r="13" spans="1:7" ht="18" customHeight="1">
      <c r="A13" s="1001" t="s">
        <v>1395</v>
      </c>
      <c r="B13" s="1001" t="s">
        <v>1395</v>
      </c>
      <c r="C13" s="316"/>
      <c r="D13" s="316"/>
      <c r="E13" s="316"/>
      <c r="F13" s="316"/>
      <c r="G13" s="316"/>
    </row>
    <row r="14" spans="1:7" ht="18" customHeight="1">
      <c r="A14" s="1001" t="s">
        <v>1398</v>
      </c>
      <c r="B14" s="1001" t="s">
        <v>1398</v>
      </c>
      <c r="C14" s="316"/>
      <c r="D14" s="316"/>
      <c r="E14" s="316"/>
      <c r="F14" s="316"/>
      <c r="G14" s="316"/>
    </row>
    <row r="15" spans="1:7" ht="18" customHeight="1">
      <c r="A15" s="1001" t="s">
        <v>1395</v>
      </c>
      <c r="B15" s="1001" t="s">
        <v>1395</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1399</v>
      </c>
      <c r="B18" s="1000" t="s">
        <v>1400</v>
      </c>
      <c r="C18" s="316"/>
      <c r="D18" s="316"/>
      <c r="E18" s="316"/>
      <c r="F18" s="316"/>
      <c r="G18" s="316"/>
    </row>
    <row r="19" spans="1:7" ht="18" customHeight="1">
      <c r="A19" s="1001" t="s">
        <v>1394</v>
      </c>
      <c r="B19" s="1001" t="s">
        <v>1394</v>
      </c>
      <c r="C19" s="316"/>
      <c r="D19" s="316"/>
      <c r="E19" s="316"/>
      <c r="F19" s="316"/>
      <c r="G19" s="316"/>
    </row>
    <row r="20" spans="1:7" ht="18" customHeight="1">
      <c r="A20" s="1001" t="s">
        <v>1395</v>
      </c>
      <c r="B20" s="1001" t="s">
        <v>1395</v>
      </c>
      <c r="C20" s="316"/>
      <c r="D20" s="316"/>
      <c r="E20" s="316"/>
      <c r="F20" s="316"/>
      <c r="G20" s="316"/>
    </row>
    <row r="21" spans="1:7" ht="18" customHeight="1">
      <c r="A21" s="1001" t="s">
        <v>1396</v>
      </c>
      <c r="B21" s="1001" t="s">
        <v>1396</v>
      </c>
      <c r="C21" s="316"/>
      <c r="D21" s="316"/>
      <c r="E21" s="316"/>
      <c r="F21" s="316"/>
      <c r="G21" s="316"/>
    </row>
    <row r="22" spans="1:7" ht="18" customHeight="1">
      <c r="A22" s="1001" t="s">
        <v>1395</v>
      </c>
      <c r="B22" s="1001" t="s">
        <v>1395</v>
      </c>
      <c r="C22" s="316"/>
      <c r="D22" s="316"/>
      <c r="E22" s="316"/>
      <c r="F22" s="316"/>
      <c r="G22" s="316"/>
    </row>
    <row r="23" spans="1:7" ht="18" customHeight="1">
      <c r="A23" s="1001" t="s">
        <v>1397</v>
      </c>
      <c r="B23" s="1001" t="s">
        <v>1397</v>
      </c>
      <c r="C23" s="316"/>
      <c r="D23" s="316"/>
      <c r="E23" s="316"/>
      <c r="F23" s="316"/>
      <c r="G23" s="316"/>
    </row>
    <row r="24" spans="1:7" ht="18" customHeight="1">
      <c r="A24" s="1001" t="s">
        <v>1395</v>
      </c>
      <c r="B24" s="1001" t="s">
        <v>1395</v>
      </c>
      <c r="C24" s="316"/>
      <c r="D24" s="316"/>
      <c r="E24" s="316"/>
      <c r="F24" s="316"/>
      <c r="G24" s="316"/>
    </row>
    <row r="25" spans="1:7" ht="18" customHeight="1">
      <c r="A25" s="1001" t="s">
        <v>1398</v>
      </c>
      <c r="B25" s="1001" t="s">
        <v>1398</v>
      </c>
      <c r="C25" s="316"/>
      <c r="D25" s="316"/>
      <c r="E25" s="316"/>
      <c r="F25" s="316"/>
      <c r="G25" s="316"/>
    </row>
    <row r="26" spans="1:7" ht="18" customHeight="1">
      <c r="A26" s="1001" t="s">
        <v>1395</v>
      </c>
      <c r="B26" s="1001" t="s">
        <v>1395</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1401</v>
      </c>
      <c r="B29" s="1004" t="s">
        <v>1402</v>
      </c>
      <c r="C29" s="316"/>
      <c r="D29" s="316"/>
      <c r="E29" s="316"/>
      <c r="F29" s="316"/>
      <c r="G29" s="316"/>
    </row>
    <row r="30" spans="1:7">
      <c r="A30" s="1005" t="s">
        <v>1403</v>
      </c>
      <c r="B30" s="316"/>
      <c r="C30" s="316"/>
      <c r="D30" s="316"/>
      <c r="E30" s="316"/>
      <c r="F30" s="316"/>
      <c r="G30" s="316"/>
    </row>
    <row r="31" spans="1:7">
      <c r="A31" s="1006" t="s">
        <v>1404</v>
      </c>
    </row>
    <row r="32" spans="1:7" ht="21" customHeight="1">
      <c r="A32" s="3671" t="s">
        <v>1405</v>
      </c>
      <c r="B32" s="3671"/>
    </row>
    <row r="33" spans="1:2" ht="21" customHeight="1">
      <c r="A33" s="1007" t="s">
        <v>1406</v>
      </c>
    </row>
    <row r="34" spans="1:2" ht="21" customHeight="1">
      <c r="A34" s="3666" t="str">
        <f>基本情况!B21</f>
        <v>2017年3月16日</v>
      </c>
      <c r="B34" s="3666"/>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5.09765625" style="444" customWidth="1"/>
    <col min="8" max="16384" width="9" style="554"/>
  </cols>
  <sheetData>
    <row r="1" spans="1:8" ht="30" customHeight="1">
      <c r="A1" s="2729" t="s">
        <v>343</v>
      </c>
      <c r="B1" s="2729"/>
      <c r="C1" s="2729"/>
      <c r="D1" s="2729"/>
      <c r="E1" s="2729"/>
      <c r="F1" s="2729"/>
      <c r="G1" s="3261"/>
    </row>
    <row r="2" spans="1:8" s="558" customFormat="1" ht="20.25" customHeight="1">
      <c r="A2" s="3212" t="str">
        <f>"委托单位："&amp;基本情况!B2</f>
        <v>委托单位：0</v>
      </c>
      <c r="B2" s="3212"/>
      <c r="C2" s="509"/>
      <c r="D2" s="136" t="s">
        <v>1282</v>
      </c>
      <c r="E2" s="136" t="s">
        <v>1053</v>
      </c>
      <c r="F2" s="485" t="s">
        <v>283</v>
      </c>
      <c r="G2" s="3261"/>
    </row>
    <row r="3" spans="1:8" s="558" customFormat="1" ht="20.25" customHeight="1">
      <c r="A3" s="3212"/>
      <c r="B3" s="3212"/>
      <c r="C3" s="158" t="s">
        <v>450</v>
      </c>
      <c r="D3" s="510">
        <f>基本情况!B12</f>
        <v>0</v>
      </c>
      <c r="E3" s="559" t="str">
        <f>TEXT(基本情况!B21,"yyyy-mm-dd")</f>
        <v>2017-03-16</v>
      </c>
      <c r="F3" s="3103" t="str">
        <f>档案索引!D35</f>
        <v>4-2</v>
      </c>
      <c r="G3" s="3261"/>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3261"/>
    </row>
    <row r="5" spans="1:8" s="565" customFormat="1" ht="7.5" customHeight="1">
      <c r="A5" s="2916"/>
      <c r="B5" s="2916"/>
      <c r="C5" s="2916"/>
      <c r="D5" s="2916"/>
      <c r="E5" s="2916"/>
      <c r="F5" s="2916"/>
      <c r="G5" s="1008"/>
    </row>
    <row r="6" spans="1:8" s="649" customFormat="1" ht="20.25" customHeight="1">
      <c r="A6" s="532" t="s">
        <v>641</v>
      </c>
      <c r="B6" s="3676"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76"/>
      <c r="D6" s="3676"/>
      <c r="E6" s="3676"/>
      <c r="F6" s="3676"/>
      <c r="G6" s="1009" t="s">
        <v>395</v>
      </c>
      <c r="H6" s="607"/>
    </row>
    <row r="7" spans="1:8" s="649" customFormat="1" ht="15" customHeight="1">
      <c r="A7" s="3046" t="s">
        <v>1323</v>
      </c>
      <c r="B7" s="3164" t="s">
        <v>1407</v>
      </c>
      <c r="C7" s="3164"/>
      <c r="D7" s="3164"/>
      <c r="E7" s="3131" t="str">
        <f>IF(OR(D14&lt;&gt;0,D13&lt;&gt;0),"、E","")</f>
        <v/>
      </c>
      <c r="F7" s="3131"/>
      <c r="G7" s="470"/>
      <c r="H7" s="607"/>
    </row>
    <row r="8" spans="1:8" s="649" customFormat="1" ht="61.5" customHeight="1">
      <c r="A8" s="3046"/>
      <c r="B8" s="3675"/>
      <c r="C8" s="3675"/>
      <c r="D8" s="3675"/>
      <c r="E8" s="3675"/>
      <c r="F8" s="3675"/>
      <c r="G8" s="1010" t="s">
        <v>1288</v>
      </c>
      <c r="H8" s="607"/>
    </row>
    <row r="9" spans="1:8" s="649" customFormat="1" ht="20.25" customHeight="1">
      <c r="A9" s="528" t="s">
        <v>574</v>
      </c>
      <c r="B9" s="3157" t="str">
        <f>IF(OR(D14&lt;&gt;0,D13&lt;&gt;0),"调整后认可！","不存在调整事项,认可！")</f>
        <v>不存在调整事项,认可！</v>
      </c>
      <c r="C9" s="3157"/>
      <c r="D9" s="3157"/>
      <c r="E9" s="3157"/>
      <c r="F9" s="3157"/>
      <c r="G9" s="3672"/>
      <c r="H9" s="607"/>
    </row>
    <row r="10" spans="1:8" s="649" customFormat="1" ht="20.25" customHeight="1">
      <c r="A10" s="3150" t="s">
        <v>1408</v>
      </c>
      <c r="B10" s="1011" t="s">
        <v>1251</v>
      </c>
      <c r="C10" s="2920" t="s">
        <v>1252</v>
      </c>
      <c r="D10" s="2920"/>
      <c r="E10" s="136" t="s">
        <v>1253</v>
      </c>
      <c r="F10" s="485" t="s">
        <v>1254</v>
      </c>
      <c r="G10" s="3672"/>
    </row>
    <row r="11" spans="1:8" s="649" customFormat="1" ht="20.25" customHeight="1">
      <c r="A11" s="3150"/>
      <c r="B11" s="1195"/>
      <c r="C11" s="3673"/>
      <c r="D11" s="3673"/>
      <c r="E11" s="1196"/>
      <c r="F11" s="596">
        <f>B11+C11-E11</f>
        <v>0</v>
      </c>
      <c r="G11" s="1012"/>
    </row>
    <row r="12" spans="1:8" s="649" customFormat="1" ht="20.25" customHeight="1">
      <c r="A12" s="135" t="s">
        <v>665</v>
      </c>
      <c r="B12" s="1011" t="s">
        <v>1409</v>
      </c>
      <c r="C12" s="136" t="s">
        <v>1410</v>
      </c>
      <c r="D12" s="136" t="s">
        <v>980</v>
      </c>
      <c r="E12" s="136" t="s">
        <v>502</v>
      </c>
      <c r="F12" s="485" t="s">
        <v>1411</v>
      </c>
      <c r="G12" s="1012"/>
    </row>
    <row r="13" spans="1:8" s="649" customFormat="1" ht="20.25" customHeight="1">
      <c r="A13" s="1013" t="s">
        <v>1412</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1413</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74" t="s">
        <v>1414</v>
      </c>
    </row>
    <row r="16" spans="1:8" s="558" customFormat="1" ht="15" customHeight="1">
      <c r="A16" s="680"/>
      <c r="B16" s="1200"/>
      <c r="C16" s="1120"/>
      <c r="D16" s="1120"/>
      <c r="E16" s="1015">
        <f>B16-C16+D16</f>
        <v>0</v>
      </c>
      <c r="F16" s="1201"/>
      <c r="G16" s="3674"/>
    </row>
    <row r="17" spans="1:7" s="558" customFormat="1" ht="15" customHeight="1">
      <c r="A17" s="680"/>
      <c r="B17" s="1200"/>
      <c r="C17" s="1120"/>
      <c r="D17" s="1120"/>
      <c r="E17" s="1015">
        <f t="shared" ref="E17:E80" si="0">B17-C17+D17</f>
        <v>0</v>
      </c>
      <c r="F17" s="1201"/>
      <c r="G17" s="3674"/>
    </row>
    <row r="18" spans="1:7" s="558" customFormat="1" ht="15" customHeight="1">
      <c r="A18" s="680"/>
      <c r="B18" s="1200"/>
      <c r="C18" s="1120"/>
      <c r="D18" s="1120"/>
      <c r="E18" s="1015">
        <f t="shared" si="0"/>
        <v>0</v>
      </c>
      <c r="F18" s="1201"/>
      <c r="G18" s="3674"/>
    </row>
    <row r="19" spans="1:7" s="558" customFormat="1" ht="15" customHeight="1">
      <c r="A19" s="680"/>
      <c r="B19" s="1200"/>
      <c r="C19" s="1120"/>
      <c r="D19" s="1120"/>
      <c r="E19" s="1015">
        <f t="shared" si="0"/>
        <v>0</v>
      </c>
      <c r="F19" s="1201"/>
      <c r="G19" s="3674"/>
    </row>
    <row r="20" spans="1:7" s="558" customFormat="1" ht="15" customHeight="1">
      <c r="A20" s="680"/>
      <c r="B20" s="1200"/>
      <c r="C20" s="1120"/>
      <c r="D20" s="1120"/>
      <c r="E20" s="1015">
        <f t="shared" si="0"/>
        <v>0</v>
      </c>
      <c r="F20" s="1201"/>
      <c r="G20" s="3674"/>
    </row>
    <row r="21" spans="1:7" s="558" customFormat="1" ht="15" customHeight="1">
      <c r="A21" s="680"/>
      <c r="B21" s="1200"/>
      <c r="C21" s="1120"/>
      <c r="D21" s="1120"/>
      <c r="E21" s="1015">
        <f t="shared" si="0"/>
        <v>0</v>
      </c>
      <c r="F21" s="1201"/>
      <c r="G21" s="3674"/>
    </row>
    <row r="22" spans="1:7" s="558" customFormat="1" ht="15" customHeight="1">
      <c r="A22" s="680"/>
      <c r="B22" s="1200"/>
      <c r="C22" s="1120"/>
      <c r="D22" s="1120"/>
      <c r="E22" s="1015">
        <f t="shared" si="0"/>
        <v>0</v>
      </c>
      <c r="F22" s="1201"/>
      <c r="G22" s="3674"/>
    </row>
    <row r="23" spans="1:7" s="558" customFormat="1" ht="15" customHeight="1">
      <c r="A23" s="680"/>
      <c r="B23" s="1200"/>
      <c r="C23" s="1120"/>
      <c r="D23" s="1120"/>
      <c r="E23" s="1015">
        <f t="shared" si="0"/>
        <v>0</v>
      </c>
      <c r="F23" s="1201"/>
      <c r="G23" s="3672" t="s">
        <v>1415</v>
      </c>
    </row>
    <row r="24" spans="1:7" s="558" customFormat="1" ht="15" customHeight="1">
      <c r="A24" s="680"/>
      <c r="B24" s="1200"/>
      <c r="C24" s="1120"/>
      <c r="D24" s="1120"/>
      <c r="E24" s="1015">
        <f t="shared" si="0"/>
        <v>0</v>
      </c>
      <c r="F24" s="1201"/>
      <c r="G24" s="3672"/>
    </row>
    <row r="25" spans="1:7" s="558" customFormat="1" ht="15" customHeight="1">
      <c r="A25" s="680"/>
      <c r="B25" s="1200"/>
      <c r="C25" s="1120"/>
      <c r="D25" s="1120"/>
      <c r="E25" s="1015">
        <f t="shared" si="0"/>
        <v>0</v>
      </c>
      <c r="F25" s="1201"/>
      <c r="G25" s="1012" t="s">
        <v>1416</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1:G4"/>
    <mergeCell ref="A2:B3"/>
    <mergeCell ref="F3:F4"/>
    <mergeCell ref="A4:B4"/>
    <mergeCell ref="G15:G22"/>
    <mergeCell ref="A10:A11"/>
    <mergeCell ref="E7:F7"/>
    <mergeCell ref="B8:F8"/>
    <mergeCell ref="A1:F1"/>
    <mergeCell ref="A5:F5"/>
    <mergeCell ref="B6:F6"/>
    <mergeCell ref="A7:A8"/>
    <mergeCell ref="B7:D7"/>
    <mergeCell ref="G23:G24"/>
    <mergeCell ref="B9:F9"/>
    <mergeCell ref="G9:G10"/>
    <mergeCell ref="C11:D11"/>
    <mergeCell ref="C10:D1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8.19921875" style="953" customWidth="1"/>
    <col min="8" max="16384" width="9" style="554"/>
  </cols>
  <sheetData>
    <row r="1" spans="1:8" ht="30" customHeight="1">
      <c r="A1" s="2729" t="s">
        <v>347</v>
      </c>
      <c r="B1" s="2729"/>
      <c r="C1" s="2729"/>
      <c r="D1" s="2729"/>
      <c r="E1" s="2729"/>
      <c r="F1" s="2729"/>
      <c r="G1" s="3677"/>
    </row>
    <row r="2" spans="1:8" s="558" customFormat="1" ht="20.25" customHeight="1">
      <c r="A2" s="3212" t="str">
        <f>"委托单位："&amp;基本情况!B2</f>
        <v>委托单位：0</v>
      </c>
      <c r="B2" s="3212"/>
      <c r="C2" s="509"/>
      <c r="D2" s="136" t="s">
        <v>1282</v>
      </c>
      <c r="E2" s="136" t="s">
        <v>1053</v>
      </c>
      <c r="F2" s="485" t="s">
        <v>283</v>
      </c>
      <c r="G2" s="3677"/>
    </row>
    <row r="3" spans="1:8" s="558" customFormat="1" ht="20.25" customHeight="1">
      <c r="A3" s="3212"/>
      <c r="B3" s="3212"/>
      <c r="C3" s="158" t="s">
        <v>450</v>
      </c>
      <c r="D3" s="510">
        <f>基本情况!B12</f>
        <v>0</v>
      </c>
      <c r="E3" s="559" t="str">
        <f>TEXT(基本情况!B21,"yyyy-mm-dd")</f>
        <v>2017-03-16</v>
      </c>
      <c r="F3" s="3103" t="str">
        <f>档案索引!D36</f>
        <v>4-3</v>
      </c>
      <c r="G3" s="3677"/>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3677"/>
    </row>
    <row r="5" spans="1:8" s="565" customFormat="1" ht="7.5" customHeight="1">
      <c r="A5" s="2916"/>
      <c r="B5" s="2916"/>
      <c r="C5" s="2916"/>
      <c r="D5" s="2916"/>
      <c r="E5" s="2916"/>
      <c r="F5" s="2916"/>
      <c r="G5" s="1021"/>
    </row>
    <row r="6" spans="1:8" s="649" customFormat="1" ht="20.25" customHeight="1">
      <c r="A6" s="532" t="s">
        <v>641</v>
      </c>
      <c r="B6" s="3272"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72"/>
      <c r="D6" s="3272"/>
      <c r="E6" s="3272"/>
      <c r="F6" s="3272"/>
      <c r="G6" s="483" t="s">
        <v>395</v>
      </c>
      <c r="H6" s="607"/>
    </row>
    <row r="7" spans="1:8" s="649" customFormat="1" ht="15" customHeight="1">
      <c r="A7" s="3046" t="s">
        <v>1323</v>
      </c>
      <c r="B7" s="3164" t="s">
        <v>1407</v>
      </c>
      <c r="C7" s="3164"/>
      <c r="D7" s="3164"/>
      <c r="E7" s="3131" t="str">
        <f>IF(OR(D14&lt;&gt;0,D13&lt;&gt;0),"、E","")</f>
        <v/>
      </c>
      <c r="F7" s="3131"/>
      <c r="G7" s="483"/>
      <c r="H7" s="607"/>
    </row>
    <row r="8" spans="1:8" s="649" customFormat="1" ht="61.5" customHeight="1">
      <c r="A8" s="3046"/>
      <c r="B8" s="3675"/>
      <c r="C8" s="3675"/>
      <c r="D8" s="3675"/>
      <c r="E8" s="3675"/>
      <c r="F8" s="3675"/>
      <c r="G8" s="1010" t="s">
        <v>1288</v>
      </c>
      <c r="H8" s="607"/>
    </row>
    <row r="9" spans="1:8" s="649" customFormat="1" ht="20.25" customHeight="1">
      <c r="A9" s="528" t="s">
        <v>574</v>
      </c>
      <c r="B9" s="3157" t="str">
        <f>IF(OR(D14&lt;&gt;0,D13&lt;&gt;0),"调整后认可！","不存在调整事项,认可！")</f>
        <v>不存在调整事项,认可！</v>
      </c>
      <c r="C9" s="3157"/>
      <c r="D9" s="3157"/>
      <c r="E9" s="3157"/>
      <c r="F9" s="3157"/>
      <c r="G9" s="1022"/>
      <c r="H9" s="607"/>
    </row>
    <row r="10" spans="1:8" s="649" customFormat="1" ht="20.25" customHeight="1">
      <c r="A10" s="3150" t="s">
        <v>1408</v>
      </c>
      <c r="B10" s="1011" t="s">
        <v>1251</v>
      </c>
      <c r="C10" s="2920" t="s">
        <v>1252</v>
      </c>
      <c r="D10" s="2920"/>
      <c r="E10" s="136" t="s">
        <v>1253</v>
      </c>
      <c r="F10" s="485" t="s">
        <v>1254</v>
      </c>
      <c r="G10" s="1022"/>
    </row>
    <row r="11" spans="1:8" s="649" customFormat="1" ht="20.25" customHeight="1">
      <c r="A11" s="3150"/>
      <c r="B11" s="1195"/>
      <c r="C11" s="3673"/>
      <c r="D11" s="3673"/>
      <c r="E11" s="1196"/>
      <c r="F11" s="596">
        <f>B11+C11-E11</f>
        <v>0</v>
      </c>
      <c r="G11" s="1012"/>
    </row>
    <row r="12" spans="1:8" s="649" customFormat="1" ht="20.25" customHeight="1">
      <c r="A12" s="135" t="s">
        <v>665</v>
      </c>
      <c r="B12" s="1011" t="s">
        <v>1409</v>
      </c>
      <c r="C12" s="136" t="s">
        <v>1410</v>
      </c>
      <c r="D12" s="136" t="s">
        <v>980</v>
      </c>
      <c r="E12" s="136" t="s">
        <v>502</v>
      </c>
      <c r="F12" s="485" t="s">
        <v>1417</v>
      </c>
      <c r="G12" s="1022"/>
    </row>
    <row r="13" spans="1:8" s="649" customFormat="1" ht="20.25" customHeight="1">
      <c r="A13" s="1013" t="s">
        <v>1412</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1413</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74" t="s">
        <v>987</v>
      </c>
    </row>
    <row r="16" spans="1:8" s="558" customFormat="1" ht="15" customHeight="1">
      <c r="A16" s="1025"/>
      <c r="B16" s="1200"/>
      <c r="C16" s="1120"/>
      <c r="D16" s="1121"/>
      <c r="E16" s="1015">
        <f>B16-C16+D16</f>
        <v>0</v>
      </c>
      <c r="F16" s="1201"/>
      <c r="G16" s="3674"/>
    </row>
    <row r="17" spans="1:7" s="558" customFormat="1" ht="15" customHeight="1">
      <c r="A17" s="1025"/>
      <c r="B17" s="1200"/>
      <c r="C17" s="1120"/>
      <c r="D17" s="1121"/>
      <c r="E17" s="1015">
        <f t="shared" ref="E17:E80" si="0">B17-C17+D17</f>
        <v>0</v>
      </c>
      <c r="F17" s="1201"/>
      <c r="G17" s="3674"/>
    </row>
    <row r="18" spans="1:7" s="558" customFormat="1" ht="15" customHeight="1">
      <c r="A18" s="1025"/>
      <c r="B18" s="1200"/>
      <c r="C18" s="1120"/>
      <c r="D18" s="1121"/>
      <c r="E18" s="1015">
        <f t="shared" si="0"/>
        <v>0</v>
      </c>
      <c r="F18" s="1201"/>
      <c r="G18" s="3674"/>
    </row>
    <row r="19" spans="1:7" s="558" customFormat="1" ht="15" customHeight="1">
      <c r="A19" s="1025"/>
      <c r="B19" s="1200"/>
      <c r="C19" s="1120"/>
      <c r="D19" s="1121"/>
      <c r="E19" s="1015">
        <f t="shared" si="0"/>
        <v>0</v>
      </c>
      <c r="F19" s="1201"/>
      <c r="G19" s="3674"/>
    </row>
    <row r="20" spans="1:7" s="558" customFormat="1" ht="15" customHeight="1">
      <c r="A20" s="1025"/>
      <c r="B20" s="1200"/>
      <c r="C20" s="1120"/>
      <c r="D20" s="1121"/>
      <c r="E20" s="1015">
        <f t="shared" si="0"/>
        <v>0</v>
      </c>
      <c r="F20" s="1201"/>
      <c r="G20" s="3674"/>
    </row>
    <row r="21" spans="1:7" s="558" customFormat="1" ht="15" customHeight="1">
      <c r="A21" s="1025"/>
      <c r="B21" s="1200"/>
      <c r="C21" s="1120"/>
      <c r="D21" s="1121"/>
      <c r="E21" s="1015">
        <f t="shared" si="0"/>
        <v>0</v>
      </c>
      <c r="F21" s="1201"/>
      <c r="G21" s="3674"/>
    </row>
    <row r="22" spans="1:7" s="558" customFormat="1" ht="15" customHeight="1">
      <c r="A22" s="1025"/>
      <c r="B22" s="1200"/>
      <c r="C22" s="1120"/>
      <c r="D22" s="1121"/>
      <c r="E22" s="1015">
        <f t="shared" si="0"/>
        <v>0</v>
      </c>
      <c r="F22" s="1201"/>
      <c r="G22" s="3674"/>
    </row>
    <row r="23" spans="1:7" s="558" customFormat="1" ht="15" customHeight="1">
      <c r="A23" s="1025"/>
      <c r="B23" s="1200"/>
      <c r="C23" s="1120"/>
      <c r="D23" s="1121"/>
      <c r="E23" s="1015">
        <f t="shared" si="0"/>
        <v>0</v>
      </c>
      <c r="F23" s="1201"/>
      <c r="G23" s="3674"/>
    </row>
    <row r="24" spans="1:7" s="558" customFormat="1" ht="15" customHeight="1">
      <c r="A24" s="1025"/>
      <c r="B24" s="1200"/>
      <c r="C24" s="1120"/>
      <c r="D24" s="1121"/>
      <c r="E24" s="1015">
        <f t="shared" si="0"/>
        <v>0</v>
      </c>
      <c r="F24" s="1201"/>
      <c r="G24" s="3674"/>
    </row>
    <row r="25" spans="1:7" s="558" customFormat="1" ht="15" customHeight="1">
      <c r="A25" s="1025"/>
      <c r="B25" s="1200"/>
      <c r="C25" s="1120"/>
      <c r="D25" s="1121"/>
      <c r="E25" s="1015">
        <f t="shared" si="0"/>
        <v>0</v>
      </c>
      <c r="F25" s="1201"/>
      <c r="G25" s="3672" t="s">
        <v>988</v>
      </c>
    </row>
    <row r="26" spans="1:7" s="558" customFormat="1" ht="15" customHeight="1">
      <c r="A26" s="1025"/>
      <c r="B26" s="1200"/>
      <c r="C26" s="1120"/>
      <c r="D26" s="1121"/>
      <c r="E26" s="1015">
        <f t="shared" si="0"/>
        <v>0</v>
      </c>
      <c r="F26" s="1201"/>
      <c r="G26" s="3672"/>
    </row>
    <row r="27" spans="1:7" s="558" customFormat="1" ht="15" customHeight="1">
      <c r="A27" s="1025"/>
      <c r="B27" s="1200"/>
      <c r="C27" s="1120"/>
      <c r="D27" s="1121"/>
      <c r="E27" s="1015">
        <f t="shared" si="0"/>
        <v>0</v>
      </c>
      <c r="F27" s="1201"/>
      <c r="G27" s="3672"/>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G25:G27"/>
    <mergeCell ref="B6:F6"/>
    <mergeCell ref="A7:A8"/>
    <mergeCell ref="B7:D7"/>
    <mergeCell ref="E7:F7"/>
    <mergeCell ref="B8:F8"/>
    <mergeCell ref="A10:A11"/>
    <mergeCell ref="C10:D10"/>
    <mergeCell ref="C11:D11"/>
    <mergeCell ref="G15:G24"/>
    <mergeCell ref="B9:F9"/>
    <mergeCell ref="A5:F5"/>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508" customWidth="1"/>
    <col min="8" max="16384" width="9" style="554"/>
  </cols>
  <sheetData>
    <row r="1" spans="1:8" ht="30" customHeight="1">
      <c r="A1" s="2729" t="s">
        <v>351</v>
      </c>
      <c r="B1" s="2729"/>
      <c r="C1" s="2729"/>
      <c r="D1" s="2729"/>
      <c r="E1" s="2729"/>
      <c r="F1" s="2729"/>
      <c r="G1" s="3678"/>
    </row>
    <row r="2" spans="1:8" s="558" customFormat="1" ht="20.25" customHeight="1">
      <c r="A2" s="3212" t="str">
        <f>"委托单位："&amp;基本情况!B2</f>
        <v>委托单位：0</v>
      </c>
      <c r="B2" s="3212"/>
      <c r="C2" s="509"/>
      <c r="D2" s="136" t="s">
        <v>1282</v>
      </c>
      <c r="E2" s="136" t="s">
        <v>1053</v>
      </c>
      <c r="F2" s="485" t="s">
        <v>283</v>
      </c>
      <c r="G2" s="3678"/>
    </row>
    <row r="3" spans="1:8" s="558" customFormat="1" ht="20.25" customHeight="1">
      <c r="A3" s="3212"/>
      <c r="B3" s="3212"/>
      <c r="C3" s="158" t="s">
        <v>450</v>
      </c>
      <c r="D3" s="510">
        <f>基本情况!B12</f>
        <v>0</v>
      </c>
      <c r="E3" s="559" t="str">
        <f>TEXT(基本情况!B21,"yyyy-mm-dd")</f>
        <v>2017-03-16</v>
      </c>
      <c r="F3" s="3103" t="str">
        <f>档案索引!D37</f>
        <v>4-4</v>
      </c>
      <c r="G3" s="3678"/>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3678"/>
    </row>
    <row r="5" spans="1:8" s="565" customFormat="1" ht="7.5" customHeight="1">
      <c r="A5" s="2916"/>
      <c r="B5" s="2916"/>
      <c r="C5" s="2916"/>
      <c r="D5" s="2916"/>
      <c r="E5" s="2916"/>
      <c r="F5" s="2916"/>
      <c r="G5" s="952"/>
    </row>
    <row r="6" spans="1:8" s="649" customFormat="1" ht="20.25" customHeight="1">
      <c r="A6" s="532" t="s">
        <v>641</v>
      </c>
      <c r="B6" s="3272"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72"/>
      <c r="D6" s="3272"/>
      <c r="E6" s="3272"/>
      <c r="F6" s="3272"/>
      <c r="G6" s="1028" t="s">
        <v>395</v>
      </c>
      <c r="H6" s="607"/>
    </row>
    <row r="7" spans="1:8" s="649" customFormat="1" ht="15" customHeight="1">
      <c r="A7" s="3046" t="s">
        <v>1323</v>
      </c>
      <c r="B7" s="3164" t="s">
        <v>1407</v>
      </c>
      <c r="C7" s="3164"/>
      <c r="D7" s="3164"/>
      <c r="E7" s="3131" t="str">
        <f>IF(D14&lt;&gt;0,"、E","")</f>
        <v/>
      </c>
      <c r="F7" s="3131"/>
      <c r="G7" s="1029"/>
      <c r="H7" s="607"/>
    </row>
    <row r="8" spans="1:8" s="649" customFormat="1" ht="61.5" customHeight="1">
      <c r="A8" s="3046"/>
      <c r="B8" s="3675"/>
      <c r="C8" s="3675"/>
      <c r="D8" s="3675"/>
      <c r="E8" s="3675"/>
      <c r="F8" s="3675"/>
      <c r="G8" s="1030" t="s">
        <v>1288</v>
      </c>
      <c r="H8" s="607"/>
    </row>
    <row r="9" spans="1:8" s="649" customFormat="1" ht="20.25" customHeight="1">
      <c r="A9" s="528" t="s">
        <v>574</v>
      </c>
      <c r="B9" s="3157" t="str">
        <f>IF(D14&lt;&gt;0,"调整后认可！","不存在调整事项,认可！")</f>
        <v>不存在调整事项,认可！</v>
      </c>
      <c r="C9" s="3157"/>
      <c r="D9" s="3157"/>
      <c r="E9" s="3157"/>
      <c r="F9" s="3157"/>
      <c r="G9" s="3672" t="s">
        <v>989</v>
      </c>
      <c r="H9" s="607"/>
    </row>
    <row r="10" spans="1:8" s="649" customFormat="1" ht="20.25" customHeight="1">
      <c r="A10" s="3150" t="s">
        <v>1408</v>
      </c>
      <c r="B10" s="1011" t="s">
        <v>1251</v>
      </c>
      <c r="C10" s="2920" t="s">
        <v>1252</v>
      </c>
      <c r="D10" s="2920"/>
      <c r="E10" s="136" t="s">
        <v>1253</v>
      </c>
      <c r="F10" s="485" t="s">
        <v>1254</v>
      </c>
      <c r="G10" s="3672"/>
    </row>
    <row r="11" spans="1:8" s="649" customFormat="1" ht="20.25" customHeight="1">
      <c r="A11" s="3150"/>
      <c r="B11" s="1195"/>
      <c r="C11" s="3673"/>
      <c r="D11" s="3673"/>
      <c r="E11" s="1196"/>
      <c r="F11" s="596">
        <f>B11+C11-E11</f>
        <v>0</v>
      </c>
      <c r="G11" s="3672"/>
    </row>
    <row r="12" spans="1:8" s="649" customFormat="1" ht="20.25" customHeight="1">
      <c r="A12" s="135" t="s">
        <v>665</v>
      </c>
      <c r="B12" s="1011" t="s">
        <v>1409</v>
      </c>
      <c r="C12" s="136" t="s">
        <v>1410</v>
      </c>
      <c r="D12" s="136" t="s">
        <v>980</v>
      </c>
      <c r="E12" s="136" t="s">
        <v>502</v>
      </c>
      <c r="F12" s="485" t="s">
        <v>1417</v>
      </c>
      <c r="G12" s="3672"/>
    </row>
    <row r="13" spans="1:8" s="649" customFormat="1" ht="20.25" customHeight="1">
      <c r="A13" s="1013" t="s">
        <v>1412</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1413</v>
      </c>
      <c r="B14" s="1017">
        <f>SUM(B15:B3004)</f>
        <v>0</v>
      </c>
      <c r="C14" s="1017">
        <f>SUM(C15:C3004)</f>
        <v>0</v>
      </c>
      <c r="D14" s="823">
        <f>SUM(D15:D304)</f>
        <v>0</v>
      </c>
      <c r="E14" s="823">
        <f>SUM(E15:E304)</f>
        <v>0</v>
      </c>
      <c r="F14" s="596">
        <f>SUM(F15:F304)</f>
        <v>0</v>
      </c>
      <c r="G14" s="1029" t="s">
        <v>990</v>
      </c>
    </row>
    <row r="15" spans="1:8" s="558" customFormat="1" ht="15" customHeight="1">
      <c r="A15" s="1018"/>
      <c r="B15" s="1198"/>
      <c r="C15" s="1161"/>
      <c r="D15" s="1166"/>
      <c r="E15" s="1019">
        <f>B15-C15+D15</f>
        <v>0</v>
      </c>
      <c r="F15" s="1199"/>
      <c r="G15" s="1029" t="s">
        <v>991</v>
      </c>
    </row>
    <row r="16" spans="1:8" s="558" customFormat="1" ht="15" customHeight="1">
      <c r="A16" s="680"/>
      <c r="B16" s="1200"/>
      <c r="C16" s="1120"/>
      <c r="D16" s="1121"/>
      <c r="E16" s="1015">
        <f>B16-C16+D16</f>
        <v>0</v>
      </c>
      <c r="F16" s="1201"/>
      <c r="G16" s="1029" t="s">
        <v>992</v>
      </c>
    </row>
    <row r="17" spans="1:7" s="558" customFormat="1" ht="15" customHeight="1">
      <c r="A17" s="680"/>
      <c r="B17" s="1200"/>
      <c r="C17" s="1120"/>
      <c r="D17" s="1120"/>
      <c r="E17" s="1015">
        <f t="shared" ref="E17:E80" si="0">B17-C17+D17</f>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B9:F9"/>
    <mergeCell ref="A5:F5"/>
    <mergeCell ref="G9:G12"/>
    <mergeCell ref="A10:A11"/>
    <mergeCell ref="C10:D10"/>
    <mergeCell ref="C11:D11"/>
    <mergeCell ref="B6:F6"/>
    <mergeCell ref="A7:A8"/>
    <mergeCell ref="B7:D7"/>
    <mergeCell ref="E7:F7"/>
    <mergeCell ref="B8:F8"/>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5.6"/>
  <cols>
    <col min="1" max="1" width="7.59765625" customWidth="1"/>
    <col min="2" max="2" width="27.19921875" customWidth="1"/>
    <col min="3" max="3" width="6.8984375" customWidth="1"/>
    <col min="4" max="4" width="8.5" customWidth="1"/>
    <col min="5" max="6" width="15.3984375" customWidth="1"/>
    <col min="7" max="7" width="54.59765625" customWidth="1"/>
  </cols>
  <sheetData>
    <row r="1" spans="1:7" ht="32.25" customHeight="1">
      <c r="A1" s="2729" t="s">
        <v>355</v>
      </c>
      <c r="B1" s="2729"/>
      <c r="C1" s="2729"/>
      <c r="D1" s="2729"/>
      <c r="E1" s="2729"/>
      <c r="F1" s="2729"/>
      <c r="G1" s="3173"/>
    </row>
    <row r="2" spans="1:7" ht="20.25" customHeight="1">
      <c r="A2" s="3212" t="str">
        <f>"委托单位："&amp;基本情况!B2</f>
        <v>委托单位：0</v>
      </c>
      <c r="B2" s="3212"/>
      <c r="C2" s="509"/>
      <c r="D2" s="136" t="s">
        <v>1282</v>
      </c>
      <c r="E2" s="136" t="s">
        <v>1053</v>
      </c>
      <c r="F2" s="485" t="s">
        <v>283</v>
      </c>
      <c r="G2" s="3173"/>
    </row>
    <row r="3" spans="1:7" ht="20.25" customHeight="1">
      <c r="A3" s="3212"/>
      <c r="B3" s="3212"/>
      <c r="C3" s="158" t="s">
        <v>450</v>
      </c>
      <c r="D3" s="510">
        <f>基本情况!B12</f>
        <v>0</v>
      </c>
      <c r="E3" s="559" t="str">
        <f>TEXT(基本情况!B21,"yyyy-mm-dd")</f>
        <v>2017-03-16</v>
      </c>
      <c r="F3" s="3103" t="str">
        <f>档案索引!D38</f>
        <v>4-5</v>
      </c>
      <c r="G3" s="3173"/>
    </row>
    <row r="4" spans="1:7" ht="20.25" customHeight="1">
      <c r="A4" s="3183" t="str">
        <f>"会计期间："&amp;基本情况!B7</f>
        <v>会计期间：2016年01月01日至2016年12月31日</v>
      </c>
      <c r="B4" s="3183"/>
      <c r="C4" s="140" t="s">
        <v>452</v>
      </c>
      <c r="D4" s="513">
        <f>基本情况!B11</f>
        <v>0</v>
      </c>
      <c r="E4" s="513" t="str">
        <f>TEXT(基本情况!B22,"yyyy-mm-dd")</f>
        <v>2017-05-04</v>
      </c>
      <c r="F4" s="3103"/>
      <c r="G4" s="3173"/>
    </row>
    <row r="5" spans="1:7" ht="7.5" customHeight="1">
      <c r="A5" s="2916"/>
      <c r="B5" s="2916"/>
      <c r="C5" s="2916"/>
      <c r="D5" s="2916"/>
      <c r="E5" s="2916"/>
      <c r="F5" s="2916"/>
      <c r="G5" s="543"/>
    </row>
    <row r="6" spans="1:7" ht="27.75" customHeight="1">
      <c r="A6" s="3561" t="s">
        <v>665</v>
      </c>
      <c r="B6" s="3561"/>
      <c r="C6" s="3044" t="s">
        <v>1181</v>
      </c>
      <c r="D6" s="3044"/>
      <c r="E6" s="582" t="s">
        <v>980</v>
      </c>
      <c r="F6" s="772" t="s">
        <v>502</v>
      </c>
      <c r="G6" s="84" t="s">
        <v>395</v>
      </c>
    </row>
    <row r="7" spans="1:7" ht="21.75" customHeight="1">
      <c r="A7" s="3679" t="s">
        <v>996</v>
      </c>
      <c r="B7" s="3679"/>
      <c r="C7" s="3680"/>
      <c r="D7" s="3680"/>
      <c r="E7" s="1118"/>
      <c r="F7" s="967">
        <f>C7+E7</f>
        <v>0</v>
      </c>
      <c r="G7" s="493" t="s">
        <v>1288</v>
      </c>
    </row>
    <row r="8" spans="1:7" ht="21.75" customHeight="1">
      <c r="A8" s="3681" t="s">
        <v>2382</v>
      </c>
      <c r="B8" s="3681"/>
      <c r="C8" s="3145"/>
      <c r="D8" s="3145"/>
      <c r="E8" s="1120"/>
      <c r="F8" s="699">
        <f>C8+E8</f>
        <v>0</v>
      </c>
      <c r="G8" s="84"/>
    </row>
    <row r="9" spans="1:7" ht="21.75" customHeight="1">
      <c r="A9" s="3681" t="s">
        <v>997</v>
      </c>
      <c r="B9" s="3681"/>
      <c r="C9" s="3145"/>
      <c r="D9" s="3145"/>
      <c r="E9" s="1120"/>
      <c r="F9" s="699">
        <f t="shared" ref="F9:F26" si="0">C9+E9</f>
        <v>0</v>
      </c>
      <c r="G9" s="84"/>
    </row>
    <row r="10" spans="1:7" ht="21.75" customHeight="1">
      <c r="A10" s="3681" t="s">
        <v>2383</v>
      </c>
      <c r="B10" s="3681"/>
      <c r="C10" s="3145"/>
      <c r="D10" s="3145"/>
      <c r="E10" s="1120"/>
      <c r="F10" s="699">
        <f t="shared" si="0"/>
        <v>0</v>
      </c>
      <c r="G10" s="648"/>
    </row>
    <row r="11" spans="1:7" ht="21.75" customHeight="1">
      <c r="A11" s="3681" t="s">
        <v>2384</v>
      </c>
      <c r="B11" s="3681"/>
      <c r="C11" s="3145"/>
      <c r="D11" s="3145"/>
      <c r="E11" s="1120"/>
      <c r="F11" s="699">
        <f t="shared" si="0"/>
        <v>0</v>
      </c>
      <c r="G11" s="144" t="s">
        <v>998</v>
      </c>
    </row>
    <row r="12" spans="1:7" ht="21.75" customHeight="1">
      <c r="A12" s="3681" t="s">
        <v>2385</v>
      </c>
      <c r="B12" s="3681"/>
      <c r="C12" s="3145"/>
      <c r="D12" s="3145"/>
      <c r="E12" s="1120"/>
      <c r="F12" s="699">
        <f t="shared" si="0"/>
        <v>0</v>
      </c>
      <c r="G12" s="84"/>
    </row>
    <row r="13" spans="1:7" ht="21.75" customHeight="1">
      <c r="A13" s="3681" t="s">
        <v>2386</v>
      </c>
      <c r="B13" s="3681"/>
      <c r="C13" s="3145"/>
      <c r="D13" s="3145"/>
      <c r="E13" s="1120"/>
      <c r="F13" s="699">
        <f t="shared" si="0"/>
        <v>0</v>
      </c>
      <c r="G13" s="84"/>
    </row>
    <row r="14" spans="1:7" ht="21.75" customHeight="1">
      <c r="A14" s="3681" t="s">
        <v>2387</v>
      </c>
      <c r="B14" s="3681"/>
      <c r="C14" s="3145"/>
      <c r="D14" s="3145"/>
      <c r="E14" s="1120"/>
      <c r="F14" s="699">
        <f t="shared" si="0"/>
        <v>0</v>
      </c>
      <c r="G14" s="84"/>
    </row>
    <row r="15" spans="1:7" ht="21.75" customHeight="1">
      <c r="A15" s="3681" t="s">
        <v>2388</v>
      </c>
      <c r="B15" s="3681"/>
      <c r="C15" s="3145"/>
      <c r="D15" s="3145"/>
      <c r="E15" s="1120"/>
      <c r="F15" s="699">
        <f t="shared" si="0"/>
        <v>0</v>
      </c>
      <c r="G15" s="84"/>
    </row>
    <row r="16" spans="1:7" ht="21.75" customHeight="1">
      <c r="A16" s="3681" t="s">
        <v>2389</v>
      </c>
      <c r="B16" s="3681"/>
      <c r="C16" s="3145"/>
      <c r="D16" s="3145"/>
      <c r="E16" s="1120"/>
      <c r="F16" s="699">
        <f t="shared" si="0"/>
        <v>0</v>
      </c>
      <c r="G16" s="84"/>
    </row>
    <row r="17" spans="1:7" ht="21.75" customHeight="1">
      <c r="A17" s="3681" t="s">
        <v>2390</v>
      </c>
      <c r="B17" s="3681"/>
      <c r="C17" s="3145"/>
      <c r="D17" s="3145"/>
      <c r="E17" s="1120"/>
      <c r="F17" s="699">
        <f t="shared" si="0"/>
        <v>0</v>
      </c>
      <c r="G17" s="84"/>
    </row>
    <row r="18" spans="1:7" ht="21.75" customHeight="1">
      <c r="A18" s="3681" t="s">
        <v>2391</v>
      </c>
      <c r="B18" s="3681"/>
      <c r="C18" s="3145"/>
      <c r="D18" s="3145"/>
      <c r="E18" s="1120"/>
      <c r="F18" s="699">
        <f t="shared" si="0"/>
        <v>0</v>
      </c>
      <c r="G18" s="84"/>
    </row>
    <row r="19" spans="1:7" ht="21.75" customHeight="1">
      <c r="A19" s="3681" t="s">
        <v>2392</v>
      </c>
      <c r="B19" s="3681"/>
      <c r="C19" s="3145"/>
      <c r="D19" s="3145"/>
      <c r="E19" s="1120"/>
      <c r="F19" s="699">
        <f t="shared" si="0"/>
        <v>0</v>
      </c>
      <c r="G19" s="84"/>
    </row>
    <row r="20" spans="1:7" ht="21.75" customHeight="1">
      <c r="A20" s="3681" t="s">
        <v>999</v>
      </c>
      <c r="B20" s="3681"/>
      <c r="C20" s="3145"/>
      <c r="D20" s="3145"/>
      <c r="E20" s="1120"/>
      <c r="F20" s="699">
        <f t="shared" si="0"/>
        <v>0</v>
      </c>
      <c r="G20" s="84"/>
    </row>
    <row r="21" spans="1:7" ht="21.75" customHeight="1">
      <c r="A21" s="3682" t="s">
        <v>1000</v>
      </c>
      <c r="B21" s="3682"/>
      <c r="C21" s="3145"/>
      <c r="D21" s="3145"/>
      <c r="E21" s="1120"/>
      <c r="F21" s="699">
        <f t="shared" si="0"/>
        <v>0</v>
      </c>
      <c r="G21" s="84"/>
    </row>
    <row r="22" spans="1:7" ht="21.75" customHeight="1">
      <c r="A22" s="3683"/>
      <c r="B22" s="3683"/>
      <c r="C22" s="3145"/>
      <c r="D22" s="3145"/>
      <c r="E22" s="1120"/>
      <c r="F22" s="699">
        <f t="shared" si="0"/>
        <v>0</v>
      </c>
      <c r="G22" s="84"/>
    </row>
    <row r="23" spans="1:7" ht="21.75" customHeight="1">
      <c r="A23" s="3683"/>
      <c r="B23" s="3683"/>
      <c r="C23" s="3145"/>
      <c r="D23" s="3145"/>
      <c r="E23" s="1120"/>
      <c r="F23" s="699">
        <f t="shared" si="0"/>
        <v>0</v>
      </c>
      <c r="G23" s="84"/>
    </row>
    <row r="24" spans="1:7" ht="21.75" customHeight="1">
      <c r="A24" s="3683"/>
      <c r="B24" s="3683"/>
      <c r="C24" s="3145"/>
      <c r="D24" s="3145"/>
      <c r="E24" s="1120"/>
      <c r="F24" s="699">
        <f t="shared" si="0"/>
        <v>0</v>
      </c>
      <c r="G24" s="84"/>
    </row>
    <row r="25" spans="1:7" ht="21.75" customHeight="1">
      <c r="A25" s="3683"/>
      <c r="B25" s="3683"/>
      <c r="C25" s="3145"/>
      <c r="D25" s="3145"/>
      <c r="E25" s="1120"/>
      <c r="F25" s="699">
        <f t="shared" si="0"/>
        <v>0</v>
      </c>
      <c r="G25" s="84"/>
    </row>
    <row r="26" spans="1:7" ht="21.75" customHeight="1">
      <c r="A26" s="3683"/>
      <c r="B26" s="3683"/>
      <c r="C26" s="3145"/>
      <c r="D26" s="3145"/>
      <c r="E26" s="1120"/>
      <c r="F26" s="699">
        <f t="shared" si="0"/>
        <v>0</v>
      </c>
      <c r="G26" s="84"/>
    </row>
    <row r="27" spans="1:7" ht="21.75" customHeight="1">
      <c r="A27" s="3684" t="s">
        <v>702</v>
      </c>
      <c r="B27" s="3684"/>
      <c r="C27" s="3685">
        <f>SUM(C7:C26)</f>
        <v>0</v>
      </c>
      <c r="D27" s="3685"/>
      <c r="E27" s="721">
        <f>SUM(E7:E26)</f>
        <v>0</v>
      </c>
      <c r="F27" s="596">
        <f>SUM(F7:F26)</f>
        <v>0</v>
      </c>
      <c r="G27" s="84"/>
    </row>
    <row r="28" spans="1:7" ht="30.75" customHeight="1">
      <c r="A28" s="785" t="s">
        <v>641</v>
      </c>
      <c r="B28" s="3686" t="str">
        <f>IF(C27&lt;&gt;资产负债!D13,"账载数与报表数相差"&amp;DOLLAR(C27-资产负债!D13,2)&amp;"元！","账载数与报表数相符！")</f>
        <v>账载数与报表数相符！</v>
      </c>
      <c r="C28" s="3686"/>
      <c r="D28" s="3686"/>
      <c r="E28" s="3686"/>
      <c r="F28" s="3686"/>
      <c r="G28" s="84"/>
    </row>
    <row r="29" spans="1:7" ht="15" customHeight="1">
      <c r="A29" s="3080" t="s">
        <v>1323</v>
      </c>
      <c r="B29" s="965" t="s">
        <v>1387</v>
      </c>
      <c r="C29" s="3687" t="str">
        <f>IF(E27&lt;&gt;0,"、E","")</f>
        <v/>
      </c>
      <c r="D29" s="3687"/>
      <c r="E29" s="3687"/>
      <c r="F29" s="3687"/>
      <c r="G29" s="84"/>
    </row>
    <row r="30" spans="1:7" ht="59.25" customHeight="1">
      <c r="A30" s="3080"/>
      <c r="B30" s="3181"/>
      <c r="C30" s="3181"/>
      <c r="D30" s="3181"/>
      <c r="E30" s="3181"/>
      <c r="F30" s="3181"/>
      <c r="G30" s="84"/>
    </row>
    <row r="31" spans="1:7" ht="21.75" customHeight="1">
      <c r="A31" s="528" t="s">
        <v>574</v>
      </c>
      <c r="B31" s="3157" t="str">
        <f>IF(E27&lt;&gt;0,"调整后认可！","不存在调整事项,认可！")</f>
        <v>不存在调整事项,认可！</v>
      </c>
      <c r="C31" s="3157"/>
      <c r="D31" s="3157"/>
      <c r="E31" s="3157"/>
      <c r="F31" s="3157"/>
      <c r="G31" s="84"/>
    </row>
  </sheetData>
  <sheetProtection selectLockedCells="1" selectUnlockedCells="1"/>
  <mergeCells count="55">
    <mergeCell ref="B31:F31"/>
    <mergeCell ref="A24:B24"/>
    <mergeCell ref="C24:D24"/>
    <mergeCell ref="A26:B26"/>
    <mergeCell ref="C26:D26"/>
    <mergeCell ref="A27:B27"/>
    <mergeCell ref="C27:D27"/>
    <mergeCell ref="A25:B25"/>
    <mergeCell ref="C25:D25"/>
    <mergeCell ref="B28:F28"/>
    <mergeCell ref="A29:A30"/>
    <mergeCell ref="C29:F29"/>
    <mergeCell ref="B30:F30"/>
    <mergeCell ref="A17:B17"/>
    <mergeCell ref="C17:D17"/>
    <mergeCell ref="A20:B20"/>
    <mergeCell ref="C20:D20"/>
    <mergeCell ref="A19:B19"/>
    <mergeCell ref="C19:D19"/>
    <mergeCell ref="A18:B18"/>
    <mergeCell ref="C18:D18"/>
    <mergeCell ref="A21:B21"/>
    <mergeCell ref="C21:D21"/>
    <mergeCell ref="A22:B22"/>
    <mergeCell ref="C22:D22"/>
    <mergeCell ref="A23:B23"/>
    <mergeCell ref="C23:D23"/>
    <mergeCell ref="A8:B8"/>
    <mergeCell ref="C8:D8"/>
    <mergeCell ref="C14:D14"/>
    <mergeCell ref="A13:B13"/>
    <mergeCell ref="A9:B9"/>
    <mergeCell ref="C9:D9"/>
    <mergeCell ref="A12:B12"/>
    <mergeCell ref="C12:D12"/>
    <mergeCell ref="C10:D10"/>
    <mergeCell ref="A11:B11"/>
    <mergeCell ref="C11:D11"/>
    <mergeCell ref="A10:B10"/>
    <mergeCell ref="C13:D13"/>
    <mergeCell ref="C15:D15"/>
    <mergeCell ref="A16:B16"/>
    <mergeCell ref="C16:D16"/>
    <mergeCell ref="A15:B15"/>
    <mergeCell ref="A14:B14"/>
    <mergeCell ref="A5:F5"/>
    <mergeCell ref="A6:B6"/>
    <mergeCell ref="C6:D6"/>
    <mergeCell ref="A7:B7"/>
    <mergeCell ref="C7:D7"/>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6" ht="26.25" customHeight="1">
      <c r="A1" s="3688" t="s">
        <v>358</v>
      </c>
      <c r="B1" s="3688"/>
      <c r="C1" s="3688"/>
      <c r="D1" s="3688"/>
      <c r="E1" s="3688"/>
      <c r="F1" s="3688"/>
      <c r="G1" s="3688"/>
      <c r="H1" s="3688"/>
      <c r="I1" s="3688"/>
      <c r="J1" s="3688"/>
      <c r="K1" s="3689"/>
    </row>
    <row r="2" spans="1:16" ht="21.75" customHeight="1">
      <c r="A2" s="3278" t="s">
        <v>447</v>
      </c>
      <c r="B2" s="3278"/>
      <c r="C2" s="3279">
        <f>基本情况!B2</f>
        <v>0</v>
      </c>
      <c r="D2" s="3279"/>
      <c r="E2" s="1032" t="s">
        <v>450</v>
      </c>
      <c r="F2" s="1033">
        <f>基本情况!B12</f>
        <v>0</v>
      </c>
      <c r="G2" s="1032" t="s">
        <v>882</v>
      </c>
      <c r="H2" s="1034" t="str">
        <f>TEXT(基本情况!B21,"yyyy-mm-dd")</f>
        <v>2017-03-16</v>
      </c>
      <c r="I2" s="3280" t="s">
        <v>283</v>
      </c>
      <c r="J2" s="3280"/>
      <c r="K2" s="3689"/>
    </row>
    <row r="3" spans="1:16" ht="21.75" customHeight="1">
      <c r="A3" s="3281" t="s">
        <v>451</v>
      </c>
      <c r="B3" s="3281"/>
      <c r="C3" s="3282" t="str">
        <f>基本情况!B7</f>
        <v>2016年01月01日至2016年12月31日</v>
      </c>
      <c r="D3" s="3282"/>
      <c r="E3" s="1035" t="s">
        <v>452</v>
      </c>
      <c r="F3" s="1036">
        <f>基本情况!B11</f>
        <v>0</v>
      </c>
      <c r="G3" s="1035" t="s">
        <v>882</v>
      </c>
      <c r="H3" s="1036" t="str">
        <f>TEXT(基本情况!B22,"yyyy-mm-dd")</f>
        <v>2017-05-04</v>
      </c>
      <c r="I3" s="3690" t="str">
        <f>档案索引!D39</f>
        <v>4-6</v>
      </c>
      <c r="J3" s="3690"/>
      <c r="K3" s="3689"/>
    </row>
    <row r="4" spans="1:16" ht="7.5" customHeight="1">
      <c r="A4" s="3276"/>
      <c r="B4" s="3276"/>
      <c r="C4" s="3276"/>
      <c r="D4" s="3276"/>
      <c r="E4" s="3276"/>
      <c r="F4" s="3276"/>
      <c r="G4" s="3276"/>
      <c r="H4" s="3276"/>
      <c r="I4" s="3276"/>
      <c r="J4" s="3276"/>
      <c r="K4" s="3689"/>
    </row>
    <row r="5" spans="1:16" ht="21.75" customHeight="1">
      <c r="A5" s="1037" t="s">
        <v>665</v>
      </c>
      <c r="B5" s="1038" t="s">
        <v>453</v>
      </c>
      <c r="C5" s="1038" t="s">
        <v>1001</v>
      </c>
      <c r="D5" s="1038" t="s">
        <v>1002</v>
      </c>
      <c r="E5" s="1038" t="s">
        <v>1003</v>
      </c>
      <c r="F5" s="1038" t="s">
        <v>1004</v>
      </c>
      <c r="G5" s="1038" t="s">
        <v>1005</v>
      </c>
      <c r="H5" s="1038" t="s">
        <v>1006</v>
      </c>
      <c r="I5" s="1038" t="s">
        <v>980</v>
      </c>
      <c r="J5" s="1039" t="s">
        <v>502</v>
      </c>
      <c r="K5" s="3689"/>
    </row>
    <row r="6" spans="1:16" ht="21.75" customHeight="1">
      <c r="A6" s="3287" t="s">
        <v>1007</v>
      </c>
      <c r="B6" s="1032">
        <v>1</v>
      </c>
      <c r="C6" s="1040"/>
      <c r="D6" s="1206"/>
      <c r="E6" s="1206"/>
      <c r="F6" s="1206"/>
      <c r="G6" s="1206"/>
      <c r="H6" s="1207">
        <f t="shared" ref="H6:H11" si="0">E6+F6-G6</f>
        <v>0</v>
      </c>
      <c r="I6" s="1206"/>
      <c r="J6" s="1208">
        <f t="shared" ref="J6:J19" si="1">H6+I6</f>
        <v>0</v>
      </c>
      <c r="K6" s="565"/>
    </row>
    <row r="7" spans="1:16" ht="21.75" customHeight="1">
      <c r="A7" s="3287"/>
      <c r="B7" s="763">
        <v>2</v>
      </c>
      <c r="C7" s="1041"/>
      <c r="D7" s="1209"/>
      <c r="E7" s="1209"/>
      <c r="F7" s="1209"/>
      <c r="G7" s="1209"/>
      <c r="H7" s="1210">
        <f t="shared" si="0"/>
        <v>0</v>
      </c>
      <c r="I7" s="1209"/>
      <c r="J7" s="1211">
        <f t="shared" si="1"/>
        <v>0</v>
      </c>
      <c r="K7" t="s">
        <v>395</v>
      </c>
    </row>
    <row r="8" spans="1:16" ht="21.75" customHeight="1">
      <c r="A8" s="3287"/>
      <c r="B8" s="763">
        <v>3</v>
      </c>
      <c r="C8" s="1041"/>
      <c r="D8" s="1209"/>
      <c r="E8" s="1209"/>
      <c r="F8" s="1209"/>
      <c r="G8" s="1209"/>
      <c r="H8" s="1210">
        <f t="shared" si="0"/>
        <v>0</v>
      </c>
      <c r="I8" s="1209"/>
      <c r="J8" s="1211">
        <f t="shared" si="1"/>
        <v>0</v>
      </c>
      <c r="K8" s="1042" t="s">
        <v>1288</v>
      </c>
    </row>
    <row r="9" spans="1:16" ht="21.75" customHeight="1">
      <c r="A9" s="3287"/>
      <c r="B9" s="763">
        <v>4</v>
      </c>
      <c r="C9" s="1041"/>
      <c r="D9" s="1209"/>
      <c r="E9" s="1209"/>
      <c r="F9" s="1209"/>
      <c r="G9" s="1209"/>
      <c r="H9" s="1210">
        <f t="shared" si="0"/>
        <v>0</v>
      </c>
      <c r="I9" s="1209"/>
      <c r="J9" s="1211">
        <f t="shared" si="1"/>
        <v>0</v>
      </c>
    </row>
    <row r="10" spans="1:16" ht="21.75" customHeight="1">
      <c r="A10" s="3287"/>
      <c r="B10" s="763">
        <v>5</v>
      </c>
      <c r="C10" s="1041"/>
      <c r="D10" s="1209"/>
      <c r="E10" s="1209"/>
      <c r="F10" s="1209"/>
      <c r="G10" s="1209"/>
      <c r="H10" s="1210">
        <f t="shared" si="0"/>
        <v>0</v>
      </c>
      <c r="I10" s="1209"/>
      <c r="J10" s="1211">
        <f t="shared" si="1"/>
        <v>0</v>
      </c>
    </row>
    <row r="11" spans="1:16" ht="21.75" customHeight="1">
      <c r="A11" s="3287"/>
      <c r="B11" s="763">
        <v>6</v>
      </c>
      <c r="C11" s="1041"/>
      <c r="D11" s="1209"/>
      <c r="E11" s="1209"/>
      <c r="F11" s="1209"/>
      <c r="G11" s="1209"/>
      <c r="H11" s="1210">
        <f t="shared" si="0"/>
        <v>0</v>
      </c>
      <c r="I11" s="1209"/>
      <c r="J11" s="1211">
        <f t="shared" si="1"/>
        <v>0</v>
      </c>
      <c r="K11" s="3644" t="s">
        <v>1649</v>
      </c>
      <c r="L11" s="3644"/>
      <c r="M11" s="3644"/>
      <c r="N11" s="3644"/>
      <c r="O11" s="3644"/>
      <c r="P11" s="3644"/>
    </row>
    <row r="12" spans="1:16" ht="21.75" customHeight="1">
      <c r="A12" s="3287"/>
      <c r="B12" s="3691" t="s">
        <v>702</v>
      </c>
      <c r="C12" s="3691"/>
      <c r="D12" s="1212">
        <f t="shared" ref="D12:I12" si="2">SUM(D6:D11)</f>
        <v>0</v>
      </c>
      <c r="E12" s="1212">
        <f t="shared" si="2"/>
        <v>0</v>
      </c>
      <c r="F12" s="1212">
        <f t="shared" si="2"/>
        <v>0</v>
      </c>
      <c r="G12" s="1212">
        <f t="shared" si="2"/>
        <v>0</v>
      </c>
      <c r="H12" s="1212">
        <f t="shared" si="2"/>
        <v>0</v>
      </c>
      <c r="I12" s="1212">
        <f t="shared" si="2"/>
        <v>0</v>
      </c>
      <c r="J12" s="1213">
        <f t="shared" si="1"/>
        <v>0</v>
      </c>
      <c r="K12" s="3644"/>
      <c r="L12" s="3644"/>
      <c r="M12" s="3644"/>
      <c r="N12" s="3644"/>
      <c r="O12" s="3644"/>
      <c r="P12" s="3644"/>
    </row>
    <row r="13" spans="1:16" ht="21.75" customHeight="1">
      <c r="A13" s="3692" t="s">
        <v>1650</v>
      </c>
      <c r="B13" s="1043">
        <v>1</v>
      </c>
      <c r="C13" s="1044"/>
      <c r="D13" s="1214"/>
      <c r="E13" s="1214"/>
      <c r="F13" s="1214"/>
      <c r="G13" s="1214"/>
      <c r="H13" s="1215">
        <f t="shared" ref="H13:H18" si="3">E13+G13-F13</f>
        <v>0</v>
      </c>
      <c r="I13" s="1216"/>
      <c r="J13" s="1217">
        <f t="shared" si="1"/>
        <v>0</v>
      </c>
      <c r="K13" s="3644"/>
      <c r="L13" s="3644"/>
      <c r="M13" s="3644"/>
      <c r="N13" s="3644"/>
      <c r="O13" s="3644"/>
      <c r="P13" s="3644"/>
    </row>
    <row r="14" spans="1:16" ht="21.75" customHeight="1">
      <c r="A14" s="3692"/>
      <c r="B14" s="763">
        <v>2</v>
      </c>
      <c r="C14" s="1041"/>
      <c r="D14" s="1218"/>
      <c r="E14" s="1218"/>
      <c r="F14" s="1218"/>
      <c r="G14" s="1218"/>
      <c r="H14" s="1219">
        <f t="shared" si="3"/>
        <v>0</v>
      </c>
      <c r="I14" s="1209"/>
      <c r="J14" s="1211">
        <f t="shared" si="1"/>
        <v>0</v>
      </c>
      <c r="K14" s="3644"/>
      <c r="L14" s="3644"/>
      <c r="M14" s="3644"/>
      <c r="N14" s="3644"/>
      <c r="O14" s="3644"/>
      <c r="P14" s="3644"/>
    </row>
    <row r="15" spans="1:16" ht="21.75" customHeight="1">
      <c r="A15" s="3692"/>
      <c r="B15" s="763">
        <v>3</v>
      </c>
      <c r="C15" s="1041"/>
      <c r="D15" s="1218"/>
      <c r="E15" s="1218"/>
      <c r="F15" s="1218"/>
      <c r="G15" s="1218"/>
      <c r="H15" s="1219">
        <f t="shared" si="3"/>
        <v>0</v>
      </c>
      <c r="I15" s="1209"/>
      <c r="J15" s="1211">
        <f t="shared" si="1"/>
        <v>0</v>
      </c>
      <c r="K15" s="3644"/>
      <c r="L15" s="3644"/>
      <c r="M15" s="3644"/>
      <c r="N15" s="3644"/>
      <c r="O15" s="3644"/>
      <c r="P15" s="3644"/>
    </row>
    <row r="16" spans="1:16" ht="21.75" customHeight="1">
      <c r="A16" s="3692"/>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92"/>
      <c r="B17" s="763">
        <v>5</v>
      </c>
      <c r="C17" s="1041"/>
      <c r="D17" s="1218"/>
      <c r="E17" s="1218"/>
      <c r="F17" s="1218"/>
      <c r="G17" s="1218"/>
      <c r="H17" s="1219">
        <f t="shared" si="3"/>
        <v>0</v>
      </c>
      <c r="I17" s="1209"/>
      <c r="J17" s="1211">
        <f t="shared" si="1"/>
        <v>0</v>
      </c>
    </row>
    <row r="18" spans="1:16" ht="21.75" customHeight="1">
      <c r="A18" s="3692"/>
      <c r="B18" s="763">
        <v>6</v>
      </c>
      <c r="C18" s="1041"/>
      <c r="D18" s="1209"/>
      <c r="E18" s="1209"/>
      <c r="F18" s="1209"/>
      <c r="G18" s="1209"/>
      <c r="H18" s="1219">
        <f t="shared" si="3"/>
        <v>0</v>
      </c>
      <c r="I18" s="1209"/>
      <c r="J18" s="1211">
        <f t="shared" si="1"/>
        <v>0</v>
      </c>
      <c r="K18" s="3644" t="s">
        <v>833</v>
      </c>
      <c r="L18" s="3644"/>
      <c r="M18" s="3644"/>
      <c r="N18" s="3644"/>
      <c r="O18" s="3644"/>
      <c r="P18" s="3644"/>
    </row>
    <row r="19" spans="1:16" ht="21.75" customHeight="1">
      <c r="A19" s="3692"/>
      <c r="B19" s="3691" t="s">
        <v>702</v>
      </c>
      <c r="C19" s="3691"/>
      <c r="D19" s="1212">
        <f t="shared" ref="D19:I19" si="4">SUM(D13:D18)</f>
        <v>0</v>
      </c>
      <c r="E19" s="1212">
        <f t="shared" si="4"/>
        <v>0</v>
      </c>
      <c r="F19" s="1212">
        <f t="shared" si="4"/>
        <v>0</v>
      </c>
      <c r="G19" s="1212">
        <f t="shared" si="4"/>
        <v>0</v>
      </c>
      <c r="H19" s="1212">
        <f t="shared" si="4"/>
        <v>0</v>
      </c>
      <c r="I19" s="1212">
        <f t="shared" si="4"/>
        <v>0</v>
      </c>
      <c r="J19" s="1213">
        <f t="shared" si="1"/>
        <v>0</v>
      </c>
      <c r="K19" s="3644"/>
      <c r="L19" s="3644"/>
      <c r="M19" s="3644"/>
      <c r="N19" s="3644"/>
      <c r="O19" s="3644"/>
      <c r="P19" s="3644"/>
    </row>
    <row r="20" spans="1:16" ht="21" customHeight="1">
      <c r="A20" s="3293" t="s">
        <v>641</v>
      </c>
      <c r="B20" s="3293"/>
      <c r="C20" s="3693" t="str">
        <f>IF($H$12&lt;&gt;资产负债!$D$18,"待摊费用账载数与报表数相差"&amp;DOLLAR($H$12-资产负债!$D$18,2)&amp;"元！","待摊费用账载数与报表数相符！")</f>
        <v>待摊费用账载数与报表数相符！</v>
      </c>
      <c r="D20" s="3693"/>
      <c r="E20" s="3693"/>
      <c r="F20" s="3693"/>
      <c r="G20" s="3694" t="str">
        <f>IF($H$19&lt;&gt;资产负债!$H$14,"预提费用账载数与报表数相差"&amp;DOLLAR($H$19-资产负债!$H$14,2)&amp;"元！","预提费用账载数与报表数相符！")</f>
        <v>预提费用账载数与报表数相符！</v>
      </c>
      <c r="H20" s="3694"/>
      <c r="I20" s="3694"/>
      <c r="J20" s="3694"/>
      <c r="K20" s="3644"/>
      <c r="L20" s="3644"/>
      <c r="M20" s="3644"/>
      <c r="N20" s="3644"/>
      <c r="O20" s="3644"/>
      <c r="P20" s="3644"/>
    </row>
    <row r="21" spans="1:16" ht="15" customHeight="1">
      <c r="A21" s="3302" t="s">
        <v>1323</v>
      </c>
      <c r="B21" s="3302"/>
      <c r="C21" s="1045" t="s">
        <v>1407</v>
      </c>
      <c r="D21" s="3697" t="str">
        <f>IF(OR(H12&lt;&gt;资产负债!D16,H18&lt;&gt;资产负债!H18),"、E","")</f>
        <v/>
      </c>
      <c r="E21" s="3697"/>
      <c r="F21" s="3697"/>
      <c r="G21" s="3697"/>
      <c r="H21" s="3697"/>
      <c r="I21" s="3697"/>
      <c r="J21" s="3697"/>
      <c r="K21" s="972"/>
      <c r="L21" s="587"/>
      <c r="M21" s="587"/>
      <c r="N21" s="587"/>
      <c r="O21" s="587"/>
      <c r="P21" s="587"/>
    </row>
    <row r="22" spans="1:16" ht="46.5" customHeight="1">
      <c r="A22" s="3302"/>
      <c r="B22" s="3302"/>
      <c r="C22" s="3698"/>
      <c r="D22" s="3698"/>
      <c r="E22" s="3698"/>
      <c r="F22" s="3698"/>
      <c r="G22" s="3698"/>
      <c r="H22" s="3698"/>
      <c r="I22" s="3698"/>
      <c r="J22" s="3698"/>
      <c r="K22" s="3645" t="s">
        <v>834</v>
      </c>
      <c r="L22" s="3645"/>
      <c r="M22" s="3645"/>
      <c r="N22" s="3645"/>
      <c r="O22" s="3645"/>
      <c r="P22" s="3645"/>
    </row>
    <row r="23" spans="1:16" ht="21" customHeight="1">
      <c r="A23" s="3695" t="s">
        <v>574</v>
      </c>
      <c r="B23" s="3695"/>
      <c r="C23" s="3696"/>
      <c r="D23" s="3696"/>
      <c r="E23" s="3696"/>
      <c r="F23" s="3696"/>
      <c r="G23" s="3696"/>
      <c r="H23" s="3696"/>
      <c r="I23" s="3696"/>
      <c r="J23" s="3696"/>
      <c r="K23" s="3645"/>
      <c r="L23" s="3645"/>
      <c r="M23" s="3645"/>
      <c r="N23" s="3645"/>
      <c r="O23" s="3645"/>
      <c r="P23" s="3645"/>
    </row>
    <row r="24" spans="1:16" ht="13.5" customHeight="1">
      <c r="K24" s="3645"/>
      <c r="L24" s="3645"/>
      <c r="M24" s="3645"/>
      <c r="N24" s="3645"/>
      <c r="O24" s="3645"/>
      <c r="P24" s="3645"/>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K22:P24"/>
    <mergeCell ref="A23:B23"/>
    <mergeCell ref="C23:J23"/>
    <mergeCell ref="A21:B22"/>
    <mergeCell ref="D21:J21"/>
    <mergeCell ref="C22:J22"/>
    <mergeCell ref="K11:P15"/>
    <mergeCell ref="B12:C12"/>
    <mergeCell ref="A13:A19"/>
    <mergeCell ref="K18:P20"/>
    <mergeCell ref="B19:C19"/>
    <mergeCell ref="A20:B20"/>
    <mergeCell ref="C20:F20"/>
    <mergeCell ref="G20:J20"/>
    <mergeCell ref="A6:A12"/>
    <mergeCell ref="A1:J1"/>
    <mergeCell ref="K1:K5"/>
    <mergeCell ref="A2:B2"/>
    <mergeCell ref="C2:D2"/>
    <mergeCell ref="I2:J2"/>
    <mergeCell ref="A3:B3"/>
    <mergeCell ref="C3:D3"/>
    <mergeCell ref="I3:J3"/>
    <mergeCell ref="A4:J4"/>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5.6"/>
  <cols>
    <col min="1" max="1" width="7.09765625" style="130" customWidth="1"/>
    <col min="2" max="2" width="24.8984375" style="130" customWidth="1"/>
    <col min="3" max="8" width="14.59765625" style="130" customWidth="1"/>
    <col min="9" max="9" width="28.8984375" customWidth="1"/>
  </cols>
  <sheetData>
    <row r="1" spans="1:12" ht="30" customHeight="1">
      <c r="A1" s="2729" t="s">
        <v>1263</v>
      </c>
      <c r="B1" s="2729"/>
      <c r="C1" s="2729"/>
      <c r="D1" s="2729"/>
      <c r="E1" s="2729"/>
      <c r="F1" s="2729"/>
      <c r="G1" s="2729"/>
      <c r="H1" s="2729"/>
      <c r="I1" s="3173"/>
      <c r="J1" s="84"/>
      <c r="K1" s="84"/>
      <c r="L1" s="84"/>
    </row>
    <row r="2" spans="1:12" s="130" customFormat="1" ht="23.25" customHeight="1">
      <c r="A2" s="3185" t="str">
        <f>"委托单位："&amp;基本情况!B2</f>
        <v>委托单位：0</v>
      </c>
      <c r="B2" s="3185"/>
      <c r="C2" s="3185"/>
      <c r="D2" s="3185"/>
      <c r="E2" s="136"/>
      <c r="F2" s="136" t="s">
        <v>9</v>
      </c>
      <c r="G2" s="136" t="s">
        <v>882</v>
      </c>
      <c r="H2" s="485" t="s">
        <v>283</v>
      </c>
      <c r="I2" s="3173"/>
      <c r="J2" s="598"/>
      <c r="K2" s="598"/>
      <c r="L2" s="598"/>
    </row>
    <row r="3" spans="1:12" s="130" customFormat="1" ht="23.25" customHeight="1">
      <c r="A3" s="3185"/>
      <c r="B3" s="3185"/>
      <c r="C3" s="3185"/>
      <c r="D3" s="3185"/>
      <c r="E3" s="158" t="s">
        <v>450</v>
      </c>
      <c r="F3" s="510">
        <f>基本情况!B12</f>
        <v>0</v>
      </c>
      <c r="G3" s="559" t="str">
        <f>TEXT(基本情况!B21,"yyyy-mm-dd")</f>
        <v>2017-03-16</v>
      </c>
      <c r="H3" s="3162"/>
      <c r="I3" s="3173"/>
      <c r="J3" s="598"/>
      <c r="K3" s="598"/>
      <c r="L3" s="598"/>
    </row>
    <row r="4" spans="1:12" s="130" customFormat="1" ht="23.25" customHeight="1">
      <c r="A4" s="3183" t="str">
        <f>"会计期间："&amp;基本情况!B7</f>
        <v>会计期间：2016年01月01日至2016年12月31日</v>
      </c>
      <c r="B4" s="3183"/>
      <c r="C4" s="3183"/>
      <c r="D4" s="3183"/>
      <c r="E4" s="605" t="s">
        <v>452</v>
      </c>
      <c r="F4" s="1046">
        <f>基本情况!B11</f>
        <v>0</v>
      </c>
      <c r="G4" s="1046" t="str">
        <f>TEXT(基本情况!B22,"yyyy-mm-dd")</f>
        <v>2017-05-04</v>
      </c>
      <c r="H4" s="3162"/>
      <c r="I4" s="3173"/>
      <c r="J4" s="598"/>
      <c r="K4" s="598"/>
      <c r="L4" s="598"/>
    </row>
    <row r="5" spans="1:12" s="130" customFormat="1" ht="7.5" customHeight="1">
      <c r="A5" s="2916"/>
      <c r="B5" s="2916"/>
      <c r="C5" s="2916"/>
      <c r="D5" s="2916"/>
      <c r="E5" s="2916"/>
      <c r="F5" s="2916"/>
      <c r="G5" s="2916"/>
      <c r="H5" s="2916"/>
      <c r="I5" s="543"/>
      <c r="J5" s="598"/>
      <c r="K5" s="598"/>
      <c r="L5" s="598"/>
    </row>
    <row r="6" spans="1:12" s="130" customFormat="1" ht="23.25" customHeight="1">
      <c r="A6" s="135" t="s">
        <v>453</v>
      </c>
      <c r="B6" s="136" t="s">
        <v>216</v>
      </c>
      <c r="C6" s="136" t="s">
        <v>612</v>
      </c>
      <c r="D6" s="136" t="s">
        <v>835</v>
      </c>
      <c r="E6" s="136" t="s">
        <v>836</v>
      </c>
      <c r="F6" s="136" t="s">
        <v>837</v>
      </c>
      <c r="G6" s="136" t="s">
        <v>980</v>
      </c>
      <c r="H6" s="485" t="s">
        <v>243</v>
      </c>
      <c r="I6" s="84" t="s">
        <v>395</v>
      </c>
      <c r="J6" s="598"/>
      <c r="K6" s="598"/>
      <c r="L6" s="598"/>
    </row>
    <row r="7" spans="1:12" s="130" customFormat="1" ht="23.25" customHeight="1">
      <c r="A7" s="1047"/>
      <c r="B7" s="1048"/>
      <c r="C7" s="1220"/>
      <c r="D7" s="1121"/>
      <c r="E7" s="1220"/>
      <c r="F7" s="1220"/>
      <c r="G7" s="1220"/>
      <c r="H7" s="496">
        <f>F7+G7</f>
        <v>0</v>
      </c>
      <c r="I7" s="493" t="s">
        <v>1288</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838</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702</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43" t="s">
        <v>641</v>
      </c>
      <c r="B16" s="3043"/>
      <c r="C16" s="3699" t="str">
        <f>IF(F15&lt;&gt;资产负债!D26,"账载数与报表数相差"&amp;DOLLAR(F15-资产负债!D26,2)&amp;"元！","账载数与报表数相符！")</f>
        <v>账载数与报表数相符！</v>
      </c>
      <c r="D16" s="3699"/>
      <c r="E16" s="3699"/>
      <c r="F16" s="3699"/>
      <c r="G16" s="3699"/>
      <c r="H16" s="3699"/>
      <c r="I16" s="598"/>
      <c r="J16" s="598"/>
      <c r="K16" s="598"/>
      <c r="L16" s="598"/>
    </row>
    <row r="17" spans="1:12" s="130" customFormat="1" ht="15" customHeight="1">
      <c r="A17" s="3046" t="s">
        <v>1323</v>
      </c>
      <c r="B17" s="3046"/>
      <c r="C17" s="3164" t="s">
        <v>1407</v>
      </c>
      <c r="D17" s="3164"/>
      <c r="E17" s="3131" t="str">
        <f>IF(G15&lt;&gt;0,"、E","")</f>
        <v/>
      </c>
      <c r="F17" s="3131"/>
      <c r="G17" s="3131"/>
      <c r="H17" s="3131"/>
      <c r="I17" s="598"/>
      <c r="J17" s="598"/>
      <c r="K17" s="598"/>
      <c r="L17" s="598"/>
    </row>
    <row r="18" spans="1:12" s="130" customFormat="1" ht="62.25" customHeight="1">
      <c r="A18" s="3046"/>
      <c r="B18" s="3046"/>
      <c r="C18" s="3658"/>
      <c r="D18" s="3658"/>
      <c r="E18" s="3658"/>
      <c r="F18" s="3658"/>
      <c r="G18" s="3658"/>
      <c r="H18" s="3658"/>
      <c r="I18" s="598"/>
      <c r="J18" s="598"/>
      <c r="K18" s="598"/>
      <c r="L18" s="598"/>
    </row>
    <row r="19" spans="1:12" s="130" customFormat="1" ht="23.25" customHeight="1">
      <c r="A19" s="3178" t="s">
        <v>574</v>
      </c>
      <c r="B19" s="3178"/>
      <c r="C19" s="3157" t="str">
        <f>IF(G15=0,"不存在调整事项，认可！","调整后认可！")</f>
        <v>不存在调整事项，认可！</v>
      </c>
      <c r="D19" s="3157"/>
      <c r="E19" s="3157"/>
      <c r="F19" s="3157"/>
      <c r="G19" s="3157"/>
      <c r="H19" s="3157"/>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19:B19"/>
    <mergeCell ref="C19:H19"/>
    <mergeCell ref="A16:B16"/>
    <mergeCell ref="C16:H16"/>
    <mergeCell ref="A17:B18"/>
    <mergeCell ref="C17:D17"/>
    <mergeCell ref="E17:H17"/>
    <mergeCell ref="C18:H18"/>
    <mergeCell ref="A5:H5"/>
    <mergeCell ref="A1:H1"/>
    <mergeCell ref="I1:I4"/>
    <mergeCell ref="A2:D3"/>
    <mergeCell ref="H3:H4"/>
    <mergeCell ref="A4:D4"/>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1" ht="26.25" customHeight="1">
      <c r="A1" s="3688" t="s">
        <v>10116</v>
      </c>
      <c r="B1" s="3688"/>
      <c r="C1" s="3688"/>
      <c r="D1" s="3688"/>
      <c r="E1" s="3688"/>
      <c r="F1" s="3688"/>
      <c r="G1" s="3688"/>
      <c r="H1" s="3688"/>
      <c r="I1" s="3688"/>
      <c r="J1" s="3688"/>
    </row>
    <row r="2" spans="1:11" ht="21.75" customHeight="1">
      <c r="A2" s="3278" t="s">
        <v>447</v>
      </c>
      <c r="B2" s="3278"/>
      <c r="C2" s="3279">
        <f>基本情况!B2</f>
        <v>0</v>
      </c>
      <c r="D2" s="3279"/>
      <c r="E2" s="1032" t="s">
        <v>450</v>
      </c>
      <c r="F2" s="1033">
        <f>基本情况!B12</f>
        <v>0</v>
      </c>
      <c r="G2" s="1032" t="s">
        <v>882</v>
      </c>
      <c r="H2" s="1034" t="str">
        <f>TEXT(基本情况!B21,"yyyy-mm-dd")</f>
        <v>2017-03-16</v>
      </c>
      <c r="I2" s="3280" t="s">
        <v>283</v>
      </c>
      <c r="J2" s="3280"/>
    </row>
    <row r="3" spans="1:11" ht="21.75" customHeight="1">
      <c r="A3" s="3281" t="s">
        <v>451</v>
      </c>
      <c r="B3" s="3281"/>
      <c r="C3" s="3282" t="str">
        <f>基本情况!B7</f>
        <v>2016年01月01日至2016年12月31日</v>
      </c>
      <c r="D3" s="3282"/>
      <c r="E3" s="2638" t="s">
        <v>452</v>
      </c>
      <c r="F3" s="1036">
        <f>基本情况!B11</f>
        <v>0</v>
      </c>
      <c r="G3" s="2638" t="s">
        <v>882</v>
      </c>
      <c r="H3" s="1036" t="str">
        <f>TEXT(基本情况!B22,"yyyy-mm-dd")</f>
        <v>2017-05-04</v>
      </c>
      <c r="I3" s="3690"/>
      <c r="J3" s="3690"/>
    </row>
    <row r="4" spans="1:11" ht="7.5" customHeight="1">
      <c r="A4" s="3276"/>
      <c r="B4" s="3276"/>
      <c r="C4" s="3276"/>
      <c r="D4" s="3276"/>
      <c r="E4" s="3276"/>
      <c r="F4" s="3276"/>
      <c r="G4" s="3276"/>
      <c r="H4" s="3276"/>
      <c r="I4" s="3276"/>
      <c r="J4" s="3276"/>
    </row>
    <row r="5" spans="1:11" ht="21.75" customHeight="1">
      <c r="A5" s="2639" t="s">
        <v>665</v>
      </c>
      <c r="B5" s="1038" t="s">
        <v>453</v>
      </c>
      <c r="C5" s="1038" t="s">
        <v>1001</v>
      </c>
      <c r="D5" s="1038" t="s">
        <v>10119</v>
      </c>
      <c r="E5" s="1038" t="s">
        <v>1003</v>
      </c>
      <c r="F5" s="1038" t="s">
        <v>1004</v>
      </c>
      <c r="G5" s="1038" t="s">
        <v>1005</v>
      </c>
      <c r="H5" s="1038" t="s">
        <v>1006</v>
      </c>
      <c r="I5" s="1038" t="s">
        <v>980</v>
      </c>
      <c r="J5" s="1039" t="s">
        <v>502</v>
      </c>
    </row>
    <row r="6" spans="1:11" ht="21.75" customHeight="1">
      <c r="A6" s="3287" t="s">
        <v>10117</v>
      </c>
      <c r="B6" s="1032">
        <v>1</v>
      </c>
      <c r="C6" s="1040"/>
      <c r="D6" s="2656"/>
      <c r="E6" s="1206"/>
      <c r="F6" s="1206"/>
      <c r="G6" s="1206"/>
      <c r="H6" s="1207">
        <f t="shared" ref="H6:H24" si="0">E6+F6-G6</f>
        <v>0</v>
      </c>
      <c r="I6" s="1206"/>
      <c r="J6" s="1208">
        <f t="shared" ref="J6:J25" si="1">H6+I6</f>
        <v>0</v>
      </c>
      <c r="K6" s="565"/>
    </row>
    <row r="7" spans="1:11" ht="21.75" customHeight="1">
      <c r="A7" s="3287"/>
      <c r="B7" s="2634">
        <v>2</v>
      </c>
      <c r="C7" s="1041"/>
      <c r="D7" s="2657"/>
      <c r="E7" s="1209"/>
      <c r="F7" s="1209"/>
      <c r="G7" s="1209"/>
      <c r="H7" s="1210">
        <f t="shared" si="0"/>
        <v>0</v>
      </c>
      <c r="I7" s="1209"/>
      <c r="J7" s="1211">
        <f t="shared" si="1"/>
        <v>0</v>
      </c>
      <c r="K7" t="s">
        <v>395</v>
      </c>
    </row>
    <row r="8" spans="1:11" ht="21.75" customHeight="1">
      <c r="A8" s="3287"/>
      <c r="B8" s="2634">
        <v>3</v>
      </c>
      <c r="C8" s="1041"/>
      <c r="D8" s="2657"/>
      <c r="E8" s="1209"/>
      <c r="F8" s="1209"/>
      <c r="G8" s="1209"/>
      <c r="H8" s="1210">
        <f t="shared" si="0"/>
        <v>0</v>
      </c>
      <c r="I8" s="1209"/>
      <c r="J8" s="1211">
        <f t="shared" si="1"/>
        <v>0</v>
      </c>
      <c r="K8" s="1042" t="s">
        <v>1288</v>
      </c>
    </row>
    <row r="9" spans="1:11" ht="21.75" customHeight="1">
      <c r="A9" s="3287"/>
      <c r="B9" s="2634">
        <v>4</v>
      </c>
      <c r="C9" s="1041"/>
      <c r="D9" s="2657"/>
      <c r="E9" s="1209"/>
      <c r="F9" s="1209"/>
      <c r="G9" s="1209"/>
      <c r="H9" s="1210">
        <f t="shared" si="0"/>
        <v>0</v>
      </c>
      <c r="I9" s="1209"/>
      <c r="J9" s="1211">
        <f t="shared" si="1"/>
        <v>0</v>
      </c>
    </row>
    <row r="10" spans="1:11" ht="21.75" customHeight="1">
      <c r="A10" s="3287"/>
      <c r="B10" s="2634">
        <v>5</v>
      </c>
      <c r="C10" s="1041"/>
      <c r="D10" s="2657"/>
      <c r="E10" s="1209"/>
      <c r="F10" s="1209"/>
      <c r="G10" s="1209"/>
      <c r="H10" s="1210">
        <f t="shared" si="0"/>
        <v>0</v>
      </c>
      <c r="I10" s="1209"/>
      <c r="J10" s="1211">
        <f t="shared" si="1"/>
        <v>0</v>
      </c>
    </row>
    <row r="11" spans="1:11" ht="21.75" customHeight="1">
      <c r="A11" s="3287"/>
      <c r="B11" s="2634">
        <v>6</v>
      </c>
      <c r="C11" s="1041"/>
      <c r="D11" s="2657"/>
      <c r="E11" s="1209"/>
      <c r="F11" s="1209"/>
      <c r="G11" s="1209"/>
      <c r="H11" s="1210">
        <f t="shared" si="0"/>
        <v>0</v>
      </c>
      <c r="I11" s="1209"/>
      <c r="J11" s="1211">
        <f t="shared" si="1"/>
        <v>0</v>
      </c>
    </row>
    <row r="12" spans="1:11" ht="21.75" customHeight="1">
      <c r="A12" s="3287"/>
      <c r="B12" s="2634">
        <v>7</v>
      </c>
      <c r="C12" s="2646"/>
      <c r="D12" s="2658"/>
      <c r="E12" s="2647"/>
      <c r="F12" s="2647"/>
      <c r="G12" s="2647"/>
      <c r="H12" s="1210">
        <f t="shared" si="0"/>
        <v>0</v>
      </c>
      <c r="I12" s="2647"/>
      <c r="J12" s="1211">
        <f t="shared" si="1"/>
        <v>0</v>
      </c>
    </row>
    <row r="13" spans="1:11" ht="21.75" customHeight="1">
      <c r="A13" s="3287"/>
      <c r="B13" s="2634">
        <v>8</v>
      </c>
      <c r="C13" s="2646"/>
      <c r="D13" s="2658"/>
      <c r="E13" s="2647"/>
      <c r="F13" s="2647"/>
      <c r="G13" s="2647"/>
      <c r="H13" s="1210">
        <f t="shared" si="0"/>
        <v>0</v>
      </c>
      <c r="I13" s="2647"/>
      <c r="J13" s="1211">
        <f t="shared" si="1"/>
        <v>0</v>
      </c>
    </row>
    <row r="14" spans="1:11" ht="21.75" customHeight="1">
      <c r="A14" s="3287"/>
      <c r="B14" s="2634">
        <v>9</v>
      </c>
      <c r="C14" s="2646"/>
      <c r="D14" s="2658"/>
      <c r="E14" s="2647"/>
      <c r="F14" s="2647"/>
      <c r="G14" s="2647"/>
      <c r="H14" s="1210">
        <f t="shared" si="0"/>
        <v>0</v>
      </c>
      <c r="I14" s="2647"/>
      <c r="J14" s="1211">
        <f t="shared" si="1"/>
        <v>0</v>
      </c>
    </row>
    <row r="15" spans="1:11" ht="21.75" customHeight="1">
      <c r="A15" s="3287"/>
      <c r="B15" s="3691" t="s">
        <v>702</v>
      </c>
      <c r="C15" s="3691"/>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92" t="s">
        <v>10118</v>
      </c>
      <c r="B16" s="1043">
        <v>1</v>
      </c>
      <c r="C16" s="1044"/>
      <c r="D16" s="2659"/>
      <c r="E16" s="1214"/>
      <c r="F16" s="1214"/>
      <c r="G16" s="1214"/>
      <c r="H16" s="1215">
        <f t="shared" si="0"/>
        <v>0</v>
      </c>
      <c r="I16" s="1216"/>
      <c r="J16" s="1217">
        <f t="shared" si="1"/>
        <v>0</v>
      </c>
    </row>
    <row r="17" spans="1:16" ht="21.75" customHeight="1">
      <c r="A17" s="3692"/>
      <c r="B17" s="2634">
        <v>2</v>
      </c>
      <c r="C17" s="1041"/>
      <c r="D17" s="2657"/>
      <c r="E17" s="2633"/>
      <c r="F17" s="2633"/>
      <c r="G17" s="2633"/>
      <c r="H17" s="1219">
        <f t="shared" si="0"/>
        <v>0</v>
      </c>
      <c r="I17" s="1209"/>
      <c r="J17" s="1211">
        <f t="shared" si="1"/>
        <v>0</v>
      </c>
    </row>
    <row r="18" spans="1:16" ht="21.75" customHeight="1">
      <c r="A18" s="3692"/>
      <c r="B18" s="2634">
        <v>3</v>
      </c>
      <c r="C18" s="1041"/>
      <c r="D18" s="2657"/>
      <c r="E18" s="2633"/>
      <c r="F18" s="2633"/>
      <c r="G18" s="2633"/>
      <c r="H18" s="1219">
        <f t="shared" si="0"/>
        <v>0</v>
      </c>
      <c r="I18" s="1209"/>
      <c r="J18" s="1211">
        <f t="shared" si="1"/>
        <v>0</v>
      </c>
    </row>
    <row r="19" spans="1:16" ht="21.75" customHeight="1">
      <c r="A19" s="3692"/>
      <c r="B19" s="2634">
        <v>4</v>
      </c>
      <c r="C19" s="1041"/>
      <c r="D19" s="2657"/>
      <c r="E19" s="2633"/>
      <c r="F19" s="2633"/>
      <c r="G19" s="2633"/>
      <c r="H19" s="1219">
        <f t="shared" si="0"/>
        <v>0</v>
      </c>
      <c r="I19" s="1209"/>
      <c r="J19" s="1211">
        <f t="shared" si="1"/>
        <v>0</v>
      </c>
      <c r="K19" s="2636"/>
      <c r="L19" s="673"/>
      <c r="M19" s="673"/>
      <c r="N19" s="673"/>
      <c r="O19" s="673"/>
      <c r="P19" s="673"/>
    </row>
    <row r="20" spans="1:16" ht="21.75" customHeight="1">
      <c r="A20" s="3692"/>
      <c r="B20" s="2634">
        <v>5</v>
      </c>
      <c r="C20" s="1041"/>
      <c r="D20" s="2657"/>
      <c r="E20" s="2633"/>
      <c r="F20" s="2633"/>
      <c r="G20" s="2633"/>
      <c r="H20" s="1219">
        <f t="shared" si="0"/>
        <v>0</v>
      </c>
      <c r="I20" s="1209"/>
      <c r="J20" s="1211">
        <f t="shared" si="1"/>
        <v>0</v>
      </c>
    </row>
    <row r="21" spans="1:16" ht="21.75" customHeight="1">
      <c r="A21" s="3692"/>
      <c r="B21" s="2634">
        <v>6</v>
      </c>
      <c r="C21" s="1041"/>
      <c r="D21" s="2657"/>
      <c r="E21" s="1209"/>
      <c r="F21" s="1209"/>
      <c r="G21" s="1209"/>
      <c r="H21" s="1219">
        <f t="shared" si="0"/>
        <v>0</v>
      </c>
      <c r="I21" s="1209"/>
      <c r="J21" s="1211">
        <f t="shared" si="1"/>
        <v>0</v>
      </c>
    </row>
    <row r="22" spans="1:16" ht="21.75" customHeight="1">
      <c r="A22" s="3692"/>
      <c r="B22" s="2634">
        <v>7</v>
      </c>
      <c r="C22" s="2646"/>
      <c r="D22" s="2658"/>
      <c r="E22" s="2647"/>
      <c r="F22" s="2647"/>
      <c r="G22" s="2647"/>
      <c r="H22" s="1219">
        <f t="shared" si="0"/>
        <v>0</v>
      </c>
      <c r="I22" s="2647"/>
      <c r="J22" s="1211">
        <f t="shared" si="1"/>
        <v>0</v>
      </c>
    </row>
    <row r="23" spans="1:16" ht="21.75" customHeight="1">
      <c r="A23" s="3692"/>
      <c r="B23" s="2634">
        <v>8</v>
      </c>
      <c r="C23" s="2646"/>
      <c r="D23" s="2658"/>
      <c r="E23" s="2647"/>
      <c r="F23" s="2647"/>
      <c r="G23" s="2647"/>
      <c r="H23" s="1219">
        <f t="shared" si="0"/>
        <v>0</v>
      </c>
      <c r="I23" s="2647"/>
      <c r="J23" s="1211">
        <f t="shared" si="1"/>
        <v>0</v>
      </c>
    </row>
    <row r="24" spans="1:16" ht="21.75" customHeight="1">
      <c r="A24" s="3692"/>
      <c r="B24" s="2634">
        <v>9</v>
      </c>
      <c r="C24" s="2646"/>
      <c r="D24" s="2658"/>
      <c r="E24" s="2647"/>
      <c r="F24" s="2647"/>
      <c r="G24" s="2647"/>
      <c r="H24" s="1219">
        <f t="shared" si="0"/>
        <v>0</v>
      </c>
      <c r="I24" s="2647"/>
      <c r="J24" s="1211">
        <f t="shared" si="1"/>
        <v>0</v>
      </c>
    </row>
    <row r="25" spans="1:16" ht="21.75" customHeight="1">
      <c r="A25" s="3692"/>
      <c r="B25" s="3691" t="s">
        <v>702</v>
      </c>
      <c r="C25" s="3691"/>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93" t="s">
        <v>641</v>
      </c>
      <c r="B26" s="3293"/>
      <c r="C26" s="3693" t="str">
        <f>IF($H$15&lt;&gt;资产负债!$D$6,"短期投资账载数与报表数相差"&amp;DOLLAR($H$15-资产负债!$D$6,2)&amp;"元！","短期投资账载数与报表数相符！")</f>
        <v>短期投资账载数与报表数相符！</v>
      </c>
      <c r="D26" s="3693"/>
      <c r="E26" s="3693"/>
      <c r="F26" s="3693"/>
      <c r="G26" s="3694" t="str">
        <f>IF($H$25&lt;&gt;资产负债!$D$21+资产负债!$D$22,"长期投资账载数与报表数相差"&amp;DOLLAR($H$25-资产负债!$D$21-资产负债!$D$22,2)&amp;"元！","长期投资账载数与报表数相符！")</f>
        <v>长期投资账载数与报表数相符！</v>
      </c>
      <c r="H26" s="3694"/>
      <c r="I26" s="3694"/>
      <c r="J26" s="3694"/>
    </row>
    <row r="27" spans="1:16" ht="15" customHeight="1">
      <c r="A27" s="3302" t="s">
        <v>1323</v>
      </c>
      <c r="B27" s="3302"/>
      <c r="C27" s="1045" t="s">
        <v>1407</v>
      </c>
      <c r="D27" s="3697" t="str">
        <f>IF(OR(H15&lt;&gt;资产负债!D6,H25&lt;&gt;资产负债!D21+资产负债!D22),"、E","")</f>
        <v/>
      </c>
      <c r="E27" s="3697"/>
      <c r="F27" s="3697"/>
      <c r="G27" s="3697"/>
      <c r="H27" s="3697"/>
      <c r="I27" s="3697"/>
      <c r="J27" s="3697"/>
      <c r="K27" s="2636"/>
      <c r="L27" s="2635"/>
      <c r="M27" s="2635"/>
      <c r="N27" s="2635"/>
      <c r="O27" s="2635"/>
      <c r="P27" s="2635"/>
    </row>
    <row r="28" spans="1:16" ht="46.5" customHeight="1">
      <c r="A28" s="3302"/>
      <c r="B28" s="3302"/>
      <c r="C28" s="3698"/>
      <c r="D28" s="3698"/>
      <c r="E28" s="3698"/>
      <c r="F28" s="3698"/>
      <c r="G28" s="3698"/>
      <c r="H28" s="3698"/>
      <c r="I28" s="3698"/>
      <c r="J28" s="3698"/>
    </row>
    <row r="29" spans="1:16" ht="21" customHeight="1">
      <c r="A29" s="3695" t="s">
        <v>574</v>
      </c>
      <c r="B29" s="3695"/>
      <c r="C29" s="3696"/>
      <c r="D29" s="3696"/>
      <c r="E29" s="3696"/>
      <c r="F29" s="3696"/>
      <c r="G29" s="3696"/>
      <c r="H29" s="3696"/>
      <c r="I29" s="3696"/>
      <c r="J29" s="3696"/>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29:B29"/>
    <mergeCell ref="C29:J29"/>
    <mergeCell ref="A26:B26"/>
    <mergeCell ref="C26:F26"/>
    <mergeCell ref="G26:J26"/>
    <mergeCell ref="A27:B28"/>
    <mergeCell ref="D27:J27"/>
    <mergeCell ref="C28:J28"/>
    <mergeCell ref="A4:J4"/>
    <mergeCell ref="A6:A15"/>
    <mergeCell ref="B15:C15"/>
    <mergeCell ref="A16:A25"/>
    <mergeCell ref="B25:C25"/>
    <mergeCell ref="A1:J1"/>
    <mergeCell ref="A2:B2"/>
    <mergeCell ref="C2:D2"/>
    <mergeCell ref="I2:J2"/>
    <mergeCell ref="A3:B3"/>
    <mergeCell ref="C3:D3"/>
    <mergeCell ref="I3:J3"/>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4.3984375" style="554" customWidth="1"/>
    <col min="8" max="8" width="12" style="554" customWidth="1"/>
    <col min="9" max="16384" width="9" style="554"/>
  </cols>
  <sheetData>
    <row r="1" spans="1:8" ht="30" customHeight="1">
      <c r="A1" s="2729" t="s">
        <v>362</v>
      </c>
      <c r="B1" s="2729"/>
      <c r="C1" s="2729"/>
      <c r="D1" s="2729"/>
      <c r="E1" s="2729"/>
      <c r="F1" s="2729"/>
      <c r="G1" s="90"/>
      <c r="H1" s="90"/>
    </row>
    <row r="2" spans="1:8" s="558" customFormat="1" ht="20.25" customHeight="1">
      <c r="A2" s="3212" t="str">
        <f>"委托单位："&amp;基本情况!B2</f>
        <v>委托单位：0</v>
      </c>
      <c r="B2" s="3212"/>
      <c r="C2" s="509"/>
      <c r="D2" s="136" t="s">
        <v>1282</v>
      </c>
      <c r="E2" s="136" t="s">
        <v>1053</v>
      </c>
      <c r="F2" s="485" t="s">
        <v>283</v>
      </c>
      <c r="G2" s="557"/>
      <c r="H2" s="557"/>
    </row>
    <row r="3" spans="1:8" s="558" customFormat="1" ht="20.25" customHeight="1">
      <c r="A3" s="3212"/>
      <c r="B3" s="3212"/>
      <c r="C3" s="158" t="s">
        <v>450</v>
      </c>
      <c r="D3" s="510">
        <f>基本情况!B12</f>
        <v>0</v>
      </c>
      <c r="E3" s="559" t="str">
        <f>TEXT(基本情况!B21,"yyyy-mm-dd")</f>
        <v>2017-03-16</v>
      </c>
      <c r="F3" s="3103" t="str">
        <f>档案索引!D40</f>
        <v>4-7</v>
      </c>
      <c r="G3" s="557"/>
      <c r="H3" s="557"/>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557"/>
      <c r="H4" s="557"/>
    </row>
    <row r="5" spans="1:8" s="565" customFormat="1" ht="7.5" customHeight="1">
      <c r="A5" s="2916"/>
      <c r="B5" s="2916"/>
      <c r="C5" s="2916"/>
      <c r="D5" s="2916"/>
      <c r="E5" s="2916"/>
      <c r="F5" s="2916"/>
      <c r="G5" s="543"/>
      <c r="H5" s="543"/>
    </row>
    <row r="6" spans="1:8" s="649" customFormat="1" ht="20.25" customHeight="1">
      <c r="A6" s="532" t="s">
        <v>641</v>
      </c>
      <c r="B6" s="3272"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72"/>
      <c r="D6" s="3272"/>
      <c r="E6" s="3272"/>
      <c r="F6" s="3272"/>
      <c r="G6" s="84" t="s">
        <v>395</v>
      </c>
      <c r="H6" s="648"/>
    </row>
    <row r="7" spans="1:8" s="649" customFormat="1" ht="15" customHeight="1">
      <c r="A7" s="3046" t="s">
        <v>1323</v>
      </c>
      <c r="B7" s="3164" t="s">
        <v>1407</v>
      </c>
      <c r="C7" s="3164"/>
      <c r="D7" s="3164"/>
      <c r="E7" s="3131" t="str">
        <f>IF(OR(D12&lt;&gt;0,D11&lt;&gt;0),"、E","")</f>
        <v/>
      </c>
      <c r="F7" s="3131"/>
      <c r="G7" s="648"/>
      <c r="H7" s="606"/>
    </row>
    <row r="8" spans="1:8" s="649" customFormat="1" ht="61.5" customHeight="1">
      <c r="A8" s="3046"/>
      <c r="B8" s="3675"/>
      <c r="C8" s="3675"/>
      <c r="D8" s="3675"/>
      <c r="E8" s="3675"/>
      <c r="F8" s="3675"/>
      <c r="G8" s="648"/>
      <c r="H8" s="606"/>
    </row>
    <row r="9" spans="1:8" s="649" customFormat="1" ht="20.25" customHeight="1">
      <c r="A9" s="528" t="s">
        <v>574</v>
      </c>
      <c r="B9" s="3157" t="str">
        <f>IF(OR(D12&lt;&gt;0,D11&lt;&gt;0),"调整后认可！","不存在调整事项,认可！")</f>
        <v>不存在调整事项,认可！</v>
      </c>
      <c r="C9" s="3157"/>
      <c r="D9" s="3157"/>
      <c r="E9" s="3157"/>
      <c r="F9" s="3157"/>
      <c r="G9" s="493" t="s">
        <v>1288</v>
      </c>
      <c r="H9" s="606"/>
    </row>
    <row r="10" spans="1:8" s="649" customFormat="1" ht="20.25" customHeight="1">
      <c r="A10" s="135" t="s">
        <v>665</v>
      </c>
      <c r="B10" s="1011" t="s">
        <v>1409</v>
      </c>
      <c r="C10" s="136" t="s">
        <v>1410</v>
      </c>
      <c r="D10" s="136" t="s">
        <v>980</v>
      </c>
      <c r="E10" s="136" t="s">
        <v>502</v>
      </c>
      <c r="F10" s="485" t="s">
        <v>1417</v>
      </c>
      <c r="G10" s="493" t="s">
        <v>642</v>
      </c>
      <c r="H10" s="606"/>
    </row>
    <row r="11" spans="1:8" s="649" customFormat="1" ht="20.25" customHeight="1">
      <c r="A11" s="1013" t="s">
        <v>839</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1413</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112" t="s">
        <v>840</v>
      </c>
      <c r="H13" s="3112"/>
    </row>
    <row r="14" spans="1:8" s="558" customFormat="1" ht="15" customHeight="1">
      <c r="A14" s="680"/>
      <c r="B14" s="1200"/>
      <c r="C14" s="1120"/>
      <c r="D14" s="1120"/>
      <c r="E14" s="1015">
        <f>C14-B14+D14</f>
        <v>0</v>
      </c>
      <c r="F14" s="1201"/>
      <c r="G14" s="3112"/>
      <c r="H14" s="3112"/>
    </row>
    <row r="15" spans="1:8" s="558" customFormat="1" ht="15" customHeight="1">
      <c r="A15" s="680"/>
      <c r="B15" s="1200"/>
      <c r="C15" s="1120"/>
      <c r="D15" s="1120"/>
      <c r="E15" s="1015">
        <f t="shared" ref="E15:E78" si="0">C15-B15+D15</f>
        <v>0</v>
      </c>
      <c r="F15" s="1201"/>
      <c r="G15" s="3112"/>
      <c r="H15" s="3112"/>
    </row>
    <row r="16" spans="1:8" s="558" customFormat="1" ht="15" customHeight="1">
      <c r="A16" s="680"/>
      <c r="B16" s="1200"/>
      <c r="C16" s="1120"/>
      <c r="D16" s="1120"/>
      <c r="E16" s="1015">
        <f t="shared" si="0"/>
        <v>0</v>
      </c>
      <c r="F16" s="1201"/>
      <c r="G16" s="3112"/>
      <c r="H16" s="3112"/>
    </row>
    <row r="17" spans="1:8" s="558" customFormat="1" ht="15" customHeight="1">
      <c r="A17" s="680"/>
      <c r="B17" s="1200"/>
      <c r="C17" s="1120"/>
      <c r="D17" s="1120"/>
      <c r="E17" s="1015">
        <f t="shared" si="0"/>
        <v>0</v>
      </c>
      <c r="F17" s="1201"/>
      <c r="G17" s="3112"/>
      <c r="H17" s="3112"/>
    </row>
    <row r="18" spans="1:8" s="558" customFormat="1" ht="15" customHeight="1">
      <c r="A18" s="680"/>
      <c r="B18" s="1200"/>
      <c r="C18" s="1120"/>
      <c r="D18" s="1120"/>
      <c r="E18" s="1015">
        <f t="shared" si="0"/>
        <v>0</v>
      </c>
      <c r="F18" s="1201"/>
      <c r="G18" s="3112"/>
      <c r="H18" s="3112"/>
    </row>
    <row r="19" spans="1:8" s="558" customFormat="1" ht="15" customHeight="1">
      <c r="A19" s="680"/>
      <c r="B19" s="1200"/>
      <c r="C19" s="1120"/>
      <c r="D19" s="1120"/>
      <c r="E19" s="1015">
        <f t="shared" si="0"/>
        <v>0</v>
      </c>
      <c r="F19" s="1201"/>
      <c r="G19" s="3112"/>
      <c r="H19" s="3112"/>
    </row>
    <row r="20" spans="1:8" s="558" customFormat="1" ht="15" customHeight="1">
      <c r="A20" s="680"/>
      <c r="B20" s="1200"/>
      <c r="C20" s="1120"/>
      <c r="D20" s="1120"/>
      <c r="E20" s="1015">
        <f t="shared" si="0"/>
        <v>0</v>
      </c>
      <c r="F20" s="1201"/>
      <c r="G20" s="3112"/>
      <c r="H20" s="3112"/>
    </row>
    <row r="21" spans="1:8" s="558" customFormat="1" ht="15" customHeight="1">
      <c r="A21" s="680"/>
      <c r="B21" s="1200"/>
      <c r="C21" s="1120"/>
      <c r="D21" s="1120"/>
      <c r="E21" s="1015">
        <f t="shared" si="0"/>
        <v>0</v>
      </c>
      <c r="F21" s="1201"/>
      <c r="G21" s="3112"/>
      <c r="H21" s="3112"/>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H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5.3984375" style="554" customWidth="1"/>
    <col min="8" max="16384" width="9" style="554"/>
  </cols>
  <sheetData>
    <row r="1" spans="1:8" ht="30" customHeight="1">
      <c r="A1" s="2729" t="s">
        <v>366</v>
      </c>
      <c r="B1" s="2729"/>
      <c r="C1" s="2729"/>
      <c r="D1" s="2729"/>
      <c r="E1" s="2729"/>
      <c r="F1" s="2729"/>
      <c r="G1" s="90"/>
    </row>
    <row r="2" spans="1:8" s="558" customFormat="1" ht="20.25" customHeight="1">
      <c r="A2" s="3212" t="str">
        <f>"委托单位："&amp;基本情况!B2</f>
        <v>委托单位：0</v>
      </c>
      <c r="B2" s="3212"/>
      <c r="C2" s="509"/>
      <c r="D2" s="136" t="s">
        <v>1282</v>
      </c>
      <c r="E2" s="136" t="s">
        <v>1053</v>
      </c>
      <c r="F2" s="485" t="s">
        <v>283</v>
      </c>
      <c r="G2" s="557"/>
    </row>
    <row r="3" spans="1:8" s="558" customFormat="1" ht="20.25" customHeight="1">
      <c r="A3" s="3212"/>
      <c r="B3" s="3212"/>
      <c r="C3" s="158" t="s">
        <v>450</v>
      </c>
      <c r="D3" s="510">
        <f>基本情况!B12</f>
        <v>0</v>
      </c>
      <c r="E3" s="559" t="str">
        <f>TEXT(基本情况!B21,"yyyy-mm-dd")</f>
        <v>2017-03-16</v>
      </c>
      <c r="F3" s="3103" t="str">
        <f>档案索引!D41</f>
        <v>4-8</v>
      </c>
      <c r="G3" s="557"/>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557"/>
    </row>
    <row r="5" spans="1:8" s="565" customFormat="1" ht="7.5" customHeight="1">
      <c r="A5" s="2916"/>
      <c r="B5" s="2916"/>
      <c r="C5" s="2916"/>
      <c r="D5" s="2916"/>
      <c r="E5" s="2916"/>
      <c r="F5" s="2916"/>
      <c r="G5" s="543"/>
    </row>
    <row r="6" spans="1:8" s="649" customFormat="1" ht="20.25" customHeight="1">
      <c r="A6" s="532" t="s">
        <v>641</v>
      </c>
      <c r="B6" s="3272"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72"/>
      <c r="D6" s="3272"/>
      <c r="E6" s="3272"/>
      <c r="F6" s="3272"/>
      <c r="G6" s="84" t="s">
        <v>395</v>
      </c>
      <c r="H6" s="607"/>
    </row>
    <row r="7" spans="1:8" s="649" customFormat="1" ht="15" customHeight="1">
      <c r="A7" s="3046" t="s">
        <v>1323</v>
      </c>
      <c r="B7" s="3164" t="s">
        <v>1407</v>
      </c>
      <c r="C7" s="3164"/>
      <c r="D7" s="3164"/>
      <c r="E7" s="3131" t="str">
        <f>IF(OR(D11&lt;&gt;0,D12&lt;&gt;0),"、E","")</f>
        <v/>
      </c>
      <c r="F7" s="3131"/>
      <c r="G7" s="648"/>
      <c r="H7" s="607"/>
    </row>
    <row r="8" spans="1:8" s="649" customFormat="1" ht="61.5" customHeight="1">
      <c r="A8" s="3046"/>
      <c r="B8" s="3675"/>
      <c r="C8" s="3675"/>
      <c r="D8" s="3675"/>
      <c r="E8" s="3675"/>
      <c r="F8" s="3675"/>
      <c r="G8" s="606"/>
      <c r="H8" s="607"/>
    </row>
    <row r="9" spans="1:8" s="649" customFormat="1" ht="20.25" customHeight="1">
      <c r="A9" s="528" t="s">
        <v>574</v>
      </c>
      <c r="B9" s="3157" t="str">
        <f>IF(OR(D12&lt;&gt;0,D11&lt;&gt;0),"调整后认可！","不存在调整事项,认可！")</f>
        <v>不存在调整事项,认可！</v>
      </c>
      <c r="C9" s="3157"/>
      <c r="D9" s="3157"/>
      <c r="E9" s="3157"/>
      <c r="F9" s="3157"/>
      <c r="G9" s="493" t="s">
        <v>1288</v>
      </c>
      <c r="H9" s="607"/>
    </row>
    <row r="10" spans="1:8" s="649" customFormat="1" ht="20.25" customHeight="1">
      <c r="A10" s="135" t="s">
        <v>665</v>
      </c>
      <c r="B10" s="1011" t="s">
        <v>1409</v>
      </c>
      <c r="C10" s="136" t="s">
        <v>1410</v>
      </c>
      <c r="D10" s="136" t="s">
        <v>980</v>
      </c>
      <c r="E10" s="136" t="s">
        <v>502</v>
      </c>
      <c r="F10" s="485" t="s">
        <v>1411</v>
      </c>
      <c r="G10" s="493" t="s">
        <v>642</v>
      </c>
    </row>
    <row r="11" spans="1:8" s="649" customFormat="1" ht="20.25" customHeight="1">
      <c r="A11" s="1013" t="s">
        <v>839</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1413</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112" t="s">
        <v>841</v>
      </c>
    </row>
    <row r="14" spans="1:8" s="558" customFormat="1" ht="15" customHeight="1">
      <c r="A14" s="680"/>
      <c r="B14" s="1200"/>
      <c r="C14" s="1120"/>
      <c r="D14" s="1120"/>
      <c r="E14" s="1015">
        <f>C14-B14+D14</f>
        <v>0</v>
      </c>
      <c r="F14" s="1201"/>
      <c r="G14" s="3112"/>
    </row>
    <row r="15" spans="1:8" s="558" customFormat="1" ht="15" customHeight="1">
      <c r="A15" s="680"/>
      <c r="B15" s="1200"/>
      <c r="C15" s="1120"/>
      <c r="D15" s="1120"/>
      <c r="E15" s="1015">
        <f t="shared" ref="E15:E78" si="0">C15-B15+D15</f>
        <v>0</v>
      </c>
      <c r="F15" s="1201"/>
      <c r="G15" s="3112"/>
    </row>
    <row r="16" spans="1:8" s="558" customFormat="1" ht="15" customHeight="1">
      <c r="A16" s="680"/>
      <c r="B16" s="1200"/>
      <c r="C16" s="1120"/>
      <c r="D16" s="1120"/>
      <c r="E16" s="1015">
        <f t="shared" si="0"/>
        <v>0</v>
      </c>
      <c r="F16" s="1201"/>
      <c r="G16" s="3112"/>
    </row>
    <row r="17" spans="1:7" s="558" customFormat="1" ht="15" customHeight="1">
      <c r="A17" s="680"/>
      <c r="B17" s="1200"/>
      <c r="C17" s="1120"/>
      <c r="D17" s="1120"/>
      <c r="E17" s="1015">
        <f t="shared" si="0"/>
        <v>0</v>
      </c>
      <c r="F17" s="1201"/>
      <c r="G17" s="3112"/>
    </row>
    <row r="18" spans="1:7" s="558" customFormat="1" ht="15" customHeight="1">
      <c r="A18" s="680"/>
      <c r="B18" s="1200"/>
      <c r="C18" s="1120"/>
      <c r="D18" s="1120"/>
      <c r="E18" s="1015">
        <f t="shared" si="0"/>
        <v>0</v>
      </c>
      <c r="F18" s="1201"/>
      <c r="G18" s="3112"/>
    </row>
    <row r="19" spans="1:7" s="558" customFormat="1" ht="15" customHeight="1">
      <c r="A19" s="680"/>
      <c r="B19" s="1200"/>
      <c r="C19" s="1120"/>
      <c r="D19" s="1120"/>
      <c r="E19" s="1015">
        <f t="shared" si="0"/>
        <v>0</v>
      </c>
      <c r="F19" s="1201"/>
      <c r="G19" s="3112"/>
    </row>
    <row r="20" spans="1:7" s="558" customFormat="1" ht="15" customHeight="1">
      <c r="A20" s="680"/>
      <c r="B20" s="1200"/>
      <c r="C20" s="1120"/>
      <c r="D20" s="1120"/>
      <c r="E20" s="1015">
        <f t="shared" si="0"/>
        <v>0</v>
      </c>
      <c r="F20" s="1201"/>
      <c r="G20" s="3112"/>
    </row>
    <row r="21" spans="1:7" s="558" customFormat="1" ht="15" customHeight="1">
      <c r="A21" s="680"/>
      <c r="B21" s="1200"/>
      <c r="C21" s="1120"/>
      <c r="D21" s="1120"/>
      <c r="E21" s="1015">
        <f t="shared" si="0"/>
        <v>0</v>
      </c>
      <c r="F21" s="1201"/>
      <c r="G21" s="3112"/>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A1:F1"/>
    <mergeCell ref="A2:B3"/>
    <mergeCell ref="F3:F4"/>
    <mergeCell ref="A4:B4"/>
    <mergeCell ref="B9:F9"/>
    <mergeCell ref="G13:G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953" customWidth="1"/>
    <col min="8" max="16384" width="9" style="554"/>
  </cols>
  <sheetData>
    <row r="1" spans="1:8" ht="30" customHeight="1">
      <c r="A1" s="2729" t="s">
        <v>370</v>
      </c>
      <c r="B1" s="2729"/>
      <c r="C1" s="2729"/>
      <c r="D1" s="2729"/>
      <c r="E1" s="2729"/>
      <c r="F1" s="2729"/>
      <c r="G1" s="1009"/>
    </row>
    <row r="2" spans="1:8" s="558" customFormat="1" ht="20.25" customHeight="1">
      <c r="A2" s="3212" t="str">
        <f>"委托单位："&amp;基本情况!B2</f>
        <v>委托单位：0</v>
      </c>
      <c r="B2" s="3212"/>
      <c r="C2" s="509"/>
      <c r="D2" s="136" t="s">
        <v>1282</v>
      </c>
      <c r="E2" s="136" t="s">
        <v>1053</v>
      </c>
      <c r="F2" s="485" t="s">
        <v>283</v>
      </c>
      <c r="G2" s="1026"/>
    </row>
    <row r="3" spans="1:8" s="558" customFormat="1" ht="20.25" customHeight="1">
      <c r="A3" s="3212"/>
      <c r="B3" s="3212"/>
      <c r="C3" s="158" t="s">
        <v>450</v>
      </c>
      <c r="D3" s="510">
        <f>基本情况!B12</f>
        <v>0</v>
      </c>
      <c r="E3" s="559" t="str">
        <f>TEXT(基本情况!B21,"yyyy-mm-dd")</f>
        <v>2017-03-16</v>
      </c>
      <c r="F3" s="3103" t="str">
        <f>档案索引!D42</f>
        <v>4-9</v>
      </c>
      <c r="G3" s="1026"/>
    </row>
    <row r="4" spans="1:8" s="558" customFormat="1" ht="20.25" customHeight="1">
      <c r="A4" s="3183" t="str">
        <f>"会计期间："&amp;基本情况!B7</f>
        <v>会计期间：2016年01月01日至2016年12月31日</v>
      </c>
      <c r="B4" s="3183"/>
      <c r="C4" s="140" t="s">
        <v>452</v>
      </c>
      <c r="D4" s="513">
        <f>基本情况!B11</f>
        <v>0</v>
      </c>
      <c r="E4" s="513" t="str">
        <f>TEXT(基本情况!B22,"yyyy-mm-dd")</f>
        <v>2017-05-04</v>
      </c>
      <c r="F4" s="3103"/>
      <c r="G4" s="1026"/>
    </row>
    <row r="5" spans="1:8" s="565" customFormat="1" ht="7.5" customHeight="1">
      <c r="A5" s="2916"/>
      <c r="B5" s="2916"/>
      <c r="C5" s="2916"/>
      <c r="D5" s="2916"/>
      <c r="E5" s="2916"/>
      <c r="F5" s="2916"/>
      <c r="G5" s="1021"/>
    </row>
    <row r="6" spans="1:8" s="649" customFormat="1" ht="20.25" customHeight="1">
      <c r="A6" s="532" t="s">
        <v>641</v>
      </c>
      <c r="B6" s="3272"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72"/>
      <c r="D6" s="3272"/>
      <c r="E6" s="3272"/>
      <c r="F6" s="3272"/>
      <c r="G6" s="483" t="s">
        <v>395</v>
      </c>
      <c r="H6" s="607"/>
    </row>
    <row r="7" spans="1:8" s="649" customFormat="1" ht="15" customHeight="1">
      <c r="A7" s="3046" t="s">
        <v>1323</v>
      </c>
      <c r="B7" s="3164" t="s">
        <v>1407</v>
      </c>
      <c r="C7" s="3164"/>
      <c r="D7" s="3164"/>
      <c r="E7" s="3131" t="str">
        <f>IF(D12&lt;&gt;0,"、E","")</f>
        <v/>
      </c>
      <c r="F7" s="3131"/>
      <c r="G7" s="1052"/>
      <c r="H7" s="607"/>
    </row>
    <row r="8" spans="1:8" s="649" customFormat="1" ht="61.5" customHeight="1">
      <c r="A8" s="3046"/>
      <c r="B8" s="3675"/>
      <c r="C8" s="3675"/>
      <c r="D8" s="3675"/>
      <c r="E8" s="3675"/>
      <c r="F8" s="3675"/>
      <c r="G8" s="1012"/>
      <c r="H8" s="607"/>
    </row>
    <row r="9" spans="1:8" s="649" customFormat="1" ht="20.25" customHeight="1">
      <c r="A9" s="528" t="s">
        <v>574</v>
      </c>
      <c r="B9" s="3157" t="str">
        <f>IF(D12&lt;&gt;0,"调整后认可！","不存在调整事项,认可！")</f>
        <v>不存在调整事项,认可！</v>
      </c>
      <c r="C9" s="3157"/>
      <c r="D9" s="3157"/>
      <c r="E9" s="3157"/>
      <c r="F9" s="3157"/>
      <c r="G9" s="1010" t="s">
        <v>1288</v>
      </c>
      <c r="H9" s="607"/>
    </row>
    <row r="10" spans="1:8" s="649" customFormat="1" ht="20.25" customHeight="1">
      <c r="A10" s="135" t="s">
        <v>665</v>
      </c>
      <c r="B10" s="1011" t="s">
        <v>1409</v>
      </c>
      <c r="C10" s="136" t="s">
        <v>1410</v>
      </c>
      <c r="D10" s="136" t="s">
        <v>980</v>
      </c>
      <c r="E10" s="136" t="s">
        <v>502</v>
      </c>
      <c r="F10" s="485" t="s">
        <v>1417</v>
      </c>
      <c r="G10" s="1010" t="s">
        <v>642</v>
      </c>
    </row>
    <row r="11" spans="1:8" s="649" customFormat="1" ht="20.25" customHeight="1">
      <c r="A11" s="1013" t="s">
        <v>1412</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1413</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72" t="s">
        <v>989</v>
      </c>
    </row>
    <row r="14" spans="1:8" s="558" customFormat="1" ht="15" customHeight="1">
      <c r="A14" s="680"/>
      <c r="B14" s="1200"/>
      <c r="C14" s="1120"/>
      <c r="D14" s="1120"/>
      <c r="E14" s="1015">
        <f>C14-B14+D14</f>
        <v>0</v>
      </c>
      <c r="F14" s="1201"/>
      <c r="G14" s="3672"/>
    </row>
    <row r="15" spans="1:8" s="558" customFormat="1" ht="15" customHeight="1">
      <c r="A15" s="680"/>
      <c r="B15" s="1200"/>
      <c r="C15" s="1120"/>
      <c r="D15" s="1120"/>
      <c r="E15" s="1015">
        <f t="shared" ref="E15:E78" si="0">C15-B15+D15</f>
        <v>0</v>
      </c>
      <c r="F15" s="1201"/>
      <c r="G15" s="1029" t="s">
        <v>990</v>
      </c>
    </row>
    <row r="16" spans="1:8" s="558" customFormat="1" ht="15" customHeight="1">
      <c r="A16" s="680"/>
      <c r="B16" s="1200"/>
      <c r="C16" s="1120"/>
      <c r="D16" s="1120"/>
      <c r="E16" s="1015">
        <f t="shared" si="0"/>
        <v>0</v>
      </c>
      <c r="F16" s="1201"/>
      <c r="G16" s="1029" t="s">
        <v>991</v>
      </c>
    </row>
    <row r="17" spans="1:7" s="558" customFormat="1" ht="15" customHeight="1">
      <c r="A17" s="680"/>
      <c r="B17" s="1200"/>
      <c r="C17" s="1120"/>
      <c r="D17" s="1120"/>
      <c r="E17" s="1015">
        <f t="shared" si="0"/>
        <v>0</v>
      </c>
      <c r="F17" s="1201"/>
      <c r="G17" s="1029" t="s">
        <v>992</v>
      </c>
    </row>
    <row r="18" spans="1:7" s="558" customFormat="1" ht="15" customHeight="1">
      <c r="A18" s="680"/>
      <c r="B18" s="1200"/>
      <c r="C18" s="1120"/>
      <c r="D18" s="1120"/>
      <c r="E18" s="1015">
        <f t="shared" si="0"/>
        <v>0</v>
      </c>
      <c r="F18" s="1201"/>
      <c r="G18" s="1029" t="s">
        <v>993</v>
      </c>
    </row>
    <row r="19" spans="1:7" s="558" customFormat="1" ht="15" customHeight="1">
      <c r="A19" s="680"/>
      <c r="B19" s="1200"/>
      <c r="C19" s="1120"/>
      <c r="D19" s="1120"/>
      <c r="E19" s="1015">
        <f t="shared" si="0"/>
        <v>0</v>
      </c>
      <c r="F19" s="1201"/>
      <c r="G19" s="1029" t="s">
        <v>994</v>
      </c>
    </row>
    <row r="20" spans="1:7" s="558" customFormat="1" ht="15" customHeight="1">
      <c r="A20" s="680"/>
      <c r="B20" s="1200"/>
      <c r="C20" s="1120"/>
      <c r="D20" s="1120"/>
      <c r="E20" s="1015">
        <f t="shared" si="0"/>
        <v>0</v>
      </c>
      <c r="F20" s="1201"/>
      <c r="G20" s="1029" t="s">
        <v>995</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G14"/>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5.6"/>
  <cols>
    <col min="1" max="1" width="4.69921875" style="130" customWidth="1"/>
    <col min="2" max="2" width="5.69921875" style="130" customWidth="1"/>
    <col min="3" max="3" width="24.3984375" style="130" customWidth="1"/>
    <col min="4" max="4" width="12.59765625" style="130" customWidth="1"/>
    <col min="5" max="5" width="8.59765625" style="130" customWidth="1"/>
    <col min="6" max="11" width="12.59765625" style="130" customWidth="1"/>
    <col min="12" max="12" width="24.3984375" customWidth="1"/>
  </cols>
  <sheetData>
    <row r="1" spans="1:12" ht="26.25" customHeight="1">
      <c r="A1" s="3688" t="s">
        <v>10121</v>
      </c>
      <c r="B1" s="3688"/>
      <c r="C1" s="3688"/>
      <c r="D1" s="3688"/>
      <c r="E1" s="3688"/>
      <c r="F1" s="3688"/>
      <c r="G1" s="3688"/>
      <c r="H1" s="3688"/>
      <c r="I1" s="3688"/>
      <c r="J1" s="3688"/>
      <c r="K1" s="3688"/>
    </row>
    <row r="2" spans="1:12" ht="21.75" customHeight="1">
      <c r="A2" s="3278" t="s">
        <v>447</v>
      </c>
      <c r="B2" s="3278"/>
      <c r="C2" s="3279">
        <f>基本情况!B2</f>
        <v>0</v>
      </c>
      <c r="D2" s="3279"/>
      <c r="E2" s="3701" t="s">
        <v>450</v>
      </c>
      <c r="F2" s="3702"/>
      <c r="G2" s="1033">
        <f>基本情况!B12</f>
        <v>0</v>
      </c>
      <c r="H2" s="1032" t="s">
        <v>882</v>
      </c>
      <c r="I2" s="1034" t="str">
        <f>TEXT(基本情况!B21,"yyyy-mm-dd")</f>
        <v>2017-03-16</v>
      </c>
      <c r="J2" s="3280" t="s">
        <v>283</v>
      </c>
      <c r="K2" s="3280"/>
    </row>
    <row r="3" spans="1:12" ht="21.75" customHeight="1">
      <c r="A3" s="3281" t="s">
        <v>451</v>
      </c>
      <c r="B3" s="3281"/>
      <c r="C3" s="3282" t="str">
        <f>基本情况!B7</f>
        <v>2016年01月01日至2016年12月31日</v>
      </c>
      <c r="D3" s="3282"/>
      <c r="E3" s="3703" t="s">
        <v>452</v>
      </c>
      <c r="F3" s="3704"/>
      <c r="G3" s="1036">
        <f>基本情况!B11</f>
        <v>0</v>
      </c>
      <c r="H3" s="2643" t="s">
        <v>882</v>
      </c>
      <c r="I3" s="1036" t="str">
        <f>TEXT(基本情况!B22,"yyyy-mm-dd")</f>
        <v>2017-05-04</v>
      </c>
      <c r="J3" s="3690"/>
      <c r="K3" s="3690"/>
    </row>
    <row r="4" spans="1:12" ht="7.5" customHeight="1">
      <c r="A4" s="3276"/>
      <c r="B4" s="3276"/>
      <c r="C4" s="3276"/>
      <c r="D4" s="3276"/>
      <c r="E4" s="3276"/>
      <c r="F4" s="3276"/>
      <c r="G4" s="3276"/>
      <c r="H4" s="3276"/>
      <c r="I4" s="3276"/>
      <c r="J4" s="3276"/>
      <c r="K4" s="3276"/>
    </row>
    <row r="5" spans="1:12" ht="21.75" customHeight="1">
      <c r="A5" s="2644" t="s">
        <v>665</v>
      </c>
      <c r="B5" s="1038" t="s">
        <v>453</v>
      </c>
      <c r="C5" s="1038" t="s">
        <v>10124</v>
      </c>
      <c r="D5" s="1038" t="s">
        <v>10125</v>
      </c>
      <c r="E5" s="1038" t="s">
        <v>10132</v>
      </c>
      <c r="F5" s="1038" t="s">
        <v>10126</v>
      </c>
      <c r="G5" s="1038" t="s">
        <v>10127</v>
      </c>
      <c r="H5" s="1038" t="s">
        <v>10128</v>
      </c>
      <c r="I5" s="1038" t="s">
        <v>10131</v>
      </c>
      <c r="J5" s="1038" t="s">
        <v>10129</v>
      </c>
      <c r="K5" s="1039" t="s">
        <v>10130</v>
      </c>
    </row>
    <row r="6" spans="1:12" ht="21.75" customHeight="1">
      <c r="A6" s="3287" t="s">
        <v>10122</v>
      </c>
      <c r="B6" s="1032">
        <v>1</v>
      </c>
      <c r="C6" s="1040"/>
      <c r="D6" s="1206"/>
      <c r="E6" s="1206"/>
      <c r="F6" s="2665"/>
      <c r="G6" s="2660"/>
      <c r="H6" s="2660"/>
      <c r="I6" s="2649"/>
      <c r="J6" s="1206"/>
      <c r="K6" s="1208">
        <f>I6-J6</f>
        <v>0</v>
      </c>
      <c r="L6" s="565"/>
    </row>
    <row r="7" spans="1:12" ht="21.75" customHeight="1">
      <c r="A7" s="3287"/>
      <c r="B7" s="2640">
        <v>2</v>
      </c>
      <c r="C7" s="1041"/>
      <c r="D7" s="1209"/>
      <c r="E7" s="2653"/>
      <c r="F7" s="2666"/>
      <c r="G7" s="2661"/>
      <c r="H7" s="2661"/>
      <c r="I7" s="2650"/>
      <c r="J7" s="1209"/>
      <c r="K7" s="1211">
        <f t="shared" ref="K7:K25" si="0">I7-J7</f>
        <v>0</v>
      </c>
      <c r="L7" t="s">
        <v>395</v>
      </c>
    </row>
    <row r="8" spans="1:12" ht="21.75" customHeight="1">
      <c r="A8" s="3287"/>
      <c r="B8" s="2640">
        <v>3</v>
      </c>
      <c r="C8" s="1041"/>
      <c r="D8" s="1209"/>
      <c r="E8" s="2653"/>
      <c r="F8" s="2666"/>
      <c r="G8" s="2661"/>
      <c r="H8" s="2661"/>
      <c r="I8" s="2650"/>
      <c r="J8" s="1209"/>
      <c r="K8" s="1211">
        <f t="shared" si="0"/>
        <v>0</v>
      </c>
      <c r="L8" s="1042" t="s">
        <v>1288</v>
      </c>
    </row>
    <row r="9" spans="1:12" ht="21.75" customHeight="1">
      <c r="A9" s="3287"/>
      <c r="B9" s="2640">
        <v>4</v>
      </c>
      <c r="C9" s="1041"/>
      <c r="D9" s="1209"/>
      <c r="E9" s="2653"/>
      <c r="F9" s="2666"/>
      <c r="G9" s="2661"/>
      <c r="H9" s="2661"/>
      <c r="I9" s="2650"/>
      <c r="J9" s="1209"/>
      <c r="K9" s="1211">
        <f t="shared" si="0"/>
        <v>0</v>
      </c>
    </row>
    <row r="10" spans="1:12" ht="21.75" customHeight="1">
      <c r="A10" s="3287"/>
      <c r="B10" s="2640">
        <v>5</v>
      </c>
      <c r="C10" s="1041"/>
      <c r="D10" s="1209"/>
      <c r="E10" s="2653"/>
      <c r="F10" s="2666"/>
      <c r="G10" s="2661"/>
      <c r="H10" s="2661"/>
      <c r="I10" s="2650"/>
      <c r="J10" s="1209"/>
      <c r="K10" s="1211">
        <f t="shared" si="0"/>
        <v>0</v>
      </c>
    </row>
    <row r="11" spans="1:12" ht="21.75" customHeight="1">
      <c r="A11" s="3287"/>
      <c r="B11" s="2640">
        <v>6</v>
      </c>
      <c r="C11" s="1041"/>
      <c r="D11" s="1209"/>
      <c r="E11" s="2653"/>
      <c r="F11" s="2666"/>
      <c r="G11" s="2661"/>
      <c r="H11" s="2661"/>
      <c r="I11" s="2650"/>
      <c r="J11" s="1209"/>
      <c r="K11" s="1211">
        <f t="shared" si="0"/>
        <v>0</v>
      </c>
    </row>
    <row r="12" spans="1:12" ht="21.75" customHeight="1">
      <c r="A12" s="3287"/>
      <c r="B12" s="2640">
        <v>7</v>
      </c>
      <c r="C12" s="2646"/>
      <c r="D12" s="2647"/>
      <c r="E12" s="2647"/>
      <c r="F12" s="2667"/>
      <c r="G12" s="2662"/>
      <c r="H12" s="2662"/>
      <c r="I12" s="2650"/>
      <c r="J12" s="2647"/>
      <c r="K12" s="1211">
        <f t="shared" si="0"/>
        <v>0</v>
      </c>
    </row>
    <row r="13" spans="1:12" ht="21.75" customHeight="1">
      <c r="A13" s="3287"/>
      <c r="B13" s="2640">
        <v>8</v>
      </c>
      <c r="C13" s="2646"/>
      <c r="D13" s="2647"/>
      <c r="E13" s="2647"/>
      <c r="F13" s="2667"/>
      <c r="G13" s="2662"/>
      <c r="H13" s="2662"/>
      <c r="I13" s="2650"/>
      <c r="J13" s="2647"/>
      <c r="K13" s="1211">
        <f t="shared" si="0"/>
        <v>0</v>
      </c>
    </row>
    <row r="14" spans="1:12" ht="21.75" customHeight="1">
      <c r="A14" s="3287"/>
      <c r="B14" s="2640">
        <v>9</v>
      </c>
      <c r="C14" s="2646"/>
      <c r="D14" s="2647"/>
      <c r="E14" s="2647"/>
      <c r="F14" s="2667"/>
      <c r="G14" s="2662"/>
      <c r="H14" s="2662"/>
      <c r="I14" s="2650"/>
      <c r="J14" s="2647"/>
      <c r="K14" s="1211">
        <f t="shared" si="0"/>
        <v>0</v>
      </c>
    </row>
    <row r="15" spans="1:12" ht="21.75" customHeight="1">
      <c r="A15" s="3287"/>
      <c r="B15" s="3691" t="s">
        <v>702</v>
      </c>
      <c r="C15" s="3691"/>
      <c r="D15" s="1212">
        <f>SUMIF(E6:E14,"是",D6:D14)</f>
        <v>0</v>
      </c>
      <c r="E15" s="2654"/>
      <c r="F15" s="2668"/>
      <c r="G15" s="1212"/>
      <c r="H15" s="1212"/>
      <c r="I15" s="1212">
        <f t="shared" ref="I15:J15" si="1">SUM(I6:I14)</f>
        <v>0</v>
      </c>
      <c r="J15" s="1212">
        <f t="shared" si="1"/>
        <v>0</v>
      </c>
      <c r="K15" s="1213">
        <f t="shared" si="0"/>
        <v>0</v>
      </c>
    </row>
    <row r="16" spans="1:12" ht="21.75" customHeight="1">
      <c r="A16" s="3692" t="s">
        <v>10123</v>
      </c>
      <c r="B16" s="1043">
        <v>1</v>
      </c>
      <c r="C16" s="1044"/>
      <c r="D16" s="1214"/>
      <c r="E16" s="1214"/>
      <c r="F16" s="2669"/>
      <c r="G16" s="2663"/>
      <c r="H16" s="2663"/>
      <c r="I16" s="2651"/>
      <c r="J16" s="1216"/>
      <c r="K16" s="1217">
        <f t="shared" si="0"/>
        <v>0</v>
      </c>
    </row>
    <row r="17" spans="1:17" ht="21.75" customHeight="1">
      <c r="A17" s="3692"/>
      <c r="B17" s="2640">
        <v>2</v>
      </c>
      <c r="C17" s="1041"/>
      <c r="D17" s="2648"/>
      <c r="E17" s="2655"/>
      <c r="F17" s="2666"/>
      <c r="G17" s="2664"/>
      <c r="H17" s="2664"/>
      <c r="I17" s="2652"/>
      <c r="J17" s="1209"/>
      <c r="K17" s="1211">
        <f t="shared" si="0"/>
        <v>0</v>
      </c>
    </row>
    <row r="18" spans="1:17" ht="21.75" customHeight="1">
      <c r="A18" s="3692"/>
      <c r="B18" s="2640">
        <v>3</v>
      </c>
      <c r="C18" s="1041"/>
      <c r="D18" s="2648"/>
      <c r="E18" s="2655"/>
      <c r="F18" s="2666"/>
      <c r="G18" s="2664"/>
      <c r="H18" s="2664"/>
      <c r="I18" s="2652"/>
      <c r="J18" s="1209"/>
      <c r="K18" s="1211">
        <f t="shared" si="0"/>
        <v>0</v>
      </c>
    </row>
    <row r="19" spans="1:17" ht="21.75" customHeight="1">
      <c r="A19" s="3692"/>
      <c r="B19" s="2640">
        <v>4</v>
      </c>
      <c r="C19" s="1041"/>
      <c r="D19" s="2648"/>
      <c r="E19" s="2655"/>
      <c r="F19" s="2666"/>
      <c r="G19" s="2664"/>
      <c r="H19" s="2664"/>
      <c r="I19" s="2652"/>
      <c r="J19" s="1209"/>
      <c r="K19" s="1211">
        <f t="shared" si="0"/>
        <v>0</v>
      </c>
      <c r="L19" s="2641"/>
      <c r="M19" s="673"/>
      <c r="N19" s="673"/>
      <c r="O19" s="673"/>
      <c r="P19" s="673"/>
      <c r="Q19" s="673"/>
    </row>
    <row r="20" spans="1:17" ht="21.75" customHeight="1">
      <c r="A20" s="3692"/>
      <c r="B20" s="2640">
        <v>5</v>
      </c>
      <c r="C20" s="1041"/>
      <c r="D20" s="2648"/>
      <c r="E20" s="2655"/>
      <c r="F20" s="2666"/>
      <c r="G20" s="2664"/>
      <c r="H20" s="2664"/>
      <c r="I20" s="2652"/>
      <c r="J20" s="1209"/>
      <c r="K20" s="1211">
        <f t="shared" si="0"/>
        <v>0</v>
      </c>
    </row>
    <row r="21" spans="1:17" ht="21.75" customHeight="1">
      <c r="A21" s="3692"/>
      <c r="B21" s="2640">
        <v>6</v>
      </c>
      <c r="C21" s="1041"/>
      <c r="D21" s="1209"/>
      <c r="E21" s="2653"/>
      <c r="F21" s="2666"/>
      <c r="G21" s="2661"/>
      <c r="H21" s="2661"/>
      <c r="I21" s="2652"/>
      <c r="J21" s="1209"/>
      <c r="K21" s="1211">
        <f t="shared" si="0"/>
        <v>0</v>
      </c>
    </row>
    <row r="22" spans="1:17" ht="21.75" customHeight="1">
      <c r="A22" s="3692"/>
      <c r="B22" s="2640">
        <v>7</v>
      </c>
      <c r="C22" s="2646"/>
      <c r="D22" s="2647"/>
      <c r="E22" s="2647"/>
      <c r="F22" s="2667"/>
      <c r="G22" s="2662"/>
      <c r="H22" s="2662"/>
      <c r="I22" s="2652"/>
      <c r="J22" s="2647"/>
      <c r="K22" s="1211">
        <f t="shared" si="0"/>
        <v>0</v>
      </c>
    </row>
    <row r="23" spans="1:17" ht="21.75" customHeight="1">
      <c r="A23" s="3692"/>
      <c r="B23" s="2640">
        <v>8</v>
      </c>
      <c r="C23" s="2646"/>
      <c r="D23" s="2647"/>
      <c r="E23" s="2647"/>
      <c r="F23" s="2667"/>
      <c r="G23" s="2662"/>
      <c r="H23" s="2662"/>
      <c r="I23" s="2652"/>
      <c r="J23" s="2647"/>
      <c r="K23" s="1211">
        <f t="shared" si="0"/>
        <v>0</v>
      </c>
    </row>
    <row r="24" spans="1:17" ht="21.75" customHeight="1">
      <c r="A24" s="3692"/>
      <c r="B24" s="2640">
        <v>9</v>
      </c>
      <c r="C24" s="2646"/>
      <c r="D24" s="2647"/>
      <c r="E24" s="2647"/>
      <c r="F24" s="2667"/>
      <c r="G24" s="2662"/>
      <c r="H24" s="2662"/>
      <c r="I24" s="2652"/>
      <c r="J24" s="2647"/>
      <c r="K24" s="1211">
        <f t="shared" si="0"/>
        <v>0</v>
      </c>
    </row>
    <row r="25" spans="1:17" ht="21.75" customHeight="1">
      <c r="A25" s="3692"/>
      <c r="B25" s="3691" t="s">
        <v>702</v>
      </c>
      <c r="C25" s="3691"/>
      <c r="D25" s="1212">
        <f>SUMIF(E16:E24,"是",D16:D24)</f>
        <v>0</v>
      </c>
      <c r="E25" s="2654"/>
      <c r="F25" s="2668"/>
      <c r="G25" s="1212"/>
      <c r="H25" s="1212"/>
      <c r="I25" s="1212">
        <f t="shared" ref="I25:J25" si="2">SUM(I16:I24)</f>
        <v>0</v>
      </c>
      <c r="J25" s="1212">
        <f t="shared" si="2"/>
        <v>0</v>
      </c>
      <c r="K25" s="1213">
        <f t="shared" si="0"/>
        <v>0</v>
      </c>
    </row>
    <row r="26" spans="1:17" ht="21" customHeight="1">
      <c r="A26" s="3293" t="s">
        <v>641</v>
      </c>
      <c r="B26" s="3293"/>
      <c r="C26" s="3693" t="str">
        <f>IF($D$15&lt;&gt;资产负债!$H$5,"短期借款账载数与报表数相差"&amp;DOLLAR($D$15-资产负债!$H$5,2)&amp;"元！","短期借款账载数与报表数相符！")</f>
        <v>短期借款账载数与报表数相符！</v>
      </c>
      <c r="D26" s="3693"/>
      <c r="E26" s="3693"/>
      <c r="F26" s="3693"/>
      <c r="G26" s="3693"/>
      <c r="H26" s="3694" t="str">
        <f>IF($D$25&lt;&gt;资产负债!$H$21,"长期借款账载数与报表数相差"&amp;DOLLAR($D$25-资产负债!$H$21,2)&amp;"元！","长期借款账载数与报表数相符！")</f>
        <v>长期借款账载数与报表数相符！</v>
      </c>
      <c r="I26" s="3694"/>
      <c r="J26" s="3694"/>
      <c r="K26" s="3694"/>
    </row>
    <row r="27" spans="1:17" ht="15" customHeight="1">
      <c r="A27" s="3302" t="s">
        <v>1323</v>
      </c>
      <c r="B27" s="3302"/>
      <c r="C27" s="1045" t="s">
        <v>1407</v>
      </c>
      <c r="D27" s="3697" t="str">
        <f>IF(OR(I15&lt;&gt;资产负债!H5,I25&lt;&gt;资产负债!H21),"、E","")</f>
        <v/>
      </c>
      <c r="E27" s="3697"/>
      <c r="F27" s="3697"/>
      <c r="G27" s="3697"/>
      <c r="H27" s="3697"/>
      <c r="I27" s="3697"/>
      <c r="J27" s="3697"/>
      <c r="K27" s="3697"/>
      <c r="L27" s="2641"/>
      <c r="M27" s="2642"/>
      <c r="N27" s="2642"/>
      <c r="O27" s="2642"/>
      <c r="P27" s="2642"/>
      <c r="Q27" s="2642"/>
    </row>
    <row r="28" spans="1:17" ht="46.5" customHeight="1">
      <c r="A28" s="3302"/>
      <c r="B28" s="3302"/>
      <c r="C28" s="3698"/>
      <c r="D28" s="3698"/>
      <c r="E28" s="3698"/>
      <c r="F28" s="3698"/>
      <c r="G28" s="3698"/>
      <c r="H28" s="3698"/>
      <c r="I28" s="3698"/>
      <c r="J28" s="3698"/>
      <c r="K28" s="3698"/>
    </row>
    <row r="29" spans="1:17" ht="21" customHeight="1">
      <c r="A29" s="3695" t="s">
        <v>574</v>
      </c>
      <c r="B29" s="3695"/>
      <c r="C29" s="3696"/>
      <c r="D29" s="3696"/>
      <c r="E29" s="3700"/>
      <c r="F29" s="3696"/>
      <c r="G29" s="3696"/>
      <c r="H29" s="3696"/>
      <c r="I29" s="3696"/>
      <c r="J29" s="3696"/>
      <c r="K29" s="3696"/>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1:K1"/>
    <mergeCell ref="A2:B2"/>
    <mergeCell ref="C2:D2"/>
    <mergeCell ref="J2:K2"/>
    <mergeCell ref="A3:B3"/>
    <mergeCell ref="C3:D3"/>
    <mergeCell ref="J3:K3"/>
    <mergeCell ref="E2:F2"/>
    <mergeCell ref="E3:F3"/>
    <mergeCell ref="A29:B29"/>
    <mergeCell ref="C29:K29"/>
    <mergeCell ref="A4:K4"/>
    <mergeCell ref="A6:A15"/>
    <mergeCell ref="B15:C15"/>
    <mergeCell ref="A27:B28"/>
    <mergeCell ref="D27:K27"/>
    <mergeCell ref="C28:K28"/>
    <mergeCell ref="A16:A25"/>
    <mergeCell ref="B25:C25"/>
    <mergeCell ref="A26:B26"/>
    <mergeCell ref="C26:G26"/>
    <mergeCell ref="H26:K26"/>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5.6"/>
  <cols>
    <col min="1" max="1" width="3" style="554" customWidth="1"/>
    <col min="2" max="2" width="17.5" style="130" customWidth="1"/>
    <col min="3" max="8" width="11" style="130" customWidth="1"/>
    <col min="9" max="9" width="52.69921875" style="554" customWidth="1"/>
    <col min="10" max="16384" width="9" style="554"/>
  </cols>
  <sheetData>
    <row r="1" spans="1:68" ht="30" customHeight="1">
      <c r="A1" s="1009"/>
      <c r="B1" s="2729" t="s">
        <v>374</v>
      </c>
      <c r="C1" s="2729"/>
      <c r="D1" s="2729"/>
      <c r="E1" s="2729"/>
      <c r="F1" s="2729"/>
      <c r="G1" s="2729"/>
      <c r="H1" s="2729"/>
      <c r="I1" s="90"/>
      <c r="J1" s="90"/>
    </row>
    <row r="2" spans="1:68" s="649" customFormat="1" ht="20.100000000000001" customHeight="1">
      <c r="A2" s="3185" t="str">
        <f>"委托单位："&amp;基本情况!B2</f>
        <v>委托单位：0</v>
      </c>
      <c r="B2" s="3185"/>
      <c r="C2" s="3185"/>
      <c r="D2" s="3185"/>
      <c r="E2" s="136"/>
      <c r="F2" s="136" t="s">
        <v>1282</v>
      </c>
      <c r="G2" s="136" t="s">
        <v>1053</v>
      </c>
      <c r="H2" s="485" t="s">
        <v>283</v>
      </c>
      <c r="I2" s="1053"/>
      <c r="J2" s="648"/>
    </row>
    <row r="3" spans="1:68" s="649" customFormat="1" ht="20.100000000000001" customHeight="1">
      <c r="A3" s="3185"/>
      <c r="B3" s="3185"/>
      <c r="C3" s="3185"/>
      <c r="D3" s="3185"/>
      <c r="E3" s="158" t="s">
        <v>450</v>
      </c>
      <c r="F3" s="510">
        <f>基本情况!B12</f>
        <v>0</v>
      </c>
      <c r="G3" s="559" t="str">
        <f>TEXT(基本情况!B21,"yyyy-mm-dd")</f>
        <v>2017-03-16</v>
      </c>
      <c r="H3" s="3103" t="str">
        <f>档案索引!D43</f>
        <v>4-10</v>
      </c>
      <c r="I3" s="557"/>
      <c r="J3" s="648"/>
    </row>
    <row r="4" spans="1:68" s="649" customFormat="1" ht="20.100000000000001" customHeight="1">
      <c r="A4" s="3183" t="str">
        <f>"会计期间："&amp;基本情况!B7</f>
        <v>会计期间：2016年01月01日至2016年12月31日</v>
      </c>
      <c r="B4" s="3183"/>
      <c r="C4" s="3183"/>
      <c r="D4" s="3183"/>
      <c r="E4" s="140" t="s">
        <v>452</v>
      </c>
      <c r="F4" s="513">
        <f>基本情况!B11</f>
        <v>0</v>
      </c>
      <c r="G4" s="513" t="str">
        <f>TEXT(基本情况!B22,"yyyy-mm-dd")</f>
        <v>2017-05-04</v>
      </c>
      <c r="H4" s="3103"/>
      <c r="I4" s="557"/>
      <c r="J4" s="648"/>
    </row>
    <row r="5" spans="1:68" s="1055" customFormat="1" ht="6" customHeight="1">
      <c r="A5" s="2916"/>
      <c r="B5" s="2916"/>
      <c r="C5" s="2916"/>
      <c r="D5" s="2916"/>
      <c r="E5" s="2916"/>
      <c r="F5" s="2916"/>
      <c r="G5" s="2916"/>
      <c r="H5" s="2916"/>
      <c r="I5" s="543"/>
      <c r="J5" s="1054"/>
    </row>
    <row r="6" spans="1:68" s="558" customFormat="1" ht="24" customHeight="1">
      <c r="A6" s="3043" t="s">
        <v>665</v>
      </c>
      <c r="B6" s="3043"/>
      <c r="C6" s="582" t="s">
        <v>1251</v>
      </c>
      <c r="D6" s="582" t="s">
        <v>1252</v>
      </c>
      <c r="E6" s="582" t="s">
        <v>1253</v>
      </c>
      <c r="F6" s="582" t="s">
        <v>837</v>
      </c>
      <c r="G6" s="582" t="s">
        <v>842</v>
      </c>
      <c r="H6" s="772" t="s">
        <v>243</v>
      </c>
      <c r="I6" s="536" t="s">
        <v>395</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94" t="s">
        <v>439</v>
      </c>
      <c r="B7" s="1056"/>
      <c r="C7" s="1130"/>
      <c r="D7" s="1130"/>
      <c r="E7" s="1130"/>
      <c r="F7" s="659">
        <f>C7+D7-E7</f>
        <v>0</v>
      </c>
      <c r="G7" s="1130"/>
      <c r="H7" s="662">
        <f t="shared" ref="H7:H12" si="0">F7+G7</f>
        <v>0</v>
      </c>
      <c r="I7" s="493" t="s">
        <v>1288</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94"/>
      <c r="B8" s="968"/>
      <c r="C8" s="1131"/>
      <c r="D8" s="1131"/>
      <c r="E8" s="1131"/>
      <c r="F8" s="666">
        <f t="shared" ref="F8:F23" si="1">C8+D8-E8</f>
        <v>0</v>
      </c>
      <c r="G8" s="1131"/>
      <c r="H8" s="531">
        <f t="shared" si="0"/>
        <v>0</v>
      </c>
      <c r="I8" s="493" t="s">
        <v>642</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94"/>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94"/>
      <c r="B10" s="968"/>
      <c r="C10" s="1131"/>
      <c r="D10" s="1131"/>
      <c r="E10" s="1131"/>
      <c r="F10" s="666">
        <f t="shared" si="1"/>
        <v>0</v>
      </c>
      <c r="G10" s="1131"/>
      <c r="H10" s="531">
        <f t="shared" si="0"/>
        <v>0</v>
      </c>
      <c r="I10" s="232" t="s">
        <v>328</v>
      </c>
      <c r="J10" s="557"/>
    </row>
    <row r="11" spans="1:68" s="558" customFormat="1" ht="24" customHeight="1">
      <c r="A11" s="3594"/>
      <c r="B11" s="968"/>
      <c r="C11" s="1131"/>
      <c r="D11" s="1131"/>
      <c r="E11" s="1131"/>
      <c r="F11" s="666">
        <f t="shared" si="1"/>
        <v>0</v>
      </c>
      <c r="G11" s="1131"/>
      <c r="H11" s="531">
        <f t="shared" si="0"/>
        <v>0</v>
      </c>
      <c r="I11" s="232" t="s">
        <v>324</v>
      </c>
      <c r="J11" s="557"/>
    </row>
    <row r="12" spans="1:68" s="558" customFormat="1" ht="24" customHeight="1">
      <c r="A12" s="3594"/>
      <c r="B12" s="2450"/>
      <c r="C12" s="1132"/>
      <c r="D12" s="1132"/>
      <c r="E12" s="1132"/>
      <c r="F12" s="666">
        <f t="shared" si="1"/>
        <v>0</v>
      </c>
      <c r="G12" s="1132"/>
      <c r="H12" s="2445">
        <f t="shared" si="0"/>
        <v>0</v>
      </c>
      <c r="I12" s="2446"/>
      <c r="J12" s="557"/>
    </row>
    <row r="13" spans="1:68" s="558" customFormat="1" ht="24" customHeight="1">
      <c r="A13" s="3594"/>
      <c r="B13" s="140" t="s">
        <v>1413</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50" t="s">
        <v>843</v>
      </c>
      <c r="B14" s="1058" t="s">
        <v>844</v>
      </c>
      <c r="C14" s="1221"/>
      <c r="D14" s="1221"/>
      <c r="E14" s="1221"/>
      <c r="F14" s="653">
        <f t="shared" si="1"/>
        <v>0</v>
      </c>
      <c r="G14" s="1221"/>
      <c r="H14" s="655">
        <f>F14+G14</f>
        <v>0</v>
      </c>
      <c r="I14" s="3112" t="s">
        <v>845</v>
      </c>
      <c r="J14" s="3112"/>
    </row>
    <row r="15" spans="1:68" s="558" customFormat="1" ht="24" customHeight="1">
      <c r="A15" s="3150"/>
      <c r="B15" s="968" t="s">
        <v>846</v>
      </c>
      <c r="C15" s="1131"/>
      <c r="D15" s="1131"/>
      <c r="E15" s="1131"/>
      <c r="F15" s="666">
        <f t="shared" si="1"/>
        <v>0</v>
      </c>
      <c r="G15" s="1131"/>
      <c r="H15" s="531">
        <f t="shared" ref="H15:H23" si="4">F15+G15</f>
        <v>0</v>
      </c>
      <c r="I15" s="3112"/>
      <c r="J15" s="3112"/>
    </row>
    <row r="16" spans="1:68" s="558" customFormat="1" ht="24" customHeight="1">
      <c r="A16" s="3150"/>
      <c r="B16" s="968" t="s">
        <v>1131</v>
      </c>
      <c r="C16" s="1131"/>
      <c r="D16" s="1131"/>
      <c r="E16" s="1131"/>
      <c r="F16" s="666">
        <f t="shared" si="1"/>
        <v>0</v>
      </c>
      <c r="G16" s="1131"/>
      <c r="H16" s="531">
        <f t="shared" si="4"/>
        <v>0</v>
      </c>
      <c r="I16" s="3112"/>
      <c r="J16" s="3112"/>
    </row>
    <row r="17" spans="1:10" s="558" customFormat="1" ht="24" customHeight="1">
      <c r="A17" s="3150"/>
      <c r="B17" s="968"/>
      <c r="C17" s="1131"/>
      <c r="D17" s="1131"/>
      <c r="E17" s="1131"/>
      <c r="F17" s="666">
        <f t="shared" si="1"/>
        <v>0</v>
      </c>
      <c r="G17" s="1131"/>
      <c r="H17" s="531">
        <f t="shared" si="4"/>
        <v>0</v>
      </c>
      <c r="I17" s="3112"/>
      <c r="J17" s="3112"/>
    </row>
    <row r="18" spans="1:10" s="558" customFormat="1" ht="24.75" customHeight="1">
      <c r="A18" s="3150"/>
      <c r="B18" s="140" t="s">
        <v>1413</v>
      </c>
      <c r="C18" s="684">
        <f t="shared" ref="C18:H18" si="5">SUM(C14:C17)</f>
        <v>0</v>
      </c>
      <c r="D18" s="684">
        <f t="shared" si="5"/>
        <v>0</v>
      </c>
      <c r="E18" s="684">
        <f t="shared" si="5"/>
        <v>0</v>
      </c>
      <c r="F18" s="684">
        <f t="shared" si="5"/>
        <v>0</v>
      </c>
      <c r="G18" s="684">
        <f t="shared" si="5"/>
        <v>0</v>
      </c>
      <c r="H18" s="1057">
        <f t="shared" si="5"/>
        <v>0</v>
      </c>
      <c r="I18" s="3112"/>
      <c r="J18" s="3112"/>
    </row>
    <row r="19" spans="1:10" s="558" customFormat="1" ht="24.75" customHeight="1">
      <c r="A19" s="3594" t="s">
        <v>1132</v>
      </c>
      <c r="B19" s="1056"/>
      <c r="C19" s="1130"/>
      <c r="D19" s="1130"/>
      <c r="E19" s="1130"/>
      <c r="F19" s="659">
        <f t="shared" si="1"/>
        <v>0</v>
      </c>
      <c r="G19" s="1130"/>
      <c r="H19" s="662">
        <f t="shared" si="4"/>
        <v>0</v>
      </c>
      <c r="I19" s="523"/>
      <c r="J19" s="557"/>
    </row>
    <row r="20" spans="1:10" s="558" customFormat="1" ht="24.75" customHeight="1">
      <c r="A20" s="3594"/>
      <c r="B20" s="968"/>
      <c r="C20" s="1131"/>
      <c r="D20" s="1131"/>
      <c r="E20" s="1131"/>
      <c r="F20" s="666">
        <f t="shared" si="1"/>
        <v>0</v>
      </c>
      <c r="G20" s="1131"/>
      <c r="H20" s="531">
        <f t="shared" si="4"/>
        <v>0</v>
      </c>
      <c r="I20" s="523"/>
      <c r="J20" s="557"/>
    </row>
    <row r="21" spans="1:10" s="558" customFormat="1" ht="24.75" customHeight="1">
      <c r="A21" s="3594"/>
      <c r="B21" s="968"/>
      <c r="C21" s="1131"/>
      <c r="D21" s="1131"/>
      <c r="E21" s="1131"/>
      <c r="F21" s="666">
        <f t="shared" si="1"/>
        <v>0</v>
      </c>
      <c r="G21" s="1131"/>
      <c r="H21" s="531">
        <f t="shared" si="4"/>
        <v>0</v>
      </c>
      <c r="I21" s="543"/>
      <c r="J21" s="557"/>
    </row>
    <row r="22" spans="1:10" s="558" customFormat="1" ht="24.75" customHeight="1">
      <c r="A22" s="3594"/>
      <c r="B22" s="968"/>
      <c r="C22" s="1131"/>
      <c r="D22" s="1131"/>
      <c r="E22" s="1131"/>
      <c r="F22" s="666">
        <f t="shared" si="1"/>
        <v>0</v>
      </c>
      <c r="G22" s="1131"/>
      <c r="H22" s="531">
        <f t="shared" si="4"/>
        <v>0</v>
      </c>
      <c r="I22" s="543"/>
      <c r="J22" s="557"/>
    </row>
    <row r="23" spans="1:10" s="558" customFormat="1" ht="24.75" customHeight="1">
      <c r="A23" s="3594"/>
      <c r="B23" s="968"/>
      <c r="C23" s="1131"/>
      <c r="D23" s="1131"/>
      <c r="E23" s="1131"/>
      <c r="F23" s="666">
        <f t="shared" si="1"/>
        <v>0</v>
      </c>
      <c r="G23" s="1131"/>
      <c r="H23" s="531">
        <f t="shared" si="4"/>
        <v>0</v>
      </c>
      <c r="I23" s="543"/>
      <c r="J23" s="557"/>
    </row>
    <row r="24" spans="1:10" s="558" customFormat="1" ht="24.75" customHeight="1">
      <c r="A24" s="3594"/>
      <c r="B24" s="140" t="s">
        <v>1413</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63" t="s">
        <v>1133</v>
      </c>
      <c r="B25" s="3163"/>
      <c r="C25" s="1059" t="s">
        <v>1077</v>
      </c>
      <c r="D25" s="3708" t="s">
        <v>1134</v>
      </c>
      <c r="E25" s="3708"/>
      <c r="F25" s="1222"/>
      <c r="G25" s="956">
        <v>5.0000000000000001E-4</v>
      </c>
      <c r="H25" s="655">
        <f>ROUND(F25*G25,2)</f>
        <v>0</v>
      </c>
      <c r="I25" s="543"/>
      <c r="J25" s="557"/>
    </row>
    <row r="26" spans="1:10" s="558" customFormat="1" ht="19.5" customHeight="1">
      <c r="A26" s="2926" t="s">
        <v>641</v>
      </c>
      <c r="B26" s="2926"/>
      <c r="C26" s="3707" t="str">
        <f>IF(F13&lt;&gt;资产负债!H30,"实收资本账载数与报表数相差"&amp;DOLLAR(F13-资产负债!H30,2)&amp;"元！","实收资本账载数与报表数相符！")</f>
        <v>实收资本账载数与报表数相符！</v>
      </c>
      <c r="D26" s="3707"/>
      <c r="E26" s="3707"/>
      <c r="F26" s="3707"/>
      <c r="G26" s="3707"/>
      <c r="H26" s="3707"/>
      <c r="I26" s="543"/>
      <c r="J26" s="557"/>
    </row>
    <row r="27" spans="1:10" s="558" customFormat="1" ht="19.5" customHeight="1">
      <c r="A27" s="2926"/>
      <c r="B27" s="2926"/>
      <c r="C27" s="3707" t="str">
        <f>IF(F18&lt;&gt;资产负债!H31,"资本公积账载数与报表数相差"&amp;DOLLAR(F18-资产负债!H31,2)&amp;"元！","资本公积账载数与报表数相符！")</f>
        <v>资本公积账载数与报表数相符！</v>
      </c>
      <c r="D27" s="3707"/>
      <c r="E27" s="3707"/>
      <c r="F27" s="3707"/>
      <c r="G27" s="3707"/>
      <c r="H27" s="3707"/>
      <c r="I27" s="543"/>
      <c r="J27" s="557"/>
    </row>
    <row r="28" spans="1:10" s="558" customFormat="1" ht="19.5" customHeight="1">
      <c r="A28" s="2926"/>
      <c r="B28" s="2926"/>
      <c r="C28" s="3211" t="str">
        <f>IF(F24&lt;&gt;资产负债!H32,"盈余公积账载数与报表数相差"&amp;DOLLAR(F24-资产负债!H32,2)&amp;"元！","盈余公积账载数与报表数相符！")</f>
        <v>盈余公积账载数与报表数相符！</v>
      </c>
      <c r="D28" s="3211"/>
      <c r="E28" s="3211"/>
      <c r="F28" s="3211"/>
      <c r="G28" s="3211"/>
      <c r="H28" s="3211"/>
      <c r="I28" s="543"/>
      <c r="J28" s="557"/>
    </row>
    <row r="29" spans="1:10" s="558" customFormat="1" ht="15" customHeight="1">
      <c r="A29" s="3046" t="s">
        <v>1323</v>
      </c>
      <c r="B29" s="3046"/>
      <c r="C29" s="3199" t="s">
        <v>1407</v>
      </c>
      <c r="D29" s="3199"/>
      <c r="E29" s="3209" t="str">
        <f>IF(OR(F13&lt;&gt;资产负债!H30,F18&lt;&gt;资产负债!H31,F24&lt;&gt;资产负债!H32),"、E","")</f>
        <v/>
      </c>
      <c r="F29" s="3209"/>
      <c r="G29" s="3209"/>
      <c r="H29" s="3209"/>
      <c r="I29" s="543"/>
      <c r="J29" s="557"/>
    </row>
    <row r="30" spans="1:10" s="558" customFormat="1" ht="39" customHeight="1">
      <c r="A30" s="3046"/>
      <c r="B30" s="3046"/>
      <c r="C30" s="3705"/>
      <c r="D30" s="3706"/>
      <c r="E30" s="3706"/>
      <c r="F30" s="3706"/>
      <c r="G30" s="3706"/>
      <c r="H30" s="3706"/>
      <c r="I30" s="543"/>
      <c r="J30" s="557"/>
    </row>
    <row r="31" spans="1:10" s="558" customFormat="1" ht="27.75" customHeight="1">
      <c r="A31" s="3178" t="s">
        <v>574</v>
      </c>
      <c r="B31" s="3178"/>
      <c r="C31" s="3211" t="str">
        <f>IF(OR(G13&lt;&gt;0,G18&lt;&gt;0,G24&lt;&gt;0),"调整后认可！","不存在调整事项，认可！")</f>
        <v>不存在调整事项，认可！</v>
      </c>
      <c r="D31" s="3211"/>
      <c r="E31" s="3211"/>
      <c r="F31" s="3211"/>
      <c r="G31" s="3211"/>
      <c r="H31" s="3211"/>
      <c r="I31" s="543"/>
      <c r="J31" s="557"/>
    </row>
  </sheetData>
  <sheetProtection selectLockedCells="1" selectUnlockedCells="1"/>
  <mergeCells count="22">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 ref="I14:J18"/>
    <mergeCell ref="A19:A24"/>
    <mergeCell ref="A5:H5"/>
    <mergeCell ref="A6:B6"/>
    <mergeCell ref="A7:A13"/>
    <mergeCell ref="A14:A1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 customHeight="1"/>
  <cols>
    <col min="1" max="1" width="6.69921875" style="649" customWidth="1"/>
    <col min="2" max="2" width="14.59765625" style="649" customWidth="1"/>
    <col min="3" max="5" width="14" style="649" customWidth="1"/>
    <col min="6" max="6" width="12.5" style="649" customWidth="1"/>
    <col min="7" max="7" width="6.3984375" style="649" customWidth="1"/>
    <col min="8" max="8" width="52.5" style="607" customWidth="1"/>
    <col min="9" max="16384" width="9" style="607"/>
  </cols>
  <sheetData>
    <row r="1" spans="1:9" ht="33.75" customHeight="1">
      <c r="A1" s="2729" t="s">
        <v>378</v>
      </c>
      <c r="B1" s="2729"/>
      <c r="C1" s="2729"/>
      <c r="D1" s="2729"/>
      <c r="E1" s="2729"/>
      <c r="F1" s="2729"/>
      <c r="G1" s="2729"/>
      <c r="H1" s="606"/>
    </row>
    <row r="2" spans="1:9" s="744" customFormat="1" ht="12.75" customHeight="1">
      <c r="A2" s="3710"/>
      <c r="B2" s="3710"/>
      <c r="C2" s="3710"/>
      <c r="D2" s="3710"/>
      <c r="E2" s="3710"/>
      <c r="F2" s="3710"/>
      <c r="G2" s="3710"/>
      <c r="H2" s="743"/>
    </row>
    <row r="3" spans="1:9" s="649" customFormat="1" ht="24.75" customHeight="1">
      <c r="A3" s="3102" t="str">
        <f>"委托单位："&amp;基本情况!B2</f>
        <v>委托单位：0</v>
      </c>
      <c r="B3" s="3102"/>
      <c r="C3" s="3102"/>
      <c r="D3" s="136"/>
      <c r="E3" s="136" t="s">
        <v>1282</v>
      </c>
      <c r="F3" s="136" t="s">
        <v>1053</v>
      </c>
      <c r="G3" s="485" t="s">
        <v>283</v>
      </c>
      <c r="H3" s="648"/>
    </row>
    <row r="4" spans="1:9" s="649" customFormat="1" ht="24.75" customHeight="1">
      <c r="A4" s="3102"/>
      <c r="B4" s="3102"/>
      <c r="C4" s="3102"/>
      <c r="D4" s="158" t="s">
        <v>450</v>
      </c>
      <c r="E4" s="510">
        <f>基本情况!B12</f>
        <v>0</v>
      </c>
      <c r="F4" s="559" t="str">
        <f>TEXT(基本情况!B21,"yyyy-mm-dd")</f>
        <v>2017-03-16</v>
      </c>
      <c r="G4" s="3103" t="str">
        <f>档案索引!D44</f>
        <v>4-11</v>
      </c>
      <c r="H4" s="648"/>
    </row>
    <row r="5" spans="1:9" s="649" customFormat="1" ht="24.75" customHeight="1">
      <c r="A5" s="3104" t="str">
        <f>"会计期间："&amp;基本情况!B7</f>
        <v>会计期间：2016年01月01日至2016年12月31日</v>
      </c>
      <c r="B5" s="3104"/>
      <c r="C5" s="3104"/>
      <c r="D5" s="140" t="s">
        <v>452</v>
      </c>
      <c r="E5" s="513">
        <f>基本情况!B11</f>
        <v>0</v>
      </c>
      <c r="F5" s="513" t="str">
        <f>TEXT(基本情况!B22,"yyyy-mm-dd")</f>
        <v>2017-05-04</v>
      </c>
      <c r="G5" s="3103"/>
      <c r="H5" s="648"/>
    </row>
    <row r="6" spans="1:9" s="649" customFormat="1" ht="7.5" customHeight="1">
      <c r="A6" s="2916"/>
      <c r="B6" s="2916"/>
      <c r="C6" s="2916"/>
      <c r="D6" s="2916"/>
      <c r="E6" s="2916"/>
      <c r="F6" s="2916"/>
      <c r="G6" s="2916"/>
      <c r="H6" s="648"/>
    </row>
    <row r="7" spans="1:9" s="649" customFormat="1" ht="24.75" customHeight="1">
      <c r="A7" s="3043" t="s">
        <v>1135</v>
      </c>
      <c r="B7" s="3043"/>
      <c r="C7" s="582" t="s">
        <v>1181</v>
      </c>
      <c r="D7" s="582" t="s">
        <v>980</v>
      </c>
      <c r="E7" s="582" t="s">
        <v>243</v>
      </c>
      <c r="F7" s="2967" t="s">
        <v>537</v>
      </c>
      <c r="G7" s="2967"/>
      <c r="H7" s="536" t="s">
        <v>395</v>
      </c>
      <c r="I7" s="607"/>
    </row>
    <row r="8" spans="1:9" s="649" customFormat="1" ht="24.75" customHeight="1">
      <c r="A8" s="3711" t="s">
        <v>1136</v>
      </c>
      <c r="B8" s="3711"/>
      <c r="C8" s="901">
        <f>利润!C39</f>
        <v>0</v>
      </c>
      <c r="D8" s="1118"/>
      <c r="E8" s="903">
        <f>C8+D8</f>
        <v>0</v>
      </c>
      <c r="F8" s="3580"/>
      <c r="G8" s="3580"/>
      <c r="H8" s="232" t="s">
        <v>1288</v>
      </c>
      <c r="I8" s="607"/>
    </row>
    <row r="9" spans="1:9" s="649" customFormat="1" ht="24.75" customHeight="1">
      <c r="A9" s="3563" t="s">
        <v>1137</v>
      </c>
      <c r="B9" s="3563"/>
      <c r="C9" s="518">
        <f>利润!G7</f>
        <v>0</v>
      </c>
      <c r="D9" s="1120"/>
      <c r="E9" s="525">
        <f t="shared" ref="E9:E24" si="0">C9+D9</f>
        <v>0</v>
      </c>
      <c r="F9" s="3709"/>
      <c r="G9" s="3709"/>
      <c r="H9" s="232" t="s">
        <v>642</v>
      </c>
      <c r="I9" s="607"/>
    </row>
    <row r="10" spans="1:9" s="649" customFormat="1" ht="24.75" customHeight="1">
      <c r="A10" s="3563" t="s">
        <v>1138</v>
      </c>
      <c r="B10" s="3563"/>
      <c r="C10" s="1120"/>
      <c r="D10" s="1120"/>
      <c r="E10" s="525">
        <f t="shared" si="0"/>
        <v>0</v>
      </c>
      <c r="F10" s="3709"/>
      <c r="G10" s="3709"/>
      <c r="H10" s="648"/>
      <c r="I10" s="607"/>
    </row>
    <row r="11" spans="1:9" s="649" customFormat="1" ht="24.75" customHeight="1">
      <c r="A11" s="3563" t="s">
        <v>1139</v>
      </c>
      <c r="B11" s="3563"/>
      <c r="C11" s="1120"/>
      <c r="D11" s="1120"/>
      <c r="E11" s="525">
        <f t="shared" si="0"/>
        <v>0</v>
      </c>
      <c r="F11" s="3709"/>
      <c r="G11" s="3709"/>
      <c r="H11" s="648"/>
    </row>
    <row r="12" spans="1:9" s="649" customFormat="1" ht="24.75" customHeight="1">
      <c r="A12" s="3563"/>
      <c r="B12" s="3563"/>
      <c r="C12" s="1120"/>
      <c r="D12" s="1120"/>
      <c r="E12" s="525">
        <f t="shared" si="0"/>
        <v>0</v>
      </c>
      <c r="F12" s="3709"/>
      <c r="G12" s="3709"/>
      <c r="H12" s="648"/>
    </row>
    <row r="13" spans="1:9" s="649" customFormat="1" ht="24.75" customHeight="1">
      <c r="A13" s="3563" t="s">
        <v>1140</v>
      </c>
      <c r="B13" s="3563"/>
      <c r="C13" s="525">
        <f>C8+SUM(C9:C12)</f>
        <v>0</v>
      </c>
      <c r="D13" s="525">
        <f>D8+SUM(D9:D12)</f>
        <v>0</v>
      </c>
      <c r="E13" s="525">
        <f t="shared" si="0"/>
        <v>0</v>
      </c>
      <c r="F13" s="3709"/>
      <c r="G13" s="3709"/>
      <c r="H13" s="648"/>
    </row>
    <row r="14" spans="1:9" s="649" customFormat="1" ht="24.75" customHeight="1">
      <c r="A14" s="3563" t="s">
        <v>1141</v>
      </c>
      <c r="B14" s="3563"/>
      <c r="C14" s="1120"/>
      <c r="D14" s="1120"/>
      <c r="E14" s="525">
        <f t="shared" si="0"/>
        <v>0</v>
      </c>
      <c r="F14" s="3709"/>
      <c r="G14" s="3709"/>
      <c r="H14" s="648"/>
    </row>
    <row r="15" spans="1:9" s="649" customFormat="1" ht="24.75" customHeight="1">
      <c r="A15" s="3563" t="s">
        <v>1142</v>
      </c>
      <c r="B15" s="3563"/>
      <c r="C15" s="1120"/>
      <c r="D15" s="1120"/>
      <c r="E15" s="525">
        <f t="shared" si="0"/>
        <v>0</v>
      </c>
      <c r="F15" s="3709"/>
      <c r="G15" s="3709"/>
      <c r="H15" s="648"/>
    </row>
    <row r="16" spans="1:9" s="649" customFormat="1" ht="24.75" customHeight="1">
      <c r="A16" s="3563"/>
      <c r="B16" s="3563"/>
      <c r="C16" s="1120"/>
      <c r="D16" s="1120"/>
      <c r="E16" s="525">
        <f t="shared" si="0"/>
        <v>0</v>
      </c>
      <c r="F16" s="3709"/>
      <c r="G16" s="3709"/>
      <c r="H16" s="648"/>
    </row>
    <row r="17" spans="1:8" s="649" customFormat="1" ht="24.75" customHeight="1">
      <c r="A17" s="3563"/>
      <c r="B17" s="3563"/>
      <c r="C17" s="1120"/>
      <c r="D17" s="1120"/>
      <c r="E17" s="525">
        <f t="shared" si="0"/>
        <v>0</v>
      </c>
      <c r="F17" s="3709"/>
      <c r="G17" s="3709"/>
      <c r="H17" s="648"/>
    </row>
    <row r="18" spans="1:8" s="649" customFormat="1" ht="24.75" customHeight="1">
      <c r="A18" s="3563"/>
      <c r="B18" s="3563"/>
      <c r="C18" s="1120"/>
      <c r="D18" s="1120"/>
      <c r="E18" s="525">
        <f t="shared" si="0"/>
        <v>0</v>
      </c>
      <c r="F18" s="3709"/>
      <c r="G18" s="3709"/>
      <c r="H18" s="648"/>
    </row>
    <row r="19" spans="1:8" s="649" customFormat="1" ht="24.75" customHeight="1">
      <c r="A19" s="3563" t="s">
        <v>1143</v>
      </c>
      <c r="B19" s="3563"/>
      <c r="C19" s="525">
        <f>C13-SUM(C14:C18)</f>
        <v>0</v>
      </c>
      <c r="D19" s="525">
        <f>D13-SUM(D14:D18)</f>
        <v>0</v>
      </c>
      <c r="E19" s="525">
        <f t="shared" si="0"/>
        <v>0</v>
      </c>
      <c r="F19" s="3709"/>
      <c r="G19" s="3709"/>
      <c r="H19" s="648"/>
    </row>
    <row r="20" spans="1:8" s="649" customFormat="1" ht="24.75" customHeight="1">
      <c r="A20" s="3563" t="s">
        <v>1144</v>
      </c>
      <c r="B20" s="3563"/>
      <c r="C20" s="1120"/>
      <c r="D20" s="1120"/>
      <c r="E20" s="525">
        <f t="shared" si="0"/>
        <v>0</v>
      </c>
      <c r="F20" s="3709"/>
      <c r="G20" s="3709"/>
      <c r="H20" s="648"/>
    </row>
    <row r="21" spans="1:8" s="649" customFormat="1" ht="24.75" customHeight="1">
      <c r="A21" s="3563" t="s">
        <v>1145</v>
      </c>
      <c r="B21" s="3563"/>
      <c r="C21" s="1120"/>
      <c r="D21" s="1120"/>
      <c r="E21" s="525">
        <f t="shared" si="0"/>
        <v>0</v>
      </c>
      <c r="F21" s="3709"/>
      <c r="G21" s="3709"/>
      <c r="H21" s="648"/>
    </row>
    <row r="22" spans="1:8" s="649" customFormat="1" ht="24.75" customHeight="1">
      <c r="A22" s="3563"/>
      <c r="B22" s="3563"/>
      <c r="C22" s="1120"/>
      <c r="D22" s="1120"/>
      <c r="E22" s="525">
        <f t="shared" si="0"/>
        <v>0</v>
      </c>
      <c r="F22" s="3709"/>
      <c r="G22" s="3709"/>
      <c r="H22" s="648"/>
    </row>
    <row r="23" spans="1:8" s="649" customFormat="1" ht="24.75" customHeight="1">
      <c r="A23" s="3563"/>
      <c r="B23" s="3563"/>
      <c r="C23" s="1120"/>
      <c r="D23" s="1120"/>
      <c r="E23" s="525">
        <f t="shared" si="0"/>
        <v>0</v>
      </c>
      <c r="F23" s="3709"/>
      <c r="G23" s="3709"/>
      <c r="H23" s="648"/>
    </row>
    <row r="24" spans="1:8" s="649" customFormat="1" ht="24.75" customHeight="1">
      <c r="A24" s="3563" t="s">
        <v>1146</v>
      </c>
      <c r="B24" s="3563"/>
      <c r="C24" s="823">
        <f>C19-SUM(C20:C23)</f>
        <v>0</v>
      </c>
      <c r="D24" s="823">
        <f>D19-SUM(D20:D23)</f>
        <v>0</v>
      </c>
      <c r="E24" s="823">
        <f t="shared" si="0"/>
        <v>0</v>
      </c>
      <c r="F24" s="3712"/>
      <c r="G24" s="3712"/>
      <c r="H24" s="648"/>
    </row>
    <row r="25" spans="1:8" s="744" customFormat="1" ht="24.75" customHeight="1">
      <c r="A25" s="3043" t="s">
        <v>641</v>
      </c>
      <c r="B25" s="3043"/>
      <c r="C25" s="3272" t="str">
        <f>IF(C24&lt;&gt;资产负债!H33,"期末未分配利润账载数与报表数相差"&amp;DOLLAR(C24-资产负债!H33,2)&amp;"元！","账载数与报表数相符！")</f>
        <v>账载数与报表数相符！</v>
      </c>
      <c r="D25" s="3272"/>
      <c r="E25" s="3272"/>
      <c r="F25" s="3272"/>
      <c r="G25" s="3272"/>
      <c r="H25" s="743"/>
    </row>
    <row r="26" spans="1:8" s="744" customFormat="1" ht="15" customHeight="1">
      <c r="A26" s="3046" t="s">
        <v>1323</v>
      </c>
      <c r="B26" s="3046"/>
      <c r="C26" s="3164" t="s">
        <v>1407</v>
      </c>
      <c r="D26" s="3164"/>
      <c r="E26" s="3131" t="str">
        <f>IF(OR(D13&lt;&gt;0,D19&lt;&gt;0,D24&lt;&gt;0),"、E","")</f>
        <v/>
      </c>
      <c r="F26" s="3131"/>
      <c r="G26" s="3131"/>
      <c r="H26" s="743"/>
    </row>
    <row r="27" spans="1:8" s="744" customFormat="1" ht="65.25" customHeight="1">
      <c r="A27" s="3046"/>
      <c r="B27" s="3046"/>
      <c r="C27" s="3658"/>
      <c r="D27" s="3658"/>
      <c r="E27" s="3658"/>
      <c r="F27" s="3658"/>
      <c r="G27" s="3658"/>
      <c r="H27" s="743"/>
    </row>
    <row r="28" spans="1:8" s="744" customFormat="1" ht="24.75" customHeight="1">
      <c r="A28" s="3178" t="s">
        <v>574</v>
      </c>
      <c r="B28" s="3178"/>
      <c r="C28" s="3157" t="str">
        <f>IF(OR(D13=0,D19=0,D24=0),"不存在调整事项，认可！","调整后认可！")</f>
        <v>不存在调整事项，认可！</v>
      </c>
      <c r="D28" s="3157"/>
      <c r="E28" s="3157"/>
      <c r="F28" s="3157"/>
      <c r="G28" s="3157"/>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 customHeight="1">
      <c r="A74" s="744"/>
      <c r="B74" s="744"/>
      <c r="C74" s="744"/>
      <c r="D74" s="744"/>
    </row>
  </sheetData>
  <sheetProtection selectLockedCells="1" selectUnlockedCells="1"/>
  <mergeCells count="50">
    <mergeCell ref="A28:B28"/>
    <mergeCell ref="C28:G28"/>
    <mergeCell ref="A25:B25"/>
    <mergeCell ref="C25:G25"/>
    <mergeCell ref="A26:B27"/>
    <mergeCell ref="C26:D26"/>
    <mergeCell ref="E26:G26"/>
    <mergeCell ref="C27:G27"/>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16:B16"/>
    <mergeCell ref="F16:G16"/>
    <mergeCell ref="A15:B15"/>
    <mergeCell ref="F15:G15"/>
    <mergeCell ref="A13:B13"/>
    <mergeCell ref="F13:G13"/>
    <mergeCell ref="A14:B14"/>
    <mergeCell ref="F14:G14"/>
    <mergeCell ref="A7:B7"/>
    <mergeCell ref="F7:G7"/>
    <mergeCell ref="A9:B9"/>
    <mergeCell ref="F9:G9"/>
    <mergeCell ref="A8:B8"/>
    <mergeCell ref="F8:G8"/>
    <mergeCell ref="A6:G6"/>
    <mergeCell ref="A1:G1"/>
    <mergeCell ref="A2:G2"/>
    <mergeCell ref="A3:C4"/>
    <mergeCell ref="G4:G5"/>
    <mergeCell ref="A5:C5"/>
    <mergeCell ref="A12:B12"/>
    <mergeCell ref="F12:G12"/>
    <mergeCell ref="A10:B10"/>
    <mergeCell ref="F10:G10"/>
    <mergeCell ref="A11:B11"/>
    <mergeCell ref="F11:G11"/>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5.6"/>
  <cols>
    <col min="1" max="1" width="12.19921875" style="2318" customWidth="1"/>
    <col min="2" max="2" width="6.69921875" style="2318" customWidth="1"/>
    <col min="3" max="4" width="9" style="2318"/>
    <col min="5" max="5" width="4" style="2318" customWidth="1"/>
    <col min="6" max="6" width="10.19921875" style="2318" customWidth="1"/>
    <col min="7" max="7" width="9" style="2318"/>
    <col min="8" max="8" width="16.8984375" style="2318" customWidth="1"/>
    <col min="9" max="9" width="4.19921875" style="2318" customWidth="1"/>
    <col min="10" max="16384" width="9" style="2318"/>
  </cols>
  <sheetData>
    <row r="1" spans="1:14" ht="42.75" customHeight="1">
      <c r="A1" s="2317"/>
      <c r="B1" s="2317"/>
      <c r="C1" s="2317"/>
      <c r="D1" s="2317"/>
      <c r="E1" s="2317"/>
      <c r="F1" s="2317"/>
      <c r="G1" s="2317"/>
      <c r="H1" s="2317"/>
      <c r="I1" s="2317"/>
      <c r="J1" s="2317"/>
      <c r="K1" s="2317"/>
      <c r="L1" s="2317"/>
      <c r="M1" s="2317"/>
      <c r="N1" s="2317"/>
    </row>
    <row r="2" spans="1:14" ht="69.75" customHeight="1">
      <c r="A2" s="3715">
        <f>基本情况!B2</f>
        <v>0</v>
      </c>
      <c r="B2" s="3715"/>
      <c r="C2" s="3715"/>
      <c r="D2" s="3715"/>
      <c r="E2" s="3715"/>
      <c r="F2" s="3715"/>
      <c r="G2" s="3715"/>
      <c r="H2" s="3715"/>
      <c r="I2" s="3715"/>
      <c r="J2" s="2317"/>
      <c r="K2" s="2317"/>
      <c r="L2" s="2317"/>
      <c r="M2" s="2317"/>
      <c r="N2" s="2317"/>
    </row>
    <row r="3" spans="1:14" ht="20.399999999999999">
      <c r="A3" s="2319"/>
      <c r="B3" s="2319"/>
      <c r="C3" s="2319"/>
      <c r="D3" s="2319"/>
      <c r="E3" s="2319"/>
      <c r="F3" s="2319"/>
      <c r="G3" s="2319"/>
      <c r="H3" s="2319"/>
      <c r="I3" s="2319"/>
      <c r="J3" s="2317"/>
      <c r="K3" s="2317"/>
      <c r="L3" s="2317"/>
      <c r="M3" s="2317"/>
      <c r="N3" s="2317"/>
    </row>
    <row r="4" spans="1:14" ht="22.2">
      <c r="A4" s="2791" t="str">
        <f>基本情况!B4&amp;"年度 企业所得税汇算清缴 审核报告"</f>
        <v>2016年度 企业所得税汇算清缴 审核报告</v>
      </c>
      <c r="B4" s="2791"/>
      <c r="C4" s="2791"/>
      <c r="D4" s="2791"/>
      <c r="E4" s="2791"/>
      <c r="F4" s="2791"/>
      <c r="G4" s="2791"/>
      <c r="H4" s="2791"/>
      <c r="I4" s="2791"/>
      <c r="J4" s="2317"/>
      <c r="K4" s="2317"/>
      <c r="L4" s="2317"/>
      <c r="M4" s="2317"/>
      <c r="N4" s="2317"/>
    </row>
    <row r="5" spans="1:14" ht="22.2">
      <c r="A5" s="2320"/>
      <c r="B5" s="2320"/>
      <c r="C5" s="2320"/>
      <c r="D5" s="2320"/>
      <c r="E5" s="2320"/>
      <c r="F5" s="2320"/>
      <c r="G5" s="2320"/>
      <c r="H5" s="2320"/>
      <c r="I5" s="2320"/>
      <c r="J5" s="2317"/>
      <c r="K5" s="2317"/>
      <c r="L5" s="2317"/>
      <c r="M5" s="2317"/>
      <c r="N5" s="2317"/>
    </row>
    <row r="6" spans="1:14" ht="37.950000000000003" customHeight="1">
      <c r="A6" s="2321"/>
      <c r="B6" s="2321"/>
      <c r="C6" s="2317"/>
      <c r="D6" s="2317"/>
      <c r="E6" s="2317"/>
      <c r="F6" s="2317"/>
      <c r="G6" s="2317"/>
      <c r="H6" s="2317"/>
      <c r="I6" s="2317"/>
      <c r="J6" s="2317"/>
      <c r="K6" s="2317"/>
      <c r="L6" s="2317"/>
      <c r="M6" s="2317"/>
      <c r="N6" s="2317"/>
    </row>
    <row r="7" spans="1:14" ht="28.2">
      <c r="A7" s="2321"/>
      <c r="B7" s="2321"/>
      <c r="C7" s="3714" t="s">
        <v>10048</v>
      </c>
      <c r="D7" s="3714"/>
      <c r="E7" s="2620"/>
      <c r="F7" s="2317">
        <f>基本情况!B18</f>
        <v>0</v>
      </c>
      <c r="G7" s="2317"/>
      <c r="H7" s="2317"/>
      <c r="I7" s="2317"/>
      <c r="J7" s="2317"/>
      <c r="K7" s="2317"/>
      <c r="L7" s="2317"/>
      <c r="M7" s="2317"/>
      <c r="N7" s="2317"/>
    </row>
    <row r="8" spans="1:14">
      <c r="A8"/>
      <c r="B8"/>
      <c r="C8"/>
      <c r="D8"/>
      <c r="E8"/>
      <c r="F8"/>
      <c r="G8"/>
      <c r="H8"/>
      <c r="I8"/>
      <c r="J8" s="2317"/>
      <c r="K8" s="2317"/>
      <c r="L8" s="2317"/>
      <c r="M8" s="2317"/>
      <c r="N8" s="2317"/>
    </row>
    <row r="9" spans="1:14" ht="23.4" customHeight="1">
      <c r="A9"/>
      <c r="B9"/>
      <c r="C9"/>
      <c r="D9"/>
      <c r="E9"/>
      <c r="F9"/>
      <c r="G9"/>
      <c r="H9"/>
      <c r="I9"/>
      <c r="J9" s="2317"/>
      <c r="K9" s="2317"/>
      <c r="L9" s="2317"/>
      <c r="M9" s="2317"/>
      <c r="N9" s="2317"/>
    </row>
    <row r="10" spans="1:14" ht="30.6" customHeight="1">
      <c r="A10"/>
      <c r="B10"/>
      <c r="C10" s="3716" t="s">
        <v>10056</v>
      </c>
      <c r="D10" s="3716"/>
      <c r="E10" s="2621"/>
      <c r="F10" s="2613">
        <f>基本情况!B2</f>
        <v>0</v>
      </c>
      <c r="G10"/>
      <c r="H10"/>
      <c r="I10"/>
      <c r="J10" s="2317"/>
      <c r="K10" s="2317"/>
      <c r="L10" s="2317"/>
      <c r="M10" s="2317"/>
      <c r="N10" s="2317"/>
    </row>
    <row r="11" spans="1:14" ht="30.6" customHeight="1">
      <c r="A11"/>
      <c r="B11"/>
      <c r="C11" s="3716" t="s">
        <v>10049</v>
      </c>
      <c r="D11" s="3716"/>
      <c r="E11" s="2621"/>
      <c r="F11" s="2614" t="str">
        <f>基本情况!B48</f>
        <v>0</v>
      </c>
      <c r="G11"/>
      <c r="H11"/>
      <c r="I11"/>
      <c r="J11" s="2317"/>
      <c r="K11" s="2317"/>
      <c r="L11" s="2317"/>
      <c r="M11" s="2317"/>
      <c r="N11" s="2317"/>
    </row>
    <row r="12" spans="1:14" ht="30.6" customHeight="1">
      <c r="A12"/>
      <c r="B12"/>
      <c r="C12" s="3716" t="s">
        <v>10050</v>
      </c>
      <c r="D12" s="3716"/>
      <c r="E12" s="2621"/>
      <c r="F12" s="2615" t="str">
        <f>基本情况!B8</f>
        <v>中汇百邦（厦门）税务师事务所有限公司</v>
      </c>
      <c r="G12"/>
      <c r="H12"/>
      <c r="I12"/>
      <c r="J12" s="2317"/>
      <c r="K12" s="2317"/>
      <c r="L12" s="2317"/>
      <c r="M12" s="2317"/>
      <c r="N12" s="2317"/>
    </row>
    <row r="13" spans="1:14" ht="38.4" customHeight="1">
      <c r="A13"/>
      <c r="B13"/>
      <c r="C13"/>
      <c r="D13"/>
      <c r="E13"/>
      <c r="F13"/>
      <c r="G13"/>
      <c r="H13"/>
      <c r="I13"/>
      <c r="J13" s="2317"/>
      <c r="K13" s="2317"/>
      <c r="L13" s="2317"/>
      <c r="M13" s="2317"/>
      <c r="N13" s="2317"/>
    </row>
    <row r="14" spans="1:14" ht="30" customHeight="1">
      <c r="A14"/>
      <c r="B14"/>
      <c r="C14" s="3714" t="s">
        <v>10057</v>
      </c>
      <c r="D14" s="3714"/>
      <c r="E14" s="2620"/>
      <c r="F14" t="str">
        <f>INDEX(首页!$B:$B,MATCH($F$12,首页!$B:$B,0)+10)</f>
        <v>16023</v>
      </c>
      <c r="G14"/>
      <c r="H14"/>
      <c r="I14"/>
      <c r="J14" s="2317"/>
      <c r="K14" s="2317"/>
      <c r="L14" s="2317"/>
      <c r="M14" s="2317"/>
      <c r="N14" s="2317"/>
    </row>
    <row r="15" spans="1:14" ht="30" customHeight="1">
      <c r="A15"/>
      <c r="B15"/>
      <c r="C15" s="3714" t="s">
        <v>10058</v>
      </c>
      <c r="D15" s="3714"/>
      <c r="E15" s="2620"/>
      <c r="F15">
        <f>基本情况!B11</f>
        <v>0</v>
      </c>
      <c r="G15"/>
      <c r="H15"/>
      <c r="I15"/>
      <c r="J15" s="2317"/>
      <c r="K15" s="2317"/>
      <c r="L15" s="2317"/>
      <c r="M15" s="2317"/>
      <c r="N15" s="2317"/>
    </row>
    <row r="16" spans="1:14" ht="30" customHeight="1">
      <c r="A16"/>
      <c r="B16"/>
      <c r="C16" s="3714" t="s">
        <v>10051</v>
      </c>
      <c r="D16" s="3714"/>
      <c r="E16" s="2620"/>
      <c r="F16" s="1316" t="str">
        <f>基本情况!B20</f>
        <v>2017年5月4日</v>
      </c>
      <c r="G16"/>
      <c r="H16"/>
      <c r="I16"/>
      <c r="J16" s="2317"/>
      <c r="K16" s="2317"/>
      <c r="L16" s="2317"/>
      <c r="M16" s="2317"/>
      <c r="N16" s="2317"/>
    </row>
    <row r="17" spans="1:14" ht="34.950000000000003" customHeight="1">
      <c r="A17"/>
      <c r="B17"/>
      <c r="C17"/>
      <c r="D17"/>
      <c r="E17"/>
      <c r="F17"/>
      <c r="G17"/>
      <c r="H17"/>
      <c r="I17"/>
      <c r="J17" s="2317"/>
      <c r="K17" s="2317"/>
      <c r="L17" s="2317"/>
      <c r="M17" s="2317"/>
      <c r="N17" s="2317"/>
    </row>
    <row r="18" spans="1:14" ht="32.4" customHeight="1">
      <c r="A18" s="2322"/>
      <c r="B18" s="2322"/>
      <c r="C18" s="2323"/>
      <c r="D18" s="2323"/>
      <c r="E18" s="2323"/>
      <c r="F18" s="2323"/>
      <c r="G18" s="2323"/>
      <c r="H18" s="2323"/>
      <c r="I18" s="2323"/>
      <c r="J18" s="2317"/>
      <c r="K18" s="2317"/>
      <c r="L18" s="2317"/>
      <c r="M18" s="2317"/>
      <c r="N18" s="2317"/>
    </row>
    <row r="19" spans="1:14" ht="30.6" customHeight="1">
      <c r="A19" s="2322"/>
      <c r="B19" s="3713" t="s">
        <v>10052</v>
      </c>
      <c r="C19" s="3713"/>
      <c r="D19" s="2618" t="str">
        <f>INDEX(首页!$B:$B,MATCH($F$12,首页!$B:$B,0)+16)</f>
        <v>0592-5881050</v>
      </c>
      <c r="E19" s="2618"/>
      <c r="F19" s="2619"/>
      <c r="G19" s="2619" t="s">
        <v>10078</v>
      </c>
      <c r="H19" s="2619" t="str">
        <f>INDEX(首页!$B:$B,MATCH($F$12,首页!$B:$B,0)+15)</f>
        <v>0592-5881033</v>
      </c>
      <c r="I19" s="2323"/>
      <c r="J19" s="2317"/>
      <c r="K19" s="2317"/>
      <c r="L19" s="2317"/>
      <c r="M19" s="2317"/>
      <c r="N19" s="2317"/>
    </row>
    <row r="20" spans="1:14" ht="30.6" customHeight="1">
      <c r="A20" s="2322"/>
      <c r="B20" s="3713" t="s">
        <v>10053</v>
      </c>
      <c r="C20" s="3713"/>
      <c r="D20" s="2618" t="str">
        <f>INDEX(首页!$B:$B,MATCH($F$12,首页!$B:$B,0)+17)</f>
        <v>厦门市思明区湖滨南路388号国贸大厦41楼B、C单元</v>
      </c>
      <c r="E20" s="2618"/>
      <c r="F20" s="2619"/>
      <c r="G20" s="2619"/>
      <c r="H20" s="2619"/>
      <c r="I20" s="2323"/>
      <c r="J20" s="2317"/>
      <c r="K20" s="2317"/>
      <c r="L20" s="2317"/>
      <c r="M20" s="2317"/>
      <c r="N20" s="2317"/>
    </row>
    <row r="21" spans="1:14" ht="30.6" customHeight="1">
      <c r="A21" s="2322"/>
      <c r="B21" s="3713" t="s">
        <v>10054</v>
      </c>
      <c r="C21" s="3713"/>
      <c r="D21" s="2618" t="str">
        <f>INDEX(首页!$B:$B,MATCH($F$12,首页!$B:$B,0)+13)</f>
        <v>xm-baibang@163.com</v>
      </c>
      <c r="E21" s="2618"/>
      <c r="F21" s="2619"/>
      <c r="G21" s="2619"/>
      <c r="H21" s="2619"/>
      <c r="I21" s="2323"/>
      <c r="J21" s="2317"/>
      <c r="K21" s="2317"/>
      <c r="L21" s="2317"/>
      <c r="M21" s="2317"/>
      <c r="N21" s="2317"/>
    </row>
    <row r="22" spans="1:14" ht="30.6" customHeight="1">
      <c r="A22" s="2322"/>
      <c r="B22" s="3713" t="s">
        <v>10055</v>
      </c>
      <c r="C22" s="3713"/>
      <c r="D22" s="2618" t="str">
        <f>INDEX(首页!$B:$B,MATCH($F$12,首页!$B:$B,0)+14)</f>
        <v>www.baibangcpa.com</v>
      </c>
      <c r="E22" s="2618"/>
      <c r="F22" s="2619"/>
      <c r="G22" s="2619"/>
      <c r="H22" s="2619"/>
      <c r="I22" s="2323"/>
      <c r="J22" s="2317"/>
      <c r="K22" s="2317"/>
      <c r="L22" s="2317"/>
      <c r="M22" s="2317"/>
      <c r="N22" s="2317"/>
    </row>
    <row r="23" spans="1:14">
      <c r="A23"/>
      <c r="B23"/>
      <c r="C23"/>
      <c r="D23"/>
      <c r="E23"/>
      <c r="F23"/>
      <c r="G23"/>
      <c r="H23"/>
      <c r="I23"/>
      <c r="J23" s="2317"/>
      <c r="K23" s="2317"/>
      <c r="L23" s="2317"/>
      <c r="M23" s="2317"/>
      <c r="N23" s="2317"/>
    </row>
    <row r="24" spans="1:14" ht="18" customHeight="1">
      <c r="A24"/>
      <c r="B24"/>
      <c r="C24"/>
      <c r="D24"/>
      <c r="E24"/>
      <c r="F24"/>
      <c r="G24"/>
      <c r="H24"/>
      <c r="I24"/>
      <c r="J24" s="2317"/>
      <c r="K24" s="2317"/>
      <c r="L24" s="2317"/>
      <c r="M24" s="2317"/>
      <c r="N24" s="2317"/>
    </row>
    <row r="25" spans="1:14" ht="18" customHeight="1">
      <c r="A25"/>
      <c r="B25"/>
      <c r="C25"/>
      <c r="D25"/>
      <c r="E25"/>
      <c r="F25"/>
      <c r="G25"/>
      <c r="H25"/>
      <c r="I25"/>
      <c r="J25" s="2317"/>
      <c r="K25" s="2317"/>
      <c r="L25" s="2317"/>
      <c r="M25" s="2317"/>
      <c r="N25" s="2317"/>
    </row>
    <row r="26" spans="1:14" ht="18" customHeight="1">
      <c r="A26"/>
      <c r="B26"/>
      <c r="C26"/>
      <c r="D26"/>
      <c r="E26"/>
      <c r="F26"/>
      <c r="G26"/>
      <c r="H26"/>
      <c r="I26"/>
      <c r="J26" s="2317"/>
      <c r="K26" s="2317"/>
      <c r="L26" s="2317"/>
      <c r="M26" s="2317"/>
      <c r="N26" s="2317"/>
    </row>
    <row r="27" spans="1:14" ht="18" customHeight="1">
      <c r="A27"/>
      <c r="B27"/>
      <c r="C27"/>
      <c r="D27"/>
      <c r="E27"/>
      <c r="F27"/>
      <c r="G27"/>
      <c r="H27"/>
      <c r="I27"/>
      <c r="J27" s="2317"/>
      <c r="K27" s="2317"/>
      <c r="L27" s="2317"/>
      <c r="M27" s="2317"/>
      <c r="N27" s="2317"/>
    </row>
    <row r="28" spans="1:14">
      <c r="A28"/>
      <c r="B28"/>
      <c r="C28"/>
      <c r="D28"/>
      <c r="E28"/>
      <c r="F28"/>
      <c r="G28"/>
      <c r="H28"/>
      <c r="I28"/>
      <c r="J28" s="2317"/>
      <c r="K28" s="2317"/>
      <c r="L28" s="2317"/>
      <c r="M28" s="2317"/>
      <c r="N28" s="2317"/>
    </row>
  </sheetData>
  <sheetProtection selectLockedCells="1" selectUnlockedCells="1"/>
  <mergeCells count="13">
    <mergeCell ref="A2:I2"/>
    <mergeCell ref="A4:I4"/>
    <mergeCell ref="C10:D10"/>
    <mergeCell ref="C11:D11"/>
    <mergeCell ref="C12:D12"/>
    <mergeCell ref="C7:D7"/>
    <mergeCell ref="B21:C21"/>
    <mergeCell ref="B22:C22"/>
    <mergeCell ref="C14:D14"/>
    <mergeCell ref="C15:D15"/>
    <mergeCell ref="C16:D16"/>
    <mergeCell ref="B19:C19"/>
    <mergeCell ref="B20:C2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5.6"/>
  <cols>
    <col min="1" max="1" width="6.19921875" style="2325" customWidth="1"/>
    <col min="2" max="2" width="12.3984375" style="2325" customWidth="1"/>
    <col min="3" max="3" width="12.19921875" style="2325" customWidth="1"/>
    <col min="4" max="4" width="6.19921875" style="2325" customWidth="1"/>
    <col min="5" max="5" width="4.3984375" style="2325" customWidth="1"/>
    <col min="6" max="6" width="10.19921875" style="2325" customWidth="1"/>
    <col min="7" max="7" width="13" style="2325" customWidth="1"/>
    <col min="8" max="8" width="4.3984375" style="2325" customWidth="1"/>
    <col min="9" max="9" width="9.19921875" style="2325" customWidth="1"/>
    <col min="10" max="10" width="7.3984375" style="2325" customWidth="1"/>
    <col min="11" max="11" width="24" style="2325" customWidth="1"/>
    <col min="12" max="16384" width="9" style="2325"/>
  </cols>
  <sheetData>
    <row r="1" spans="1:11" ht="18" hidden="1" customHeight="1">
      <c r="A1" s="2324"/>
      <c r="B1" s="2324"/>
      <c r="C1" s="2324"/>
      <c r="D1" s="2324"/>
      <c r="E1" s="2324"/>
      <c r="F1" s="2324"/>
      <c r="G1" s="2324"/>
      <c r="H1" s="2324"/>
      <c r="I1" s="2324"/>
      <c r="J1" s="2324"/>
      <c r="K1" s="2324"/>
    </row>
    <row r="2" spans="1:11" hidden="1">
      <c r="A2" s="2324"/>
      <c r="B2" s="2324"/>
      <c r="C2" s="2324"/>
      <c r="D2" s="2324"/>
      <c r="E2" s="2324"/>
      <c r="F2" s="2577" t="str">
        <f>基本情况!B8</f>
        <v>中汇百邦（厦门）税务师事务所有限公司</v>
      </c>
      <c r="G2" s="2324"/>
      <c r="H2" s="2324"/>
      <c r="I2" s="2324"/>
      <c r="J2" s="2324"/>
      <c r="K2" s="2324"/>
    </row>
    <row r="3" spans="1:11" ht="12" hidden="1" customHeight="1">
      <c r="A3" s="2324"/>
      <c r="B3" s="2324"/>
      <c r="C3" s="2324"/>
      <c r="D3" s="2324"/>
      <c r="E3" s="2324"/>
      <c r="F3" s="2575" t="str">
        <f>INDEX(首页!$B:$B,MATCH(报告正文!$F$2,首页!$B:$B,0)+1)</f>
        <v>地址：廈門市湖滨南路388號国贸大廈41层</v>
      </c>
      <c r="G3" s="2324"/>
      <c r="H3" s="2324"/>
      <c r="I3" s="2324"/>
      <c r="J3" s="2324"/>
      <c r="K3" s="2324"/>
    </row>
    <row r="4" spans="1:11" ht="12" hidden="1" customHeight="1">
      <c r="A4" s="2324"/>
      <c r="B4" s="2324"/>
      <c r="C4" s="2324"/>
      <c r="D4" s="2324"/>
      <c r="E4" s="2324"/>
      <c r="F4" s="2575" t="str">
        <f>INDEX(首页!$B:$B,MATCH(报告正文!$F$2,首页!$B:$B,0)+2)</f>
        <v>邮编：361004</v>
      </c>
      <c r="G4" s="2324"/>
      <c r="H4" s="2324"/>
      <c r="I4" s="2324"/>
      <c r="J4" s="2324"/>
      <c r="K4" s="2324"/>
    </row>
    <row r="5" spans="1:11" ht="12" hidden="1" customHeight="1">
      <c r="A5" s="2324"/>
      <c r="B5" s="2324"/>
      <c r="C5" s="2324"/>
      <c r="D5" s="2324"/>
      <c r="E5" s="2324"/>
      <c r="F5" s="2575" t="str">
        <f>INDEX(首页!$B:$B,MATCH(报告正文!$F$2,首页!$B:$B,0)+3)</f>
        <v>電話：（0592）5881050 5166881</v>
      </c>
      <c r="G5" s="2324"/>
      <c r="H5" s="2324"/>
      <c r="I5" s="2324"/>
      <c r="J5" s="2324"/>
      <c r="K5" s="2324"/>
    </row>
    <row r="6" spans="1:11" ht="12" hidden="1" customHeight="1">
      <c r="A6" s="2324"/>
      <c r="B6" s="2324"/>
      <c r="C6" s="2324"/>
      <c r="D6" s="2324"/>
      <c r="E6" s="2324"/>
      <c r="F6" s="2575" t="str">
        <f>INDEX(首页!$B:$B,MATCH(报告正文!$F$2,首页!$B:$B,0)+4)</f>
        <v>傳真：（0592）5881033 5882033</v>
      </c>
      <c r="G6" s="2324"/>
      <c r="H6" s="2324"/>
      <c r="I6" s="2324"/>
      <c r="J6" s="2324"/>
      <c r="K6" s="2324"/>
    </row>
    <row r="7" spans="1:11" ht="18" hidden="1" customHeight="1">
      <c r="A7" s="2324"/>
      <c r="B7" s="2324"/>
      <c r="C7" s="2324"/>
      <c r="D7" s="2324"/>
      <c r="E7" s="2576" t="str">
        <f>INDEX(首页!$B:$B,MATCH(报告正文!$F$2,首页!$B:$B,0)+5)</f>
        <v>ZhongHui BaiBang （XiaMen）Certified Tax Agents Co.,LTD.</v>
      </c>
      <c r="F7" s="2324"/>
      <c r="G7" s="2324"/>
      <c r="H7" s="2324"/>
      <c r="I7" s="2324"/>
      <c r="J7" s="2324"/>
      <c r="K7" s="2324"/>
    </row>
    <row r="8" spans="1:11" ht="10.95" hidden="1" customHeight="1">
      <c r="A8" s="2324"/>
      <c r="B8" s="2324"/>
      <c r="C8" s="2324"/>
      <c r="D8" s="2324"/>
      <c r="E8" s="2576" t="str">
        <f>INDEX(首页!$B:$B,MATCH(报告正文!$F$2,首页!$B:$B,0)+6)</f>
        <v>Guomao Building 41floor, South Hubin Road No.388,Xiamen,</v>
      </c>
      <c r="F8" s="2324"/>
      <c r="G8" s="2324"/>
      <c r="H8" s="2324"/>
      <c r="I8" s="2324"/>
      <c r="J8" s="2324"/>
      <c r="K8" s="2324"/>
    </row>
    <row r="9" spans="1:11" ht="10.95" hidden="1" customHeight="1">
      <c r="A9" s="2324"/>
      <c r="B9" s="2324"/>
      <c r="C9" s="2324"/>
      <c r="D9" s="2324"/>
      <c r="E9" s="2576" t="str">
        <f>INDEX(首页!$B:$B,MATCH(报告正文!$F$2,首页!$B:$B,0)+7)</f>
        <v xml:space="preserve">P.C：361004  </v>
      </c>
      <c r="F9" s="2324"/>
      <c r="G9" s="2324"/>
      <c r="H9" s="2324"/>
      <c r="I9" s="2324"/>
      <c r="J9" s="2324"/>
      <c r="K9" s="2324"/>
    </row>
    <row r="10" spans="1:11" ht="11.4" hidden="1" customHeight="1">
      <c r="A10" s="2324"/>
      <c r="B10" s="2324"/>
      <c r="C10" s="2324"/>
      <c r="D10" s="2324"/>
      <c r="E10" s="2576" t="str">
        <f>INDEX(首页!$B:$B,MATCH(报告正文!$F$2,首页!$B:$B,0)+8)</f>
        <v>Tel：（0592）5881050 5166881</v>
      </c>
      <c r="F10" s="2324"/>
      <c r="G10" s="2324"/>
      <c r="H10" s="2324"/>
      <c r="I10" s="2324"/>
      <c r="J10" s="2324"/>
      <c r="K10" s="2324"/>
    </row>
    <row r="11" spans="1:11" ht="10.95" hidden="1" customHeight="1">
      <c r="A11" s="2324"/>
      <c r="B11" s="2324"/>
      <c r="C11" s="2324"/>
      <c r="D11" s="2324"/>
      <c r="E11" s="2576" t="str">
        <f>INDEX(首页!$B:$B,MATCH(报告正文!$F$2,首页!$B:$B,0)+9)</f>
        <v>Fax：（0592）5881033 5882033</v>
      </c>
      <c r="F11" s="2324"/>
      <c r="G11" s="2324"/>
      <c r="H11" s="2324"/>
      <c r="I11" s="2324"/>
      <c r="J11" s="2324"/>
      <c r="K11" s="2324"/>
    </row>
    <row r="12" spans="1:11" hidden="1">
      <c r="A12" s="2324"/>
      <c r="B12" s="2324"/>
      <c r="C12" s="2324"/>
      <c r="D12" s="2324"/>
      <c r="E12" s="2324"/>
      <c r="F12" s="2324"/>
      <c r="G12" s="2324"/>
      <c r="H12" s="2324"/>
      <c r="I12" s="2324"/>
      <c r="J12" s="2324"/>
      <c r="K12" s="2324"/>
    </row>
    <row r="13" spans="1:11" ht="85.2" customHeight="1">
      <c r="A13" s="3735" t="s">
        <v>10043</v>
      </c>
      <c r="B13" s="3735"/>
      <c r="C13" s="3735"/>
      <c r="D13" s="3735"/>
      <c r="E13" s="3735"/>
      <c r="F13" s="3735"/>
      <c r="G13" s="3735"/>
      <c r="H13" s="3735"/>
      <c r="I13" s="3735"/>
      <c r="J13" s="3735"/>
      <c r="K13" s="2324"/>
    </row>
    <row r="14" spans="1:11" ht="18" customHeight="1">
      <c r="A14" s="3736">
        <f>基本情况!B18</f>
        <v>0</v>
      </c>
      <c r="B14" s="3736"/>
      <c r="C14" s="3736"/>
      <c r="D14" s="3736"/>
      <c r="E14" s="3736"/>
      <c r="F14" s="3736"/>
      <c r="G14" s="3736"/>
      <c r="H14" s="3736"/>
      <c r="I14" s="3736"/>
      <c r="J14" s="3736"/>
      <c r="K14" s="1060" t="s">
        <v>395</v>
      </c>
    </row>
    <row r="15" spans="1:11" ht="7.5" customHeight="1">
      <c r="A15" s="2326"/>
      <c r="B15" s="2327"/>
      <c r="C15" s="2327"/>
      <c r="D15" s="2327"/>
      <c r="E15" s="2327"/>
      <c r="F15" s="2327"/>
      <c r="G15" s="2327"/>
      <c r="H15" s="2327"/>
      <c r="I15" s="2327"/>
      <c r="J15" s="2327"/>
      <c r="K15" s="2328"/>
    </row>
    <row r="16" spans="1:11" s="2330" customFormat="1" ht="29.25" customHeight="1">
      <c r="A16" s="3737" t="str">
        <f>基本情况!B2&amp;"："</f>
        <v>0：</v>
      </c>
      <c r="B16" s="3737"/>
      <c r="C16" s="3737"/>
      <c r="D16" s="3737"/>
      <c r="E16" s="3737"/>
      <c r="F16" s="3737"/>
      <c r="G16" s="3737"/>
      <c r="H16" s="3737"/>
      <c r="I16" s="3737"/>
      <c r="J16" s="3737"/>
      <c r="K16" s="2329"/>
    </row>
    <row r="17" spans="1:11" s="2609" customFormat="1" ht="106.2" customHeight="1">
      <c r="A17" s="3738"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2016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38"/>
      <c r="C17" s="3738"/>
      <c r="D17" s="3738"/>
      <c r="E17" s="3738"/>
      <c r="F17" s="3738"/>
      <c r="G17" s="3738"/>
      <c r="H17" s="3738"/>
      <c r="I17" s="3738"/>
      <c r="J17" s="3738"/>
      <c r="K17" s="2608"/>
    </row>
    <row r="18" spans="1:11" s="2609" customFormat="1" ht="4.5" customHeight="1">
      <c r="A18" s="2610"/>
      <c r="B18" s="2610"/>
      <c r="C18" s="2610"/>
      <c r="D18" s="2610"/>
      <c r="E18" s="2610"/>
      <c r="F18" s="2610"/>
      <c r="G18" s="2610"/>
      <c r="H18" s="2610"/>
      <c r="I18" s="2610"/>
      <c r="J18" s="2610"/>
      <c r="K18" s="2608"/>
    </row>
    <row r="19" spans="1:11" s="2330" customFormat="1" ht="110.4" customHeight="1">
      <c r="A19" s="3739" t="s">
        <v>10044</v>
      </c>
      <c r="B19" s="3739"/>
      <c r="C19" s="3739"/>
      <c r="D19" s="3739"/>
      <c r="E19" s="3739"/>
      <c r="F19" s="3739"/>
      <c r="G19" s="3739"/>
      <c r="H19" s="3739"/>
      <c r="I19" s="3739"/>
      <c r="J19" s="3739"/>
      <c r="K19" s="2329"/>
    </row>
    <row r="20" spans="1:11" s="2609" customFormat="1" ht="4.5" customHeight="1">
      <c r="A20" s="2610"/>
      <c r="B20" s="2610"/>
      <c r="C20" s="2610"/>
      <c r="D20" s="2610"/>
      <c r="E20" s="2610"/>
      <c r="F20" s="2610"/>
      <c r="G20" s="2610"/>
      <c r="H20" s="2610"/>
      <c r="I20" s="2610"/>
      <c r="J20" s="2610"/>
      <c r="K20" s="2608"/>
    </row>
    <row r="21" spans="1:11" s="2330" customFormat="1" ht="44.4" customHeight="1">
      <c r="A21" s="3739" t="s">
        <v>9999</v>
      </c>
      <c r="B21" s="3739"/>
      <c r="C21" s="3739"/>
      <c r="D21" s="3739"/>
      <c r="E21" s="3739"/>
      <c r="F21" s="3739"/>
      <c r="G21" s="3739"/>
      <c r="H21" s="3739"/>
      <c r="I21" s="3739"/>
      <c r="J21" s="3739"/>
      <c r="K21" s="2329"/>
    </row>
    <row r="22" spans="1:11" s="2330" customFormat="1" ht="33" customHeight="1">
      <c r="A22" s="3743" t="s">
        <v>10045</v>
      </c>
      <c r="B22" s="3743"/>
      <c r="C22" s="3744"/>
      <c r="D22" s="3744"/>
      <c r="E22" s="3744"/>
      <c r="F22" s="3744"/>
      <c r="G22" s="3744"/>
      <c r="H22" s="3743"/>
      <c r="I22" s="3743"/>
      <c r="J22" s="3744"/>
      <c r="K22" s="2329"/>
    </row>
    <row r="23" spans="1:11" s="2330" customFormat="1" ht="24.75" customHeight="1">
      <c r="A23" s="3743" t="s">
        <v>10000</v>
      </c>
      <c r="B23" s="3743"/>
      <c r="C23" s="3744"/>
      <c r="D23" s="3744"/>
      <c r="E23" s="3744"/>
      <c r="F23" s="3744"/>
      <c r="G23" s="3744"/>
      <c r="H23" s="3743"/>
      <c r="I23" s="3743"/>
      <c r="J23" s="3744"/>
      <c r="K23" s="2329"/>
    </row>
    <row r="24" spans="1:11" s="2330" customFormat="1" ht="115.2" customHeight="1">
      <c r="A24" s="3740"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40"/>
      <c r="C24" s="3740"/>
      <c r="D24" s="3740"/>
      <c r="E24" s="3740"/>
      <c r="F24" s="3740"/>
      <c r="G24" s="3740"/>
      <c r="H24" s="3740"/>
      <c r="I24" s="3740"/>
      <c r="J24" s="3740"/>
      <c r="K24" s="2329"/>
    </row>
    <row r="25" spans="1:11" s="2609" customFormat="1" ht="4.5" customHeight="1">
      <c r="A25" s="2610"/>
      <c r="B25" s="2610"/>
      <c r="C25" s="2610"/>
      <c r="D25" s="2610"/>
      <c r="E25" s="2610"/>
      <c r="F25" s="2610"/>
      <c r="G25" s="2610"/>
      <c r="H25" s="2610"/>
      <c r="I25" s="2610"/>
      <c r="J25" s="2610"/>
      <c r="K25" s="2608"/>
    </row>
    <row r="26" spans="1:11" s="2330" customFormat="1" ht="24.75" customHeight="1">
      <c r="A26" s="3741" t="s">
        <v>10001</v>
      </c>
      <c r="B26" s="3741"/>
      <c r="C26" s="3741"/>
      <c r="D26" s="3741"/>
      <c r="E26" s="3741"/>
      <c r="F26" s="3741"/>
      <c r="G26" s="3741"/>
      <c r="H26" s="3741"/>
      <c r="I26" s="3741"/>
      <c r="J26" s="3741"/>
      <c r="K26" s="2329"/>
    </row>
    <row r="27" spans="1:11" s="2330" customFormat="1" ht="68.400000000000006" customHeight="1">
      <c r="A27" s="3740" t="s">
        <v>10046</v>
      </c>
      <c r="B27" s="3740"/>
      <c r="C27" s="3740"/>
      <c r="D27" s="3740"/>
      <c r="E27" s="3740"/>
      <c r="F27" s="3740"/>
      <c r="G27" s="3740"/>
      <c r="H27" s="3740"/>
      <c r="I27" s="3740"/>
      <c r="J27" s="3740"/>
      <c r="K27" s="2329"/>
    </row>
    <row r="28" spans="1:11" s="2609" customFormat="1" ht="4.5" customHeight="1">
      <c r="A28" s="2610"/>
      <c r="B28" s="2610"/>
      <c r="C28" s="2610"/>
      <c r="D28" s="2610"/>
      <c r="E28" s="2610"/>
      <c r="F28" s="2610"/>
      <c r="G28" s="2610"/>
      <c r="H28" s="2610"/>
      <c r="I28" s="2610"/>
      <c r="J28" s="2610"/>
      <c r="K28" s="2608"/>
    </row>
    <row r="29" spans="1:11" s="2330" customFormat="1" ht="24.75" customHeight="1">
      <c r="A29" s="3742" t="s">
        <v>10002</v>
      </c>
      <c r="B29" s="3742"/>
      <c r="C29" s="3742"/>
      <c r="D29" s="3742"/>
      <c r="E29" s="3742"/>
      <c r="F29" s="3742"/>
      <c r="G29" s="3742"/>
      <c r="H29" s="3742"/>
      <c r="I29" s="3742"/>
      <c r="J29" s="3742"/>
      <c r="K29" s="2329"/>
    </row>
    <row r="30" spans="1:11" s="2330" customFormat="1" ht="66" customHeight="1">
      <c r="A30" s="3733" t="s">
        <v>10003</v>
      </c>
      <c r="B30" s="3733"/>
      <c r="C30" s="3733"/>
      <c r="D30" s="3733"/>
      <c r="E30" s="3733"/>
      <c r="F30" s="3733"/>
      <c r="G30" s="3733"/>
      <c r="H30" s="3733"/>
      <c r="I30" s="3733"/>
      <c r="J30" s="3733"/>
      <c r="K30" s="2329"/>
    </row>
    <row r="31" spans="1:11" s="2609" customFormat="1" ht="4.5" customHeight="1">
      <c r="A31" s="2610"/>
      <c r="B31" s="2610"/>
      <c r="C31" s="2610"/>
      <c r="D31" s="2610"/>
      <c r="E31" s="2610"/>
      <c r="F31" s="2610"/>
      <c r="G31" s="2610"/>
      <c r="H31" s="2610"/>
      <c r="I31" s="2610"/>
      <c r="J31" s="2610"/>
      <c r="K31" s="2608"/>
    </row>
    <row r="32" spans="1:11" s="2330" customFormat="1" ht="22.2" customHeight="1">
      <c r="A32" s="3734" t="str">
        <f>"    经对贵单位"&amp;基本情况!B4&amp;"年度企业所得税汇算清缴纳税申报进行审核，我们确认："</f>
        <v xml:space="preserve">    经对贵单位2016年度企业所得税汇算清缴纳税申报进行审核，我们确认：</v>
      </c>
      <c r="B32" s="3734"/>
      <c r="C32" s="3734"/>
      <c r="D32" s="3734"/>
      <c r="E32" s="3734"/>
      <c r="F32" s="3734"/>
      <c r="G32" s="3734"/>
      <c r="H32" s="3734"/>
      <c r="I32" s="3734"/>
      <c r="J32" s="3734"/>
      <c r="K32" s="2329"/>
    </row>
    <row r="33" spans="1:11" s="2332" customFormat="1" ht="16.95" hidden="1" customHeight="1">
      <c r="A33" s="2333"/>
      <c r="B33" s="2333"/>
      <c r="C33" s="2333"/>
      <c r="D33" s="2333"/>
      <c r="E33" s="2333"/>
      <c r="F33" s="2333"/>
      <c r="G33" s="2333"/>
      <c r="H33" s="2333"/>
      <c r="I33" s="2333"/>
      <c r="J33" s="2333"/>
      <c r="K33" s="2331"/>
    </row>
    <row r="34" spans="1:11" s="2332" customFormat="1" ht="11.4" customHeight="1">
      <c r="A34" s="2578"/>
      <c r="B34" s="3732"/>
      <c r="C34" s="3732"/>
      <c r="D34" s="3732"/>
      <c r="E34" s="3732"/>
      <c r="F34" s="3732"/>
      <c r="G34" s="3732"/>
      <c r="H34" s="3732"/>
      <c r="I34" s="3732"/>
      <c r="J34" s="3732"/>
      <c r="K34" s="2331"/>
    </row>
    <row r="35" spans="1:11" s="2332" customFormat="1" ht="18" customHeight="1">
      <c r="A35" s="2578"/>
      <c r="B35" s="3717" t="s">
        <v>10004</v>
      </c>
      <c r="C35" s="3717"/>
      <c r="D35" s="3717"/>
      <c r="E35" s="3717"/>
      <c r="F35" s="3717"/>
      <c r="G35" s="3718">
        <f>'A100000中华人民共和国企业所得税年度纳税申报表（A类）'!D16</f>
        <v>0</v>
      </c>
      <c r="H35" s="3718"/>
      <c r="I35" s="2582" t="s">
        <v>10030</v>
      </c>
      <c r="J35" s="2583"/>
      <c r="K35" s="2316" t="s">
        <v>648</v>
      </c>
    </row>
    <row r="36" spans="1:11" s="2332" customFormat="1" ht="18" customHeight="1">
      <c r="A36" s="2578"/>
      <c r="B36" s="3717" t="s">
        <v>10005</v>
      </c>
      <c r="C36" s="3717"/>
      <c r="D36" s="3717"/>
      <c r="E36" s="3717"/>
      <c r="F36" s="3717"/>
      <c r="G36" s="3718">
        <f>'A100000中华人民共和国企业所得税年度纳税申报表（A类）'!D17</f>
        <v>0</v>
      </c>
      <c r="H36" s="3718"/>
      <c r="I36" s="2582" t="s">
        <v>10030</v>
      </c>
      <c r="J36" s="2583"/>
      <c r="K36" s="2331"/>
    </row>
    <row r="37" spans="1:11" s="2332" customFormat="1" ht="18" customHeight="1">
      <c r="A37" s="2578"/>
      <c r="B37" s="3717" t="s">
        <v>10006</v>
      </c>
      <c r="C37" s="3717"/>
      <c r="D37" s="3717"/>
      <c r="E37" s="3717"/>
      <c r="F37" s="3717"/>
      <c r="G37" s="3718">
        <f ca="1">'A100000中华人民共和国企业所得税年度纳税申报表（A类）'!D18</f>
        <v>0</v>
      </c>
      <c r="H37" s="3718"/>
      <c r="I37" s="2582" t="s">
        <v>10030</v>
      </c>
      <c r="J37" s="2583"/>
      <c r="K37" s="2316" t="s">
        <v>642</v>
      </c>
    </row>
    <row r="38" spans="1:11" s="2332" customFormat="1" ht="18" customHeight="1">
      <c r="A38" s="2578"/>
      <c r="B38" s="3717" t="s">
        <v>10007</v>
      </c>
      <c r="C38" s="3717"/>
      <c r="D38" s="3717"/>
      <c r="E38" s="3717"/>
      <c r="F38" s="3717"/>
      <c r="G38" s="3718">
        <f ca="1">'A100000中华人民共和国企业所得税年度纳税申报表（A类）'!D19</f>
        <v>0</v>
      </c>
      <c r="H38" s="3718"/>
      <c r="I38" s="2582" t="s">
        <v>10030</v>
      </c>
      <c r="J38" s="2583"/>
      <c r="K38" s="2331"/>
    </row>
    <row r="39" spans="1:11" s="2332" customFormat="1" ht="18" customHeight="1">
      <c r="A39" s="2578"/>
      <c r="B39" s="3717" t="s">
        <v>10008</v>
      </c>
      <c r="C39" s="3717"/>
      <c r="D39" s="3717"/>
      <c r="E39" s="3717"/>
      <c r="F39" s="3717"/>
      <c r="G39" s="3718">
        <f>'A100000中华人民共和国企业所得税年度纳税申报表（A类）'!D20</f>
        <v>0</v>
      </c>
      <c r="H39" s="3718"/>
      <c r="I39" s="2582" t="s">
        <v>10030</v>
      </c>
      <c r="J39" s="2583"/>
      <c r="K39" s="493" t="s">
        <v>1291</v>
      </c>
    </row>
    <row r="40" spans="1:11" s="2332" customFormat="1" ht="18" customHeight="1">
      <c r="A40" s="2578"/>
      <c r="B40" s="3717" t="s">
        <v>10009</v>
      </c>
      <c r="C40" s="3717"/>
      <c r="D40" s="3717"/>
      <c r="E40" s="3717"/>
      <c r="F40" s="3717"/>
      <c r="G40" s="3718">
        <f ca="1">'A100000中华人民共和国企业所得税年度纳税申报表（A类）'!D21</f>
        <v>0</v>
      </c>
      <c r="H40" s="3718"/>
      <c r="I40" s="2582" t="s">
        <v>10030</v>
      </c>
      <c r="J40" s="2583"/>
      <c r="K40" s="2331"/>
    </row>
    <row r="41" spans="1:11" s="2332" customFormat="1" ht="18" customHeight="1">
      <c r="A41" s="2578"/>
      <c r="B41" s="3717" t="s">
        <v>10010</v>
      </c>
      <c r="C41" s="3717"/>
      <c r="D41" s="3717"/>
      <c r="E41" s="3717"/>
      <c r="F41" s="3717"/>
      <c r="G41" s="3718">
        <f ca="1">'A100000中华人民共和国企业所得税年度纳税申报表（A类）'!D22</f>
        <v>0</v>
      </c>
      <c r="H41" s="3718"/>
      <c r="I41" s="2582" t="s">
        <v>10030</v>
      </c>
      <c r="J41" s="2583"/>
      <c r="K41" s="2331"/>
    </row>
    <row r="42" spans="1:11" s="2332" customFormat="1" ht="18" customHeight="1">
      <c r="A42" s="2578"/>
      <c r="B42" s="3717" t="s">
        <v>10011</v>
      </c>
      <c r="C42" s="3717"/>
      <c r="D42" s="3717"/>
      <c r="E42" s="3717"/>
      <c r="F42" s="3717"/>
      <c r="G42" s="3718">
        <f ca="1">'A100000中华人民共和国企业所得税年度纳税申报表（A类）'!D23</f>
        <v>0</v>
      </c>
      <c r="H42" s="3718"/>
      <c r="I42" s="2582" t="s">
        <v>10030</v>
      </c>
      <c r="J42" s="2583"/>
      <c r="K42" s="2331"/>
    </row>
    <row r="43" spans="1:11" s="2332" customFormat="1" ht="18" customHeight="1">
      <c r="A43" s="2578"/>
      <c r="B43" s="3717" t="s">
        <v>10012</v>
      </c>
      <c r="C43" s="3717"/>
      <c r="D43" s="3717"/>
      <c r="E43" s="3717"/>
      <c r="F43" s="3717"/>
      <c r="G43" s="3718">
        <f ca="1">'A100000中华人民共和国企业所得税年度纳税申报表（A类）'!D24</f>
        <v>0</v>
      </c>
      <c r="H43" s="3718"/>
      <c r="I43" s="2582" t="s">
        <v>10030</v>
      </c>
      <c r="J43" s="2583"/>
      <c r="K43" s="2331"/>
    </row>
    <row r="44" spans="1:11" s="2332" customFormat="1" ht="18" customHeight="1">
      <c r="A44" s="2578"/>
      <c r="B44" s="3717" t="s">
        <v>10013</v>
      </c>
      <c r="C44" s="3717"/>
      <c r="D44" s="3717"/>
      <c r="E44" s="3717"/>
      <c r="F44" s="3717"/>
      <c r="G44" s="3718">
        <f ca="1">'A100000中华人民共和国企业所得税年度纳税申报表（A类）'!D25</f>
        <v>0</v>
      </c>
      <c r="H44" s="3718"/>
      <c r="I44" s="2582" t="s">
        <v>10030</v>
      </c>
      <c r="J44" s="2583"/>
      <c r="K44" s="2331"/>
    </row>
    <row r="45" spans="1:11" s="2332" customFormat="1" ht="18" customHeight="1">
      <c r="A45" s="2578"/>
      <c r="B45" s="3717" t="s">
        <v>10014</v>
      </c>
      <c r="C45" s="3717"/>
      <c r="D45" s="3717"/>
      <c r="E45" s="3717"/>
      <c r="F45" s="3717"/>
      <c r="G45" s="3718">
        <f ca="1">'A100000中华人民共和国企业所得税年度纳税申报表（A类）'!D26</f>
        <v>0</v>
      </c>
      <c r="H45" s="3718"/>
      <c r="I45" s="2582" t="s">
        <v>10030</v>
      </c>
      <c r="J45" s="2583"/>
      <c r="K45" s="2331"/>
    </row>
    <row r="46" spans="1:11" s="2332" customFormat="1" ht="18" customHeight="1">
      <c r="A46" s="2578"/>
      <c r="B46" s="3717" t="s">
        <v>10015</v>
      </c>
      <c r="C46" s="3717"/>
      <c r="D46" s="3717"/>
      <c r="E46" s="3717"/>
      <c r="F46" s="3717"/>
      <c r="G46" s="3719">
        <f>'A100000中华人民共和国企业所得税年度纳税申报表（A类）'!D27</f>
        <v>0.25</v>
      </c>
      <c r="H46" s="3719"/>
      <c r="I46" s="2582"/>
      <c r="J46" s="2584"/>
      <c r="K46" s="2331"/>
    </row>
    <row r="47" spans="1:11" s="2332" customFormat="1" ht="18" customHeight="1">
      <c r="A47" s="2578"/>
      <c r="B47" s="3717" t="s">
        <v>10016</v>
      </c>
      <c r="C47" s="3717"/>
      <c r="D47" s="3717"/>
      <c r="E47" s="3717"/>
      <c r="F47" s="3717"/>
      <c r="G47" s="3718">
        <f ca="1">'A100000中华人民共和国企业所得税年度纳税申报表（A类）'!D28</f>
        <v>0</v>
      </c>
      <c r="H47" s="3718"/>
      <c r="I47" s="2582" t="s">
        <v>10030</v>
      </c>
      <c r="J47" s="2583"/>
      <c r="K47" s="2331"/>
    </row>
    <row r="48" spans="1:11" s="2332" customFormat="1" ht="18" customHeight="1">
      <c r="A48" s="2578"/>
      <c r="B48" s="3717" t="s">
        <v>10017</v>
      </c>
      <c r="C48" s="3717"/>
      <c r="D48" s="3717"/>
      <c r="E48" s="3717"/>
      <c r="F48" s="3717"/>
      <c r="G48" s="3718">
        <f ca="1">'A100000中华人民共和国企业所得税年度纳税申报表（A类）'!D29</f>
        <v>0</v>
      </c>
      <c r="H48" s="3718"/>
      <c r="I48" s="2582" t="s">
        <v>10030</v>
      </c>
      <c r="J48" s="2583"/>
      <c r="K48" s="2334"/>
    </row>
    <row r="49" spans="1:10" s="2332" customFormat="1" ht="18" customHeight="1">
      <c r="A49" s="2578"/>
      <c r="B49" s="3717" t="s">
        <v>10018</v>
      </c>
      <c r="C49" s="3717"/>
      <c r="D49" s="3717"/>
      <c r="E49" s="3717"/>
      <c r="F49" s="3717"/>
      <c r="G49" s="3718">
        <f ca="1">'A100000中华人民共和国企业所得税年度纳税申报表（A类）'!D30</f>
        <v>0</v>
      </c>
      <c r="H49" s="3718"/>
      <c r="I49" s="2582" t="s">
        <v>10030</v>
      </c>
      <c r="J49" s="2583"/>
    </row>
    <row r="50" spans="1:10" s="2332" customFormat="1" ht="18" customHeight="1">
      <c r="A50" s="2578"/>
      <c r="B50" s="3717" t="s">
        <v>10019</v>
      </c>
      <c r="C50" s="3717"/>
      <c r="D50" s="3717"/>
      <c r="E50" s="3717"/>
      <c r="F50" s="3717"/>
      <c r="G50" s="3718">
        <f ca="1">'A100000中华人民共和国企业所得税年度纳税申报表（A类）'!D31</f>
        <v>0</v>
      </c>
      <c r="H50" s="3718"/>
      <c r="I50" s="2582" t="s">
        <v>10030</v>
      </c>
      <c r="J50" s="2583"/>
    </row>
    <row r="51" spans="1:10" s="2332" customFormat="1" ht="18" customHeight="1">
      <c r="A51" s="2578"/>
      <c r="B51" s="3717" t="s">
        <v>10020</v>
      </c>
      <c r="C51" s="3717"/>
      <c r="D51" s="3717"/>
      <c r="E51" s="3717"/>
      <c r="F51" s="3717"/>
      <c r="G51" s="3718">
        <f>'A100000中华人民共和国企业所得税年度纳税申报表（A类）'!D32</f>
        <v>0</v>
      </c>
      <c r="H51" s="3718"/>
      <c r="I51" s="2582" t="s">
        <v>10030</v>
      </c>
      <c r="J51" s="2583"/>
    </row>
    <row r="52" spans="1:10" s="2332" customFormat="1" ht="18" customHeight="1">
      <c r="A52" s="2578"/>
      <c r="B52" s="3717" t="s">
        <v>10021</v>
      </c>
      <c r="C52" s="3717"/>
      <c r="D52" s="3717"/>
      <c r="E52" s="3717"/>
      <c r="F52" s="3717"/>
      <c r="G52" s="3718">
        <f>'A100000中华人民共和国企业所得税年度纳税申报表（A类）'!D33</f>
        <v>0</v>
      </c>
      <c r="H52" s="3718"/>
      <c r="I52" s="2582" t="s">
        <v>10030</v>
      </c>
      <c r="J52" s="2583"/>
    </row>
    <row r="53" spans="1:10" s="2332" customFormat="1" ht="18" customHeight="1">
      <c r="A53" s="2578"/>
      <c r="B53" s="3717" t="s">
        <v>10022</v>
      </c>
      <c r="C53" s="3717"/>
      <c r="D53" s="3717"/>
      <c r="E53" s="3717"/>
      <c r="F53" s="3717"/>
      <c r="G53" s="3718">
        <f ca="1">'A100000中华人民共和国企业所得税年度纳税申报表（A类）'!D34</f>
        <v>0</v>
      </c>
      <c r="H53" s="3718"/>
      <c r="I53" s="2582" t="s">
        <v>10030</v>
      </c>
      <c r="J53" s="2583"/>
    </row>
    <row r="54" spans="1:10" s="2332" customFormat="1" ht="18" customHeight="1">
      <c r="A54" s="2578"/>
      <c r="B54" s="3717" t="s">
        <v>10023</v>
      </c>
      <c r="C54" s="3717"/>
      <c r="D54" s="3717"/>
      <c r="E54" s="3717"/>
      <c r="F54" s="3717"/>
      <c r="G54" s="3718">
        <f>'A100000中华人民共和国企业所得税年度纳税申报表（A类）'!D35</f>
        <v>0</v>
      </c>
      <c r="H54" s="3718"/>
      <c r="I54" s="2582" t="s">
        <v>10030</v>
      </c>
      <c r="J54" s="2583"/>
    </row>
    <row r="55" spans="1:10" s="2332" customFormat="1" ht="18" customHeight="1">
      <c r="A55" s="2578"/>
      <c r="B55" s="3717" t="s">
        <v>10024</v>
      </c>
      <c r="C55" s="3717"/>
      <c r="D55" s="3717"/>
      <c r="E55" s="3717"/>
      <c r="F55" s="3717"/>
      <c r="G55" s="3718">
        <f ca="1">'A100000中华人民共和国企业所得税年度纳税申报表（A类）'!D36</f>
        <v>0</v>
      </c>
      <c r="H55" s="3718"/>
      <c r="I55" s="2582" t="s">
        <v>10030</v>
      </c>
      <c r="J55" s="2583"/>
    </row>
    <row r="56" spans="1:10" s="2332" customFormat="1" ht="18" customHeight="1">
      <c r="A56" s="2578"/>
      <c r="B56" s="3717" t="s">
        <v>10025</v>
      </c>
      <c r="C56" s="3717"/>
      <c r="D56" s="3717"/>
      <c r="E56" s="3717"/>
      <c r="F56" s="3717"/>
      <c r="G56" s="3718">
        <f>'A100000中华人民共和国企业所得税年度纳税申报表（A类）'!D37</f>
        <v>0</v>
      </c>
      <c r="H56" s="3718"/>
      <c r="I56" s="2582" t="s">
        <v>10030</v>
      </c>
      <c r="J56" s="2585"/>
    </row>
    <row r="57" spans="1:10" s="2332" customFormat="1" ht="18" customHeight="1">
      <c r="A57" s="2578"/>
      <c r="B57" s="3717" t="s">
        <v>10026</v>
      </c>
      <c r="C57" s="3717"/>
      <c r="D57" s="3717"/>
      <c r="E57" s="3717"/>
      <c r="F57" s="3717"/>
      <c r="G57" s="3718">
        <f>'A100000中华人民共和国企业所得税年度纳税申报表（A类）'!D38</f>
        <v>0</v>
      </c>
      <c r="H57" s="3718"/>
      <c r="I57" s="2582" t="s">
        <v>10030</v>
      </c>
      <c r="J57" s="2585"/>
    </row>
    <row r="58" spans="1:10" s="2332" customFormat="1" ht="18" customHeight="1">
      <c r="A58" s="2578"/>
      <c r="B58" s="3717" t="s">
        <v>10027</v>
      </c>
      <c r="C58" s="3717"/>
      <c r="D58" s="3717"/>
      <c r="E58" s="3717"/>
      <c r="F58" s="3717"/>
      <c r="G58" s="3718">
        <f>'A100000中华人民共和国企业所得税年度纳税申报表（A类）'!D39</f>
        <v>0</v>
      </c>
      <c r="H58" s="3718"/>
      <c r="I58" s="2582" t="s">
        <v>10030</v>
      </c>
      <c r="J58" s="2585"/>
    </row>
    <row r="59" spans="1:10" s="2332" customFormat="1" ht="18" customHeight="1">
      <c r="A59" s="2578"/>
      <c r="B59" s="3717" t="s">
        <v>10028</v>
      </c>
      <c r="C59" s="3717"/>
      <c r="D59" s="3717"/>
      <c r="E59" s="3717"/>
      <c r="F59" s="3717"/>
      <c r="G59" s="3718">
        <f>'A100000中华人民共和国企业所得税年度纳税申报表（A类）'!D40</f>
        <v>0</v>
      </c>
      <c r="H59" s="3718"/>
      <c r="I59" s="2582" t="s">
        <v>10030</v>
      </c>
      <c r="J59" s="2585"/>
    </row>
    <row r="60" spans="1:10" s="2332" customFormat="1" ht="18" customHeight="1">
      <c r="A60" s="2578"/>
      <c r="B60" s="3717" t="s">
        <v>10029</v>
      </c>
      <c r="C60" s="3717"/>
      <c r="D60" s="3717"/>
      <c r="E60" s="3717"/>
      <c r="F60" s="3717"/>
      <c r="G60" s="3718">
        <f>'A100000中华人民共和国企业所得税年度纳税申报表（A类）'!D41</f>
        <v>0</v>
      </c>
      <c r="H60" s="3718"/>
      <c r="I60" s="2582" t="s">
        <v>10030</v>
      </c>
      <c r="J60" s="2585"/>
    </row>
    <row r="61" spans="1:10" s="2332" customFormat="1" ht="10.95" customHeight="1">
      <c r="A61" s="3723"/>
      <c r="B61" s="3723"/>
      <c r="C61" s="3723"/>
      <c r="D61" s="3723"/>
      <c r="E61" s="3723"/>
      <c r="F61" s="3723"/>
      <c r="G61" s="3723"/>
      <c r="H61" s="3723"/>
      <c r="I61" s="3723"/>
      <c r="J61" s="3723"/>
    </row>
    <row r="62" spans="1:10" s="2332" customFormat="1" ht="25.95" customHeight="1">
      <c r="A62" s="3729" t="s">
        <v>10031</v>
      </c>
      <c r="B62" s="3729"/>
      <c r="C62" s="3729"/>
      <c r="D62" s="3729"/>
      <c r="E62" s="3729"/>
      <c r="F62" s="3729"/>
      <c r="G62" s="3729"/>
      <c r="H62" s="3729"/>
      <c r="I62" s="3729"/>
      <c r="J62" s="3729"/>
    </row>
    <row r="63" spans="1:10" ht="10.95" customHeight="1">
      <c r="A63" s="3730"/>
      <c r="B63" s="3730"/>
      <c r="C63" s="3730"/>
      <c r="D63" s="3730"/>
      <c r="E63" s="3730"/>
      <c r="F63" s="3730"/>
      <c r="G63" s="3730"/>
      <c r="H63" s="3730"/>
      <c r="I63" s="3730"/>
      <c r="J63" s="3730"/>
    </row>
    <row r="64" spans="1:10" ht="29.4" customHeight="1">
      <c r="A64" s="2586"/>
      <c r="B64" s="3726" t="s">
        <v>10032</v>
      </c>
      <c r="C64" s="3727"/>
      <c r="D64" s="3727"/>
      <c r="E64" s="2587"/>
      <c r="F64" s="2612" t="str">
        <f>IF(基本情况!B8="中汇百邦（厦门）税务师事务所有限公司","陈元庆","陈金盾")</f>
        <v>陈元庆</v>
      </c>
      <c r="G64" s="2588"/>
      <c r="H64" s="2589"/>
      <c r="I64" s="2589"/>
      <c r="J64" s="2589"/>
    </row>
    <row r="65" spans="1:10" ht="20.399999999999999" customHeight="1">
      <c r="A65" s="2590"/>
      <c r="B65" s="2590"/>
      <c r="C65" s="2590"/>
      <c r="D65" s="2591"/>
      <c r="E65" s="2591"/>
      <c r="F65" s="2592"/>
      <c r="G65" s="2593"/>
      <c r="H65" s="2594"/>
      <c r="I65" s="2594"/>
      <c r="J65" s="2594"/>
    </row>
    <row r="66" spans="1:10" ht="17.399999999999999">
      <c r="A66" s="2592"/>
      <c r="B66" s="3728" t="s">
        <v>10042</v>
      </c>
      <c r="C66" s="3727"/>
      <c r="D66" s="3727"/>
      <c r="E66" s="2595"/>
      <c r="F66" s="2592">
        <f>基本情况!B11</f>
        <v>0</v>
      </c>
      <c r="G66" s="2596"/>
      <c r="H66" s="2597"/>
      <c r="I66" s="2597"/>
      <c r="J66" s="2597"/>
    </row>
    <row r="67" spans="1:10" ht="22.2" customHeight="1">
      <c r="A67" s="2598"/>
      <c r="B67" s="2598"/>
      <c r="C67" s="2598"/>
      <c r="D67" s="2591"/>
      <c r="E67" s="2591"/>
      <c r="F67" s="2591"/>
      <c r="G67" s="2599"/>
      <c r="H67" s="2600"/>
      <c r="I67" s="2600"/>
      <c r="J67" s="2600"/>
    </row>
    <row r="68" spans="1:10" ht="19.95" customHeight="1">
      <c r="A68" s="2598"/>
      <c r="B68" s="2595" t="s">
        <v>7742</v>
      </c>
      <c r="C68" s="2595"/>
      <c r="D68" s="2601"/>
      <c r="E68" s="3720" t="s">
        <v>10047</v>
      </c>
      <c r="F68" s="3720"/>
      <c r="G68" s="3720"/>
      <c r="H68" s="2600"/>
      <c r="I68" s="2600"/>
      <c r="J68" s="2600"/>
    </row>
    <row r="69" spans="1:10" ht="22.95" customHeight="1">
      <c r="A69" s="3721" t="s">
        <v>10033</v>
      </c>
      <c r="B69" s="3722"/>
      <c r="C69" s="3722"/>
      <c r="D69" s="2591"/>
      <c r="E69" s="3721" t="s">
        <v>10034</v>
      </c>
      <c r="F69" s="3722"/>
      <c r="G69" s="3722"/>
      <c r="H69" s="2600"/>
      <c r="I69" s="2600"/>
      <c r="J69" s="2600"/>
    </row>
    <row r="70" spans="1:10" ht="13.2" customHeight="1">
      <c r="A70" s="2598"/>
      <c r="B70" s="2598"/>
      <c r="C70" s="2598"/>
      <c r="D70" s="2591"/>
      <c r="E70" s="2591"/>
      <c r="G70" s="2599"/>
      <c r="H70" s="2602"/>
      <c r="I70" s="2602"/>
      <c r="J70" s="2602"/>
    </row>
    <row r="71" spans="1:10" ht="17.399999999999999">
      <c r="A71" s="2598"/>
      <c r="B71" s="2598"/>
      <c r="C71" s="2598"/>
      <c r="D71" s="2591"/>
      <c r="E71" s="2591"/>
      <c r="F71" s="2603"/>
      <c r="G71" s="2611" t="str">
        <f>基本情况!B20</f>
        <v>2017年5月4日</v>
      </c>
      <c r="H71" s="2602"/>
      <c r="I71" s="2602"/>
      <c r="J71" s="2602"/>
    </row>
    <row r="72" spans="1:10" ht="18.600000000000001" customHeight="1">
      <c r="A72" s="3731" t="s">
        <v>10035</v>
      </c>
      <c r="B72" s="3724"/>
      <c r="C72" s="3724"/>
      <c r="D72" s="3724"/>
      <c r="E72" s="3724"/>
      <c r="F72" s="3724"/>
      <c r="G72" s="3724"/>
      <c r="H72" s="2604"/>
      <c r="I72" s="2604"/>
      <c r="J72" s="2335"/>
    </row>
    <row r="73" spans="1:10" ht="18.600000000000001" customHeight="1">
      <c r="A73" s="3731" t="s">
        <v>10036</v>
      </c>
      <c r="B73" s="3724"/>
      <c r="C73" s="3724"/>
      <c r="D73" s="3724"/>
      <c r="E73" s="3724"/>
      <c r="F73" s="3724"/>
      <c r="G73" s="3724"/>
      <c r="H73" s="2604"/>
      <c r="I73" s="2604"/>
      <c r="J73" s="2335"/>
    </row>
    <row r="74" spans="1:10" ht="18.600000000000001" customHeight="1">
      <c r="A74" s="3731" t="s">
        <v>10037</v>
      </c>
      <c r="B74" s="3724"/>
      <c r="C74" s="3724"/>
      <c r="D74" s="3724"/>
      <c r="E74" s="3724"/>
      <c r="F74" s="3724"/>
      <c r="G74" s="3724"/>
      <c r="H74" s="2605"/>
      <c r="I74" s="2605"/>
      <c r="J74" s="2579"/>
    </row>
    <row r="75" spans="1:10" ht="18.600000000000001" customHeight="1">
      <c r="A75" s="3724" t="s">
        <v>10038</v>
      </c>
      <c r="B75" s="3725"/>
      <c r="C75" s="3724"/>
      <c r="D75" s="3724"/>
      <c r="E75" s="3724"/>
      <c r="F75" s="3724"/>
      <c r="G75" s="3724"/>
      <c r="H75" s="2605"/>
      <c r="I75" s="2605"/>
      <c r="J75" s="2579"/>
    </row>
    <row r="76" spans="1:10" ht="18.600000000000001" customHeight="1">
      <c r="A76" s="3724" t="s">
        <v>10039</v>
      </c>
      <c r="B76" s="3725"/>
      <c r="C76" s="3724"/>
      <c r="D76" s="3724"/>
      <c r="E76" s="3724"/>
      <c r="F76" s="3724"/>
      <c r="G76" s="3724"/>
      <c r="H76" s="2605"/>
      <c r="I76" s="2605"/>
      <c r="J76" s="2579"/>
    </row>
    <row r="77" spans="1:10" ht="18.600000000000001" customHeight="1">
      <c r="A77" s="3724" t="s">
        <v>10040</v>
      </c>
      <c r="B77" s="3725"/>
      <c r="C77" s="3724"/>
      <c r="D77" s="3724"/>
      <c r="E77" s="3724"/>
      <c r="F77" s="3724"/>
      <c r="G77" s="3724"/>
      <c r="H77" s="2606"/>
      <c r="I77" s="2606"/>
      <c r="J77" s="2580"/>
    </row>
    <row r="78" spans="1:10" ht="18.600000000000001" customHeight="1">
      <c r="A78" s="3724" t="s">
        <v>10041</v>
      </c>
      <c r="B78" s="3725"/>
      <c r="C78" s="3724"/>
      <c r="D78" s="3724"/>
      <c r="E78" s="3724"/>
      <c r="F78" s="3724"/>
      <c r="G78" s="3724"/>
      <c r="H78" s="2607"/>
      <c r="I78" s="2607"/>
      <c r="J78" s="2581"/>
    </row>
    <row r="79" spans="1:10">
      <c r="A79" s="2335"/>
      <c r="B79" s="2335"/>
      <c r="C79" s="2335"/>
      <c r="D79" s="2335"/>
      <c r="E79" s="2335"/>
      <c r="F79" s="2335"/>
      <c r="G79" s="2335"/>
      <c r="H79" s="2335"/>
      <c r="I79" s="2335"/>
      <c r="J79" s="2335"/>
    </row>
    <row r="80" spans="1:10">
      <c r="A80" s="2335"/>
      <c r="B80" s="2335"/>
      <c r="C80" s="2335"/>
      <c r="D80" s="2335"/>
      <c r="E80" s="2335"/>
      <c r="F80" s="2335"/>
      <c r="G80" s="2335"/>
      <c r="H80" s="2335"/>
      <c r="I80" s="2335"/>
      <c r="J80" s="2335"/>
    </row>
    <row r="81" spans="1:10">
      <c r="A81" s="2335"/>
      <c r="B81" s="2335"/>
      <c r="C81" s="2335"/>
      <c r="D81" s="2335"/>
      <c r="E81" s="2335"/>
      <c r="F81" s="2335"/>
      <c r="G81" s="2335"/>
      <c r="H81" s="2335"/>
      <c r="I81" s="2335"/>
      <c r="J81" s="2335"/>
    </row>
    <row r="82" spans="1:10">
      <c r="A82" s="2335"/>
      <c r="B82" s="2335"/>
      <c r="C82" s="2335"/>
      <c r="D82" s="2335"/>
      <c r="E82" s="2335"/>
      <c r="F82" s="2335"/>
      <c r="G82" s="2335"/>
      <c r="H82" s="2335"/>
      <c r="I82" s="2335"/>
      <c r="J82" s="2335"/>
    </row>
    <row r="83" spans="1:10">
      <c r="A83" s="2335"/>
      <c r="B83" s="2335"/>
      <c r="C83" s="2335"/>
      <c r="D83" s="2335"/>
      <c r="E83" s="2335"/>
      <c r="F83" s="2335"/>
      <c r="G83" s="2335"/>
      <c r="H83" s="2335"/>
      <c r="I83" s="2335"/>
      <c r="J83" s="2335"/>
    </row>
    <row r="84" spans="1:10">
      <c r="A84" s="2335"/>
      <c r="B84" s="2335"/>
      <c r="C84" s="2335"/>
      <c r="D84" s="2335"/>
      <c r="E84" s="2335"/>
      <c r="F84" s="2335"/>
      <c r="G84" s="2335"/>
      <c r="H84" s="2335"/>
      <c r="I84" s="2335"/>
      <c r="J84" s="2335"/>
    </row>
    <row r="85" spans="1:10">
      <c r="A85" s="2335"/>
      <c r="B85" s="2335"/>
      <c r="C85" s="2335"/>
      <c r="D85" s="2335"/>
      <c r="E85" s="2335"/>
      <c r="F85" s="2335"/>
      <c r="G85" s="2335"/>
      <c r="H85" s="2335"/>
      <c r="I85" s="2335"/>
      <c r="J85" s="2335"/>
    </row>
    <row r="86" spans="1:10">
      <c r="A86" s="2335"/>
      <c r="B86" s="2335"/>
      <c r="C86" s="2335"/>
      <c r="D86" s="2335"/>
      <c r="E86" s="2335"/>
      <c r="F86" s="2335"/>
      <c r="G86" s="2335"/>
      <c r="H86" s="2335"/>
      <c r="I86" s="2335"/>
      <c r="J86" s="2335"/>
    </row>
    <row r="87" spans="1:10">
      <c r="A87" s="2335"/>
      <c r="B87" s="2335"/>
      <c r="C87" s="2335"/>
      <c r="D87" s="2335"/>
      <c r="E87" s="2335"/>
      <c r="F87" s="2335"/>
      <c r="G87" s="2335"/>
      <c r="H87" s="2335"/>
      <c r="I87" s="2335"/>
      <c r="J87" s="2335"/>
    </row>
    <row r="88" spans="1:10">
      <c r="A88" s="2335"/>
      <c r="B88" s="2335"/>
      <c r="C88" s="2335"/>
      <c r="D88" s="2335"/>
      <c r="E88" s="2335"/>
      <c r="F88" s="2335"/>
      <c r="G88" s="2335"/>
      <c r="H88" s="2335"/>
      <c r="I88" s="2335"/>
      <c r="J88" s="2335"/>
    </row>
    <row r="89" spans="1:10">
      <c r="A89" s="2335"/>
      <c r="B89" s="2335"/>
      <c r="C89" s="2335"/>
      <c r="D89" s="2335"/>
      <c r="E89" s="2335"/>
      <c r="F89" s="2335"/>
      <c r="G89" s="2335"/>
      <c r="H89" s="2335"/>
      <c r="I89" s="2335"/>
      <c r="J89" s="2335"/>
    </row>
    <row r="90" spans="1:10">
      <c r="A90" s="2335"/>
      <c r="B90" s="2335"/>
      <c r="C90" s="2335"/>
      <c r="D90" s="2335"/>
      <c r="E90" s="2335"/>
      <c r="F90" s="2335"/>
      <c r="G90" s="2335"/>
      <c r="H90" s="2335"/>
      <c r="I90" s="2335"/>
      <c r="J90" s="2335"/>
    </row>
    <row r="91" spans="1:10">
      <c r="A91" s="2335"/>
      <c r="B91" s="2335"/>
      <c r="C91" s="2335"/>
      <c r="D91" s="2335"/>
      <c r="E91" s="2335"/>
      <c r="F91" s="2335"/>
      <c r="G91" s="2335"/>
      <c r="H91" s="2335"/>
      <c r="I91" s="2335"/>
      <c r="J91" s="2335"/>
    </row>
    <row r="92" spans="1:10">
      <c r="A92" s="2335"/>
      <c r="B92" s="2335"/>
      <c r="C92" s="2335"/>
      <c r="D92" s="2335"/>
      <c r="E92" s="2335"/>
      <c r="F92" s="2335"/>
      <c r="G92" s="2335"/>
      <c r="H92" s="2335"/>
      <c r="I92" s="2335"/>
      <c r="J92" s="2335"/>
    </row>
    <row r="93" spans="1:10">
      <c r="A93" s="2335"/>
      <c r="B93" s="2335"/>
      <c r="C93" s="2335"/>
      <c r="D93" s="2335"/>
      <c r="E93" s="2335"/>
      <c r="F93" s="2335"/>
      <c r="G93" s="2335"/>
      <c r="H93" s="2335"/>
      <c r="I93" s="2335"/>
      <c r="J93" s="2335"/>
    </row>
    <row r="94" spans="1:10">
      <c r="A94" s="2335"/>
      <c r="B94" s="2335"/>
      <c r="C94" s="2335"/>
      <c r="D94" s="2335"/>
      <c r="E94" s="2335"/>
      <c r="F94" s="2335"/>
      <c r="G94" s="2335"/>
      <c r="H94" s="2335"/>
      <c r="I94" s="2335"/>
      <c r="J94" s="2335"/>
    </row>
    <row r="95" spans="1:10">
      <c r="A95" s="2335"/>
      <c r="B95" s="2335"/>
      <c r="C95" s="2335"/>
      <c r="D95" s="2335"/>
      <c r="E95" s="2335"/>
      <c r="F95" s="2335"/>
      <c r="G95" s="2335"/>
      <c r="H95" s="2335"/>
      <c r="I95" s="2335"/>
      <c r="J95" s="2335"/>
    </row>
    <row r="96" spans="1:10">
      <c r="A96" s="2335"/>
      <c r="B96" s="2335"/>
      <c r="C96" s="2335"/>
      <c r="D96" s="2335"/>
      <c r="E96" s="2335"/>
      <c r="F96" s="2335"/>
      <c r="G96" s="2335"/>
      <c r="H96" s="2335"/>
      <c r="I96" s="2335"/>
      <c r="J96" s="2335"/>
    </row>
    <row r="97" spans="1:10">
      <c r="A97" s="2335"/>
      <c r="B97" s="2335"/>
      <c r="C97" s="2335"/>
      <c r="D97" s="2335"/>
      <c r="E97" s="2335"/>
      <c r="F97" s="2335"/>
      <c r="G97" s="2335"/>
      <c r="H97" s="2335"/>
      <c r="I97" s="2335"/>
      <c r="J97" s="2335"/>
    </row>
    <row r="98" spans="1:10">
      <c r="A98" s="2335"/>
      <c r="B98" s="2335"/>
      <c r="C98" s="2335"/>
      <c r="D98" s="2335"/>
      <c r="E98" s="2335"/>
      <c r="F98" s="2335"/>
      <c r="G98" s="2335"/>
      <c r="H98" s="2335"/>
      <c r="I98" s="2335"/>
      <c r="J98" s="2335"/>
    </row>
    <row r="99" spans="1:10">
      <c r="A99" s="2335"/>
      <c r="B99" s="2335"/>
      <c r="C99" s="2335"/>
      <c r="D99" s="2335"/>
      <c r="E99" s="2335"/>
      <c r="F99" s="2335"/>
      <c r="G99" s="2335"/>
      <c r="H99" s="2335"/>
      <c r="I99" s="2335"/>
      <c r="J99" s="2335"/>
    </row>
    <row r="100" spans="1:10">
      <c r="A100" s="2335"/>
      <c r="B100" s="2335"/>
      <c r="C100" s="2335"/>
      <c r="D100" s="2335"/>
      <c r="E100" s="2335"/>
      <c r="F100" s="2335"/>
      <c r="G100" s="2335"/>
      <c r="H100" s="2335"/>
      <c r="I100" s="2335"/>
      <c r="J100" s="2335"/>
    </row>
    <row r="101" spans="1:10">
      <c r="A101" s="2335"/>
      <c r="B101" s="2335"/>
      <c r="C101" s="2335"/>
      <c r="D101" s="2335"/>
      <c r="E101" s="2335"/>
      <c r="F101" s="2335"/>
      <c r="G101" s="2335"/>
      <c r="H101" s="2335"/>
      <c r="I101" s="2335"/>
      <c r="J101" s="2335"/>
    </row>
    <row r="102" spans="1:10">
      <c r="A102" s="2335"/>
      <c r="B102" s="2335"/>
      <c r="C102" s="2335"/>
      <c r="D102" s="2335"/>
      <c r="E102" s="2335"/>
      <c r="F102" s="2335"/>
      <c r="G102" s="2335"/>
      <c r="H102" s="2335"/>
      <c r="I102" s="2335"/>
      <c r="J102" s="2335"/>
    </row>
    <row r="103" spans="1:10">
      <c r="A103" s="2335"/>
      <c r="B103" s="2335"/>
      <c r="C103" s="2335"/>
      <c r="D103" s="2335"/>
      <c r="E103" s="2335"/>
      <c r="F103" s="2335"/>
      <c r="G103" s="2335"/>
      <c r="H103" s="2335"/>
      <c r="I103" s="2335"/>
      <c r="J103" s="2335"/>
    </row>
    <row r="104" spans="1:10">
      <c r="A104" s="2335"/>
      <c r="B104" s="2335"/>
      <c r="C104" s="2335"/>
      <c r="D104" s="2335"/>
      <c r="E104" s="2335"/>
      <c r="F104" s="2335"/>
      <c r="G104" s="2335"/>
      <c r="H104" s="2335"/>
      <c r="I104" s="2335"/>
      <c r="J104" s="2335"/>
    </row>
    <row r="105" spans="1:10">
      <c r="A105" s="2335"/>
      <c r="B105" s="2335"/>
      <c r="C105" s="2335"/>
      <c r="D105" s="2335"/>
      <c r="E105" s="2335"/>
      <c r="F105" s="2335"/>
      <c r="G105" s="2335"/>
      <c r="H105" s="2335"/>
      <c r="I105" s="2335"/>
      <c r="J105" s="2335"/>
    </row>
    <row r="106" spans="1:10">
      <c r="A106" s="2335"/>
      <c r="B106" s="2335"/>
      <c r="C106" s="2335"/>
      <c r="D106" s="2335"/>
      <c r="E106" s="2335"/>
      <c r="F106" s="2335"/>
      <c r="G106" s="2335"/>
      <c r="H106" s="2335"/>
      <c r="I106" s="2335"/>
      <c r="J106" s="2335"/>
    </row>
    <row r="107" spans="1:10">
      <c r="A107" s="2335"/>
      <c r="B107" s="2335"/>
      <c r="C107" s="2335"/>
      <c r="D107" s="2335"/>
      <c r="E107" s="2335"/>
      <c r="F107" s="2335"/>
      <c r="G107" s="2335"/>
      <c r="H107" s="2335"/>
      <c r="I107" s="2335"/>
      <c r="J107" s="2335"/>
    </row>
    <row r="108" spans="1:10">
      <c r="A108" s="2335"/>
      <c r="B108" s="2335"/>
      <c r="C108" s="2335"/>
      <c r="D108" s="2335"/>
      <c r="E108" s="2335"/>
      <c r="F108" s="2335"/>
      <c r="G108" s="2335"/>
      <c r="H108" s="2335"/>
      <c r="I108" s="2335"/>
      <c r="J108" s="2335"/>
    </row>
    <row r="109" spans="1:10">
      <c r="A109" s="2335"/>
      <c r="B109" s="2335"/>
      <c r="C109" s="2335"/>
      <c r="D109" s="2335"/>
      <c r="E109" s="2335"/>
      <c r="F109" s="2335"/>
      <c r="G109" s="2335"/>
      <c r="H109" s="2335"/>
      <c r="I109" s="2335"/>
      <c r="J109" s="2335"/>
    </row>
    <row r="110" spans="1:10">
      <c r="A110" s="2335"/>
      <c r="B110" s="2335"/>
      <c r="C110" s="2335"/>
      <c r="D110" s="2335"/>
      <c r="E110" s="2335"/>
      <c r="F110" s="2335"/>
      <c r="G110" s="2335"/>
      <c r="H110" s="2335"/>
      <c r="I110" s="2335"/>
      <c r="J110" s="2335"/>
    </row>
    <row r="111" spans="1:10">
      <c r="A111" s="2335"/>
      <c r="B111" s="2335"/>
      <c r="C111" s="2335"/>
      <c r="D111" s="2335"/>
      <c r="E111" s="2335"/>
      <c r="F111" s="2335"/>
      <c r="G111" s="2335"/>
      <c r="H111" s="2335"/>
      <c r="I111" s="2335"/>
      <c r="J111" s="2335"/>
    </row>
    <row r="112" spans="1:10">
      <c r="A112" s="2335"/>
      <c r="B112" s="2335"/>
      <c r="C112" s="2335"/>
      <c r="D112" s="2335"/>
      <c r="E112" s="2335"/>
      <c r="F112" s="2335"/>
      <c r="G112" s="2335"/>
      <c r="H112" s="2335"/>
      <c r="I112" s="2335"/>
      <c r="J112" s="2335"/>
    </row>
    <row r="113" spans="1:10">
      <c r="A113" s="2335"/>
      <c r="B113" s="2335"/>
      <c r="C113" s="2335"/>
      <c r="D113" s="2335"/>
      <c r="E113" s="2335"/>
      <c r="F113" s="2335"/>
      <c r="G113" s="2335"/>
      <c r="H113" s="2335"/>
      <c r="I113" s="2335"/>
      <c r="J113" s="2335"/>
    </row>
    <row r="114" spans="1:10">
      <c r="A114" s="2335"/>
      <c r="B114" s="2335"/>
      <c r="C114" s="2335"/>
      <c r="D114" s="2335"/>
      <c r="E114" s="2335"/>
      <c r="F114" s="2335"/>
      <c r="G114" s="2335"/>
      <c r="H114" s="2335"/>
      <c r="I114" s="2335"/>
      <c r="J114" s="2335"/>
    </row>
    <row r="115" spans="1:10">
      <c r="A115" s="2335"/>
      <c r="B115" s="2335"/>
      <c r="C115" s="2335"/>
      <c r="D115" s="2335"/>
      <c r="E115" s="2335"/>
      <c r="F115" s="2335"/>
      <c r="G115" s="2335"/>
      <c r="H115" s="2335"/>
      <c r="I115" s="2335"/>
      <c r="J115" s="2335"/>
    </row>
    <row r="116" spans="1:10">
      <c r="A116" s="2335"/>
      <c r="B116" s="2335"/>
      <c r="C116" s="2335"/>
      <c r="D116" s="2335"/>
      <c r="E116" s="2335"/>
      <c r="F116" s="2335"/>
      <c r="G116" s="2335"/>
      <c r="H116" s="2335"/>
      <c r="I116" s="2335"/>
      <c r="J116" s="2335"/>
    </row>
    <row r="117" spans="1:10">
      <c r="A117" s="2335"/>
      <c r="B117" s="2335"/>
      <c r="C117" s="2335"/>
      <c r="D117" s="2335"/>
      <c r="E117" s="2335"/>
      <c r="F117" s="2335"/>
      <c r="G117" s="2335"/>
      <c r="H117" s="2335"/>
      <c r="I117" s="2335"/>
      <c r="J117" s="2335"/>
    </row>
    <row r="118" spans="1:10">
      <c r="A118" s="2335"/>
      <c r="B118" s="2335"/>
      <c r="C118" s="2335"/>
      <c r="D118" s="2335"/>
      <c r="E118" s="2335"/>
      <c r="F118" s="2335"/>
      <c r="G118" s="2335"/>
      <c r="H118" s="2335"/>
      <c r="I118" s="2335"/>
      <c r="J118" s="2335"/>
    </row>
    <row r="119" spans="1:10">
      <c r="A119" s="2335"/>
      <c r="B119" s="2335"/>
      <c r="C119" s="2335"/>
      <c r="D119" s="2335"/>
      <c r="E119" s="2335"/>
      <c r="F119" s="2335"/>
      <c r="G119" s="2335"/>
      <c r="H119" s="2335"/>
      <c r="I119" s="2335"/>
      <c r="J119" s="2335"/>
    </row>
    <row r="120" spans="1:10">
      <c r="A120" s="2335"/>
      <c r="B120" s="2335"/>
      <c r="C120" s="2335"/>
      <c r="D120" s="2335"/>
      <c r="E120" s="2335"/>
      <c r="F120" s="2335"/>
      <c r="G120" s="2335"/>
      <c r="H120" s="2335"/>
      <c r="I120" s="2335"/>
      <c r="J120" s="2335"/>
    </row>
    <row r="121" spans="1:10">
      <c r="A121" s="2335"/>
      <c r="B121" s="2335"/>
      <c r="C121" s="2335"/>
      <c r="D121" s="2335"/>
      <c r="E121" s="2335"/>
      <c r="F121" s="2335"/>
      <c r="G121" s="2335"/>
      <c r="H121" s="2335"/>
      <c r="I121" s="2335"/>
      <c r="J121" s="2335"/>
    </row>
    <row r="122" spans="1:10">
      <c r="A122" s="2335"/>
      <c r="B122" s="2335"/>
      <c r="C122" s="2335"/>
      <c r="D122" s="2335"/>
      <c r="E122" s="2335"/>
      <c r="F122" s="2335"/>
      <c r="G122" s="2335"/>
      <c r="H122" s="2335"/>
      <c r="I122" s="2335"/>
      <c r="J122" s="2335"/>
    </row>
    <row r="123" spans="1:10">
      <c r="A123" s="2335"/>
      <c r="B123" s="2335"/>
      <c r="C123" s="2335"/>
      <c r="D123" s="2335"/>
      <c r="E123" s="2335"/>
      <c r="F123" s="2335"/>
      <c r="G123" s="2335"/>
      <c r="H123" s="2335"/>
      <c r="I123" s="2335"/>
      <c r="J123" s="2335"/>
    </row>
    <row r="124" spans="1:10">
      <c r="A124" s="2335"/>
      <c r="B124" s="2335"/>
      <c r="C124" s="2335"/>
      <c r="D124" s="2335"/>
      <c r="E124" s="2335"/>
      <c r="F124" s="2335"/>
      <c r="G124" s="2335"/>
      <c r="H124" s="2335"/>
      <c r="I124" s="2335"/>
      <c r="J124" s="2335"/>
    </row>
    <row r="125" spans="1:10">
      <c r="A125" s="2335"/>
      <c r="B125" s="2335"/>
      <c r="C125" s="2335"/>
      <c r="D125" s="2335"/>
      <c r="E125" s="2335"/>
      <c r="F125" s="2335"/>
      <c r="G125" s="2335"/>
      <c r="H125" s="2335"/>
      <c r="I125" s="2335"/>
      <c r="J125" s="2335"/>
    </row>
    <row r="126" spans="1:10">
      <c r="A126" s="2335"/>
      <c r="B126" s="2335"/>
      <c r="C126" s="2335"/>
      <c r="D126" s="2335"/>
      <c r="E126" s="2335"/>
      <c r="F126" s="2335"/>
      <c r="G126" s="2335"/>
      <c r="H126" s="2335"/>
      <c r="I126" s="2335"/>
      <c r="J126" s="2335"/>
    </row>
  </sheetData>
  <sheetProtection selectLockedCells="1" selectUnlockedCells="1"/>
  <mergeCells count="85">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 ref="B36:F36"/>
    <mergeCell ref="B37:F37"/>
    <mergeCell ref="B38:F38"/>
    <mergeCell ref="B34:F34"/>
    <mergeCell ref="G34:J34"/>
    <mergeCell ref="B35:F35"/>
    <mergeCell ref="G38:H38"/>
    <mergeCell ref="G35:H35"/>
    <mergeCell ref="G36:H36"/>
    <mergeCell ref="G37:H37"/>
    <mergeCell ref="B42:F42"/>
    <mergeCell ref="B43:F43"/>
    <mergeCell ref="B44:F44"/>
    <mergeCell ref="B39:F39"/>
    <mergeCell ref="B40:F40"/>
    <mergeCell ref="B41:F41"/>
    <mergeCell ref="B45:F45"/>
    <mergeCell ref="B46:F46"/>
    <mergeCell ref="B47:F47"/>
    <mergeCell ref="B48:F48"/>
    <mergeCell ref="B49:F49"/>
    <mergeCell ref="A77:G77"/>
    <mergeCell ref="A78:G78"/>
    <mergeCell ref="B64:D64"/>
    <mergeCell ref="B66:D66"/>
    <mergeCell ref="A62:J62"/>
    <mergeCell ref="A63:J63"/>
    <mergeCell ref="A72:G72"/>
    <mergeCell ref="A73:G73"/>
    <mergeCell ref="A74:G74"/>
    <mergeCell ref="A75:G75"/>
    <mergeCell ref="A76:G76"/>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B59:F59"/>
    <mergeCell ref="B60:F60"/>
    <mergeCell ref="G56:H56"/>
    <mergeCell ref="G57:H57"/>
    <mergeCell ref="G58:H58"/>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5.6"/>
  <cols>
    <col min="1" max="1" width="6.8984375" style="48" customWidth="1"/>
    <col min="2" max="2" width="5.19921875" style="48" customWidth="1"/>
    <col min="3" max="3" width="9.09765625" style="48" customWidth="1"/>
    <col min="4" max="4" width="4.8984375" style="48" customWidth="1"/>
    <col min="5" max="5" width="13.59765625" style="48" customWidth="1"/>
    <col min="6" max="6" width="8.5" style="48" customWidth="1"/>
    <col min="7" max="7" width="2" style="48" customWidth="1"/>
    <col min="8" max="8" width="10.69921875" style="48" customWidth="1"/>
    <col min="9" max="9" width="3" style="48" customWidth="1"/>
    <col min="10" max="10" width="11.5" style="48" customWidth="1"/>
    <col min="11" max="11" width="11.19921875" style="48" customWidth="1"/>
    <col min="12" max="12" width="49.8984375" style="2338" customWidth="1"/>
    <col min="13" max="16384" width="9" style="2338"/>
  </cols>
  <sheetData>
    <row r="1" spans="1:12" ht="25.5" customHeight="1">
      <c r="A1" s="3760" t="s">
        <v>6977</v>
      </c>
      <c r="B1" s="3760"/>
      <c r="C1" s="2336"/>
      <c r="D1" s="2336"/>
      <c r="E1" s="2336"/>
      <c r="F1" s="2336"/>
      <c r="G1" s="2336"/>
      <c r="H1" s="2336"/>
      <c r="I1" s="2336"/>
      <c r="J1" s="2336"/>
      <c r="K1" s="2336"/>
      <c r="L1" s="2337"/>
    </row>
    <row r="2" spans="1:12" ht="41.25" customHeight="1">
      <c r="A2" s="2729" t="s">
        <v>6978</v>
      </c>
      <c r="B2" s="2729"/>
      <c r="C2" s="2729"/>
      <c r="D2" s="2729"/>
      <c r="E2" s="2729"/>
      <c r="F2" s="2729"/>
      <c r="G2" s="2729"/>
      <c r="H2" s="2729"/>
      <c r="I2" s="2729"/>
      <c r="J2" s="2729"/>
      <c r="K2" s="2729"/>
      <c r="L2" s="2337"/>
    </row>
    <row r="3" spans="1:12" ht="21" customHeight="1">
      <c r="A3" s="3077" t="str">
        <f>"报告文号："&amp;基本情况!B18</f>
        <v>报告文号：</v>
      </c>
      <c r="B3" s="3077"/>
      <c r="C3" s="3077"/>
      <c r="D3" s="3077"/>
      <c r="E3" s="3077"/>
      <c r="F3" s="3077"/>
      <c r="G3" s="3761" t="str">
        <f>"索引号："&amp;档案索引!A24</f>
        <v>索引号：2A-4</v>
      </c>
      <c r="H3" s="3761"/>
      <c r="I3" s="3761"/>
      <c r="J3" s="3762" t="s">
        <v>6979</v>
      </c>
      <c r="K3" s="3762"/>
      <c r="L3" s="2337"/>
    </row>
    <row r="4" spans="1:12" s="2340" customFormat="1" ht="24" customHeight="1">
      <c r="A4" s="3758" t="s">
        <v>6980</v>
      </c>
      <c r="B4" s="3758"/>
      <c r="C4" s="3759">
        <f>基本情况!B2</f>
        <v>0</v>
      </c>
      <c r="D4" s="3759"/>
      <c r="E4" s="3759"/>
      <c r="F4" s="3759"/>
      <c r="G4" s="2981" t="s">
        <v>427</v>
      </c>
      <c r="H4" s="2981"/>
      <c r="I4" s="2981"/>
      <c r="J4" s="3752">
        <f>基本情况!B41</f>
        <v>0</v>
      </c>
      <c r="K4" s="3752"/>
      <c r="L4" s="2339" t="s">
        <v>395</v>
      </c>
    </row>
    <row r="5" spans="1:12" s="2340" customFormat="1" ht="24" customHeight="1">
      <c r="A5" s="3758"/>
      <c r="B5" s="3758"/>
      <c r="C5" s="3759"/>
      <c r="D5" s="3759"/>
      <c r="E5" s="3759"/>
      <c r="F5" s="3759"/>
      <c r="G5" s="2981" t="s">
        <v>428</v>
      </c>
      <c r="H5" s="2981"/>
      <c r="I5" s="2981"/>
      <c r="J5" s="3752">
        <f>基本情况!B42</f>
        <v>0</v>
      </c>
      <c r="K5" s="3752"/>
      <c r="L5" s="2316" t="s">
        <v>62</v>
      </c>
    </row>
    <row r="6" spans="1:12" s="2340" customFormat="1" ht="24" customHeight="1">
      <c r="A6" s="3753" t="s">
        <v>6981</v>
      </c>
      <c r="B6" s="3753"/>
      <c r="C6" s="3757">
        <f>基本情况!B31</f>
        <v>0</v>
      </c>
      <c r="D6" s="3757"/>
      <c r="E6" s="3757"/>
      <c r="F6" s="3757"/>
      <c r="G6" s="2981" t="s">
        <v>408</v>
      </c>
      <c r="H6" s="2981"/>
      <c r="I6" s="2981"/>
      <c r="J6" s="3755">
        <f>IF(基本情况!B34="","",基本情况!B34)</f>
        <v>0</v>
      </c>
      <c r="K6" s="3755"/>
      <c r="L6" s="2341"/>
    </row>
    <row r="7" spans="1:12" s="2340" customFormat="1" ht="24" customHeight="1">
      <c r="A7" s="3753"/>
      <c r="B7" s="3753"/>
      <c r="C7" s="3757"/>
      <c r="D7" s="3757"/>
      <c r="E7" s="3757"/>
      <c r="F7" s="3757"/>
      <c r="G7" s="2981" t="s">
        <v>407</v>
      </c>
      <c r="H7" s="2981"/>
      <c r="I7" s="2981"/>
      <c r="J7" s="3755">
        <f>IF(基本情况!B33="","",基本情况!B33)</f>
        <v>0</v>
      </c>
      <c r="K7" s="3755"/>
      <c r="L7" s="2341"/>
    </row>
    <row r="8" spans="1:12" s="2340" customFormat="1" ht="24" customHeight="1">
      <c r="A8" s="2981" t="s">
        <v>424</v>
      </c>
      <c r="B8" s="2981"/>
      <c r="C8" s="3755" t="e">
        <f>IF(基本情况!B39="","",基本情况!B39)</f>
        <v>#N/A</v>
      </c>
      <c r="D8" s="3755"/>
      <c r="E8" s="3755"/>
      <c r="F8" s="3755"/>
      <c r="G8" s="2981" t="s">
        <v>432</v>
      </c>
      <c r="H8" s="2981"/>
      <c r="I8" s="2981"/>
      <c r="J8" s="3755">
        <f>基本情况!B47</f>
        <v>0</v>
      </c>
      <c r="K8" s="3755"/>
      <c r="L8" s="2341"/>
    </row>
    <row r="9" spans="1:12" s="2340" customFormat="1" ht="24" customHeight="1">
      <c r="A9" s="3756" t="s">
        <v>426</v>
      </c>
      <c r="B9" s="3756"/>
      <c r="C9" s="3755" t="e">
        <f>IF(基本情况!B40="","",基本情况!B40)</f>
        <v>#N/A</v>
      </c>
      <c r="D9" s="3755"/>
      <c r="E9" s="3755"/>
      <c r="F9" s="3755"/>
      <c r="G9" s="2981"/>
      <c r="H9" s="2981"/>
      <c r="I9" s="2981"/>
      <c r="J9" s="3755"/>
      <c r="K9" s="3755"/>
      <c r="L9" s="2341"/>
    </row>
    <row r="10" spans="1:12" s="2340" customFormat="1" ht="24" customHeight="1">
      <c r="A10" s="2981" t="s">
        <v>6982</v>
      </c>
      <c r="B10" s="2981"/>
      <c r="C10" s="3754" t="s">
        <v>6983</v>
      </c>
      <c r="D10" s="3754"/>
      <c r="E10" s="2342">
        <f>IF(基本情况!B45="","",基本情况!B45)</f>
        <v>0</v>
      </c>
      <c r="F10" s="2981" t="s">
        <v>1624</v>
      </c>
      <c r="G10" s="2981"/>
      <c r="H10" s="2981"/>
      <c r="I10" s="2981"/>
      <c r="J10" s="3755" t="str">
        <f>IF(基本情况!B48="","",基本情况!B48)</f>
        <v>0</v>
      </c>
      <c r="K10" s="3755"/>
      <c r="L10" s="2341"/>
    </row>
    <row r="11" spans="1:12" s="2340" customFormat="1" ht="24" customHeight="1">
      <c r="A11" s="2981"/>
      <c r="B11" s="2981"/>
      <c r="C11" s="3754" t="s">
        <v>6984</v>
      </c>
      <c r="D11" s="3754"/>
      <c r="E11" s="2343">
        <f>IF(基本情况!B44="","",基本情况!B44)</f>
        <v>0</v>
      </c>
      <c r="F11" s="2981" t="s">
        <v>6985</v>
      </c>
      <c r="G11" s="2981"/>
      <c r="H11" s="2981"/>
      <c r="I11" s="2981"/>
      <c r="J11" s="3755">
        <f>基本情况!B43</f>
        <v>0</v>
      </c>
      <c r="K11" s="3755"/>
      <c r="L11" s="2341"/>
    </row>
    <row r="12" spans="1:12" s="2340" customFormat="1" ht="75.75" customHeight="1">
      <c r="A12" s="2981" t="s">
        <v>431</v>
      </c>
      <c r="B12" s="2981"/>
      <c r="C12" s="3751">
        <f>基本情况!B46</f>
        <v>0</v>
      </c>
      <c r="D12" s="3751"/>
      <c r="E12" s="3751"/>
      <c r="F12" s="3751"/>
      <c r="G12" s="3751"/>
      <c r="H12" s="3751"/>
      <c r="I12" s="3751"/>
      <c r="J12" s="3751"/>
      <c r="K12" s="3751"/>
      <c r="L12" s="2341"/>
    </row>
    <row r="13" spans="1:12" s="2340" customFormat="1" ht="21" customHeight="1">
      <c r="A13" s="2981" t="s">
        <v>418</v>
      </c>
      <c r="B13" s="2981"/>
      <c r="C13" s="3752">
        <f>基本情况!B35</f>
        <v>0</v>
      </c>
      <c r="D13" s="3752"/>
      <c r="E13" s="3752"/>
      <c r="F13" s="3753" t="s">
        <v>419</v>
      </c>
      <c r="G13" s="3753"/>
      <c r="H13" s="3752">
        <f>基本情况!B36</f>
        <v>0</v>
      </c>
      <c r="I13" s="3752"/>
      <c r="J13" s="3752"/>
      <c r="K13" s="3752"/>
      <c r="L13" s="2341"/>
    </row>
    <row r="14" spans="1:12" s="2340" customFormat="1" ht="21" customHeight="1">
      <c r="A14" s="2981" t="s">
        <v>6986</v>
      </c>
      <c r="B14" s="2981"/>
      <c r="C14" s="2981"/>
      <c r="D14" s="2981"/>
      <c r="E14" s="2981" t="s">
        <v>6987</v>
      </c>
      <c r="F14" s="2981" t="s">
        <v>6988</v>
      </c>
      <c r="G14" s="2981"/>
      <c r="H14" s="2981" t="s">
        <v>6989</v>
      </c>
      <c r="I14" s="2981" t="s">
        <v>6990</v>
      </c>
      <c r="J14" s="2981"/>
      <c r="K14" s="2981" t="s">
        <v>6991</v>
      </c>
      <c r="L14" s="2341"/>
    </row>
    <row r="15" spans="1:12" s="2340" customFormat="1" ht="21" customHeight="1">
      <c r="A15" s="2981"/>
      <c r="B15" s="2981"/>
      <c r="C15" s="2981"/>
      <c r="D15" s="2981"/>
      <c r="E15" s="2981"/>
      <c r="F15" s="2981"/>
      <c r="G15" s="2981"/>
      <c r="H15" s="2981"/>
      <c r="I15" s="2981"/>
      <c r="J15" s="2981"/>
      <c r="K15" s="2981"/>
      <c r="L15" s="2341"/>
    </row>
    <row r="16" spans="1:12" s="2340" customFormat="1" ht="24" customHeight="1">
      <c r="A16" s="3748" t="str">
        <f>IF(基本情况!A52="","",基本情况!A52)</f>
        <v/>
      </c>
      <c r="B16" s="3748"/>
      <c r="C16" s="3748"/>
      <c r="D16" s="3748"/>
      <c r="E16" s="2344"/>
      <c r="F16" s="3748" t="str">
        <f>IF(基本情况!B52="","",基本情况!B52/10000)</f>
        <v/>
      </c>
      <c r="G16" s="3748"/>
      <c r="H16" s="2345" t="str">
        <f>IF(A16="","",基本情况!C52)</f>
        <v/>
      </c>
      <c r="I16" s="3748" t="str">
        <f>IF(基本情况!D52="","",基本情况!D52/10000)</f>
        <v/>
      </c>
      <c r="J16" s="3748"/>
      <c r="K16" s="2345" t="str">
        <f>IF(A16="","",基本情况!E52)</f>
        <v/>
      </c>
      <c r="L16" s="2341"/>
    </row>
    <row r="17" spans="1:12" s="2340" customFormat="1" ht="24" customHeight="1">
      <c r="A17" s="3748" t="str">
        <f>IF(基本情况!A53="","",基本情况!A53)</f>
        <v/>
      </c>
      <c r="B17" s="3748"/>
      <c r="C17" s="3748"/>
      <c r="D17" s="3748"/>
      <c r="E17" s="2344"/>
      <c r="F17" s="3748" t="str">
        <f>IF(基本情况!B53="","",基本情况!B53/10000)</f>
        <v/>
      </c>
      <c r="G17" s="3748"/>
      <c r="H17" s="2345" t="str">
        <f>IF(A17="","",基本情况!C53)</f>
        <v/>
      </c>
      <c r="I17" s="3748" t="str">
        <f>IF(基本情况!D53="","",基本情况!D53/10000)</f>
        <v/>
      </c>
      <c r="J17" s="3748"/>
      <c r="K17" s="2345" t="str">
        <f>IF(A17="","",基本情况!E53)</f>
        <v/>
      </c>
      <c r="L17" s="2341"/>
    </row>
    <row r="18" spans="1:12" s="2340" customFormat="1" ht="24" customHeight="1">
      <c r="A18" s="3748" t="str">
        <f>IF(基本情况!A54="","",基本情况!A54)</f>
        <v/>
      </c>
      <c r="B18" s="3748"/>
      <c r="C18" s="3748"/>
      <c r="D18" s="3748"/>
      <c r="E18" s="2344"/>
      <c r="F18" s="3748" t="str">
        <f>IF(基本情况!B54="","",基本情况!B54/10000)</f>
        <v/>
      </c>
      <c r="G18" s="3748"/>
      <c r="H18" s="2345" t="str">
        <f>IF(A18="","",基本情况!C54)</f>
        <v/>
      </c>
      <c r="I18" s="3748" t="str">
        <f>IF(基本情况!D54="","",基本情况!D54/10000)</f>
        <v/>
      </c>
      <c r="J18" s="3748"/>
      <c r="K18" s="2345" t="str">
        <f>IF(A18="","",基本情况!E54)</f>
        <v/>
      </c>
      <c r="L18" s="2341"/>
    </row>
    <row r="19" spans="1:12" s="2340" customFormat="1" ht="24" customHeight="1">
      <c r="A19" s="3748" t="str">
        <f>IF(基本情况!A55="","",基本情况!A55)</f>
        <v/>
      </c>
      <c r="B19" s="3748"/>
      <c r="C19" s="3748"/>
      <c r="D19" s="3748"/>
      <c r="E19" s="2344"/>
      <c r="F19" s="3748" t="str">
        <f>IF(基本情况!B55="","",基本情况!B55/10000)</f>
        <v/>
      </c>
      <c r="G19" s="3748"/>
      <c r="H19" s="2345" t="str">
        <f>IF(A19="","",基本情况!C55)</f>
        <v/>
      </c>
      <c r="I19" s="3748" t="str">
        <f>IF(基本情况!D55="","",基本情况!D55/10000)</f>
        <v/>
      </c>
      <c r="J19" s="3748"/>
      <c r="K19" s="2345" t="str">
        <f>IF(A19="","",基本情况!E55)</f>
        <v/>
      </c>
      <c r="L19" s="2341"/>
    </row>
    <row r="20" spans="1:12" s="2340" customFormat="1" ht="24" customHeight="1">
      <c r="A20" s="3748" t="str">
        <f>IF(基本情况!A56="","",基本情况!A56)</f>
        <v/>
      </c>
      <c r="B20" s="3748"/>
      <c r="C20" s="3748"/>
      <c r="D20" s="3748"/>
      <c r="E20" s="2344"/>
      <c r="F20" s="3748" t="str">
        <f>IF(基本情况!B56="","",基本情况!B56/10000)</f>
        <v/>
      </c>
      <c r="G20" s="3748"/>
      <c r="H20" s="2345" t="str">
        <f>IF(A20="","",基本情况!C56)</f>
        <v/>
      </c>
      <c r="I20" s="3748" t="str">
        <f>IF(基本情况!D56="","",基本情况!D56/10000)</f>
        <v/>
      </c>
      <c r="J20" s="3748"/>
      <c r="K20" s="2345" t="str">
        <f>IF(A20="","",基本情况!E56)</f>
        <v/>
      </c>
      <c r="L20" s="2341"/>
    </row>
    <row r="21" spans="1:12" s="2340" customFormat="1" ht="21" customHeight="1">
      <c r="A21" s="2981" t="s">
        <v>6992</v>
      </c>
      <c r="B21" s="2981"/>
      <c r="C21" s="2981"/>
      <c r="D21" s="2981"/>
      <c r="E21" s="2346">
        <f>SUM(E16:E20)</f>
        <v>0</v>
      </c>
      <c r="F21" s="3749">
        <f>SUM(F16:G20)</f>
        <v>0</v>
      </c>
      <c r="G21" s="3749">
        <f>SUM(G16:G18)</f>
        <v>0</v>
      </c>
      <c r="H21" s="2347">
        <f>SUM(H16:H20)</f>
        <v>0</v>
      </c>
      <c r="I21" s="3750">
        <f>SUM(I16:J20)</f>
        <v>0</v>
      </c>
      <c r="J21" s="3750"/>
      <c r="K21" s="2347">
        <f>SUM(K16:K20)</f>
        <v>0</v>
      </c>
      <c r="L21" s="2341"/>
    </row>
    <row r="22" spans="1:12" s="2340" customFormat="1" ht="21" customHeight="1">
      <c r="A22" s="3747" t="s">
        <v>6993</v>
      </c>
      <c r="B22" s="2981" t="s">
        <v>6994</v>
      </c>
      <c r="C22" s="2981"/>
      <c r="D22" s="2981"/>
      <c r="E22" s="2348" t="s">
        <v>1625</v>
      </c>
      <c r="F22" s="2981" t="s">
        <v>1626</v>
      </c>
      <c r="G22" s="2981"/>
      <c r="H22" s="2981" t="s">
        <v>6994</v>
      </c>
      <c r="I22" s="2981"/>
      <c r="J22" s="2348" t="s">
        <v>1625</v>
      </c>
      <c r="K22" s="2348" t="s">
        <v>1626</v>
      </c>
      <c r="L22" s="2341"/>
    </row>
    <row r="23" spans="1:12" s="2340" customFormat="1" ht="21" customHeight="1">
      <c r="A23" s="3747"/>
      <c r="B23" s="3746"/>
      <c r="C23" s="3746"/>
      <c r="D23" s="3746"/>
      <c r="E23" s="2349"/>
      <c r="F23" s="3746"/>
      <c r="G23" s="3746"/>
      <c r="H23" s="3746"/>
      <c r="I23" s="3746"/>
      <c r="J23" s="2349"/>
      <c r="K23" s="2349"/>
      <c r="L23" s="2341"/>
    </row>
    <row r="24" spans="1:12" s="2340" customFormat="1" ht="21" customHeight="1">
      <c r="A24" s="3747"/>
      <c r="B24" s="3746"/>
      <c r="C24" s="3746"/>
      <c r="D24" s="3746"/>
      <c r="E24" s="2349"/>
      <c r="F24" s="3746"/>
      <c r="G24" s="3746"/>
      <c r="H24" s="3746"/>
      <c r="I24" s="3746"/>
      <c r="J24" s="2349"/>
      <c r="K24" s="2349"/>
      <c r="L24" s="2341"/>
    </row>
    <row r="25" spans="1:12" s="2340" customFormat="1" ht="21" customHeight="1">
      <c r="A25" s="3747"/>
      <c r="B25" s="3746"/>
      <c r="C25" s="3746"/>
      <c r="D25" s="3746"/>
      <c r="E25" s="2349"/>
      <c r="F25" s="3746"/>
      <c r="G25" s="3746"/>
      <c r="H25" s="3746"/>
      <c r="I25" s="3746"/>
      <c r="J25" s="2349"/>
      <c r="K25" s="2349"/>
      <c r="L25" s="2341"/>
    </row>
    <row r="26" spans="1:12" s="2340" customFormat="1" ht="21" customHeight="1">
      <c r="A26" s="3747"/>
      <c r="B26" s="3746"/>
      <c r="C26" s="3746"/>
      <c r="D26" s="3746"/>
      <c r="E26" s="2349"/>
      <c r="F26" s="3746"/>
      <c r="G26" s="3746"/>
      <c r="H26" s="3746"/>
      <c r="I26" s="3746"/>
      <c r="J26" s="2349"/>
      <c r="K26" s="2349"/>
      <c r="L26" s="2341"/>
    </row>
    <row r="27" spans="1:12" s="2340" customFormat="1" ht="21" customHeight="1">
      <c r="A27" s="3747"/>
      <c r="B27" s="3746"/>
      <c r="C27" s="3746"/>
      <c r="D27" s="3746"/>
      <c r="E27" s="2349"/>
      <c r="F27" s="3746"/>
      <c r="G27" s="3746"/>
      <c r="H27" s="3746"/>
      <c r="I27" s="3746"/>
      <c r="J27" s="2349"/>
      <c r="K27" s="2349"/>
      <c r="L27" s="2341"/>
    </row>
    <row r="28" spans="1:12" s="2340" customFormat="1" ht="21" customHeight="1">
      <c r="A28" s="3747"/>
      <c r="B28" s="3746"/>
      <c r="C28" s="3746"/>
      <c r="D28" s="3746"/>
      <c r="E28" s="2349"/>
      <c r="F28" s="3746"/>
      <c r="G28" s="3746"/>
      <c r="H28" s="3746"/>
      <c r="I28" s="3746"/>
      <c r="J28" s="2349"/>
      <c r="K28" s="2349"/>
      <c r="L28" s="2341"/>
    </row>
    <row r="29" spans="1:12" s="2340" customFormat="1" ht="21" customHeight="1">
      <c r="A29" s="2981" t="s">
        <v>443</v>
      </c>
      <c r="B29" s="2981"/>
      <c r="C29" s="2981"/>
      <c r="D29" s="3745">
        <f>基本情况!B65</f>
        <v>0</v>
      </c>
      <c r="E29" s="3745"/>
      <c r="F29" s="2981" t="s">
        <v>6995</v>
      </c>
      <c r="G29" s="2981"/>
      <c r="H29" s="2981"/>
      <c r="I29" s="3745">
        <f>基本情况!B66</f>
        <v>0</v>
      </c>
      <c r="J29" s="3745"/>
      <c r="K29" s="3745"/>
      <c r="L29" s="2341"/>
    </row>
    <row r="30" spans="1:12" s="2340" customFormat="1" ht="26.25" customHeight="1">
      <c r="A30" s="2981"/>
      <c r="B30" s="2981"/>
      <c r="C30" s="2981"/>
      <c r="D30" s="3745"/>
      <c r="E30" s="3745"/>
      <c r="F30" s="2981"/>
      <c r="G30" s="2981"/>
      <c r="H30" s="2981"/>
      <c r="I30" s="3745"/>
      <c r="J30" s="3745"/>
      <c r="K30" s="3745"/>
      <c r="L30" s="2341"/>
    </row>
  </sheetData>
  <sheetProtection selectLockedCells="1" selectUnlockedCells="1"/>
  <mergeCells count="86">
    <mergeCell ref="A1:B1"/>
    <mergeCell ref="A2:K2"/>
    <mergeCell ref="A3:F3"/>
    <mergeCell ref="G3:I3"/>
    <mergeCell ref="J3:K3"/>
    <mergeCell ref="J5:K5"/>
    <mergeCell ref="A6:B7"/>
    <mergeCell ref="C6:F7"/>
    <mergeCell ref="G6:I6"/>
    <mergeCell ref="J6:K6"/>
    <mergeCell ref="G7:I7"/>
    <mergeCell ref="J7:K7"/>
    <mergeCell ref="A4:B5"/>
    <mergeCell ref="C4:F5"/>
    <mergeCell ref="G4:I4"/>
    <mergeCell ref="J4:K4"/>
    <mergeCell ref="G5:I5"/>
    <mergeCell ref="A8:B8"/>
    <mergeCell ref="C8:F8"/>
    <mergeCell ref="G8:I9"/>
    <mergeCell ref="J8:K9"/>
    <mergeCell ref="A9:B9"/>
    <mergeCell ref="C9:F9"/>
    <mergeCell ref="A10:B11"/>
    <mergeCell ref="C10:D10"/>
    <mergeCell ref="F10:I10"/>
    <mergeCell ref="J10:K10"/>
    <mergeCell ref="C11:D11"/>
    <mergeCell ref="F11:I11"/>
    <mergeCell ref="J11:K11"/>
    <mergeCell ref="K14:K15"/>
    <mergeCell ref="A12:B12"/>
    <mergeCell ref="C12:K12"/>
    <mergeCell ref="A13:B13"/>
    <mergeCell ref="C13:E13"/>
    <mergeCell ref="F13:G13"/>
    <mergeCell ref="H13:K13"/>
    <mergeCell ref="A14:D15"/>
    <mergeCell ref="E14:E15"/>
    <mergeCell ref="F14:G15"/>
    <mergeCell ref="H14:H15"/>
    <mergeCell ref="I14:J15"/>
    <mergeCell ref="A16:D16"/>
    <mergeCell ref="F16:G16"/>
    <mergeCell ref="I16:J16"/>
    <mergeCell ref="A17:D17"/>
    <mergeCell ref="F17:G17"/>
    <mergeCell ref="I17:J17"/>
    <mergeCell ref="A18:D18"/>
    <mergeCell ref="F18:G18"/>
    <mergeCell ref="I18:J18"/>
    <mergeCell ref="A19:D19"/>
    <mergeCell ref="F19:G19"/>
    <mergeCell ref="I19:J19"/>
    <mergeCell ref="H23:I23"/>
    <mergeCell ref="B24:D24"/>
    <mergeCell ref="F24:G24"/>
    <mergeCell ref="H24:I24"/>
    <mergeCell ref="A20:D20"/>
    <mergeCell ref="F20:G20"/>
    <mergeCell ref="I20:J20"/>
    <mergeCell ref="A21:D21"/>
    <mergeCell ref="F21:G21"/>
    <mergeCell ref="I21:J21"/>
    <mergeCell ref="B25:D25"/>
    <mergeCell ref="F25:G25"/>
    <mergeCell ref="H25:I25"/>
    <mergeCell ref="B26:D26"/>
    <mergeCell ref="F26:G26"/>
    <mergeCell ref="H26:I2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D27" sqref="D27:E27"/>
    </sheetView>
  </sheetViews>
  <sheetFormatPr defaultColWidth="9" defaultRowHeight="15.6"/>
  <cols>
    <col min="1" max="1" width="1.19921875" style="2420" customWidth="1"/>
    <col min="2" max="2" width="22.5" style="2420" customWidth="1"/>
    <col min="3" max="3" width="12.8984375" style="2420" customWidth="1"/>
    <col min="4" max="6" width="12.3984375" style="2420" customWidth="1"/>
    <col min="7" max="7" width="9.59765625" style="2420" customWidth="1"/>
    <col min="8" max="8" width="29.3984375" style="2420" customWidth="1"/>
    <col min="9" max="9" width="18.19921875" style="2420" customWidth="1"/>
    <col min="10" max="16384" width="9" style="2420"/>
  </cols>
  <sheetData>
    <row r="1" spans="1:11" s="2351" customFormat="1" ht="29.25" customHeight="1">
      <c r="A1" s="3805">
        <f>基本情况!B2</f>
        <v>0</v>
      </c>
      <c r="B1" s="3805"/>
      <c r="C1" s="3805"/>
      <c r="D1" s="3805"/>
      <c r="E1" s="3805"/>
      <c r="F1" s="3805"/>
      <c r="G1" s="3805"/>
      <c r="H1" s="2350"/>
      <c r="I1" s="2350"/>
      <c r="J1" s="2350"/>
      <c r="K1" s="2350"/>
    </row>
    <row r="2" spans="1:11" s="2351" customFormat="1" ht="22.5" customHeight="1">
      <c r="A2" s="3806" t="s">
        <v>10079</v>
      </c>
      <c r="B2" s="3806"/>
      <c r="C2" s="3806"/>
      <c r="D2" s="3806"/>
      <c r="E2" s="3806"/>
      <c r="F2" s="3806"/>
      <c r="G2" s="3806"/>
      <c r="H2" s="2350"/>
      <c r="I2" s="2350"/>
      <c r="J2" s="2350"/>
      <c r="K2" s="2350"/>
    </row>
    <row r="3" spans="1:11" s="2351" customFormat="1" ht="14.25" customHeight="1">
      <c r="A3" s="3806"/>
      <c r="B3" s="3806"/>
      <c r="C3" s="3806"/>
      <c r="D3" s="3806"/>
      <c r="E3" s="3806"/>
      <c r="F3" s="3806"/>
      <c r="G3" s="3806"/>
      <c r="H3" s="2350"/>
      <c r="I3" s="2350"/>
      <c r="J3" s="2350"/>
      <c r="K3" s="2350"/>
    </row>
    <row r="4" spans="1:11" s="2351" customFormat="1" ht="36" customHeight="1">
      <c r="A4" s="3807"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我们接受委托，对贵单位2016年度的企业所得税年度纳税申报事项进行了审核，现将审核情况说明如下：</v>
      </c>
      <c r="B4" s="3807"/>
      <c r="C4" s="3807"/>
      <c r="D4" s="3807"/>
      <c r="E4" s="3807"/>
      <c r="F4" s="3807"/>
      <c r="G4" s="3807"/>
      <c r="H4" s="2352"/>
      <c r="I4" s="2353"/>
      <c r="J4" s="2353"/>
      <c r="K4" s="2350"/>
    </row>
    <row r="5" spans="1:11" s="2351" customFormat="1" ht="17.25" customHeight="1">
      <c r="A5" s="3764" t="s">
        <v>6996</v>
      </c>
      <c r="B5" s="3764"/>
      <c r="C5" s="3764"/>
      <c r="D5" s="3764"/>
      <c r="E5" s="3764"/>
      <c r="F5" s="3764"/>
      <c r="G5" s="3764"/>
      <c r="H5" s="2350"/>
      <c r="I5" s="2350"/>
      <c r="J5" s="2350"/>
      <c r="K5" s="2350"/>
    </row>
    <row r="6" spans="1:11" s="2351" customFormat="1" ht="18" customHeight="1">
      <c r="A6" s="3803" t="str">
        <f>"      1、执行《"&amp;基本情况!B38&amp;"》及有关规定；"</f>
        <v xml:space="preserve">      1、执行《小企业会计准则》及有关规定；</v>
      </c>
      <c r="B6" s="3803"/>
      <c r="C6" s="3803"/>
      <c r="D6" s="3803"/>
      <c r="E6" s="3803"/>
      <c r="F6" s="3803"/>
      <c r="G6" s="3803"/>
      <c r="H6" s="1060" t="s">
        <v>395</v>
      </c>
      <c r="I6" s="2350"/>
      <c r="J6" s="2350"/>
      <c r="K6" s="2350"/>
    </row>
    <row r="7" spans="1:11" s="2351" customFormat="1" ht="18" customHeight="1">
      <c r="A7" s="3803" t="str">
        <f>"      2、会计年度自"&amp;基本情况!B7&amp;"；"</f>
        <v xml:space="preserve">      2、会计年度自2016年01月01日至2016年12月31日；</v>
      </c>
      <c r="B7" s="3803"/>
      <c r="C7" s="3803"/>
      <c r="D7" s="3803"/>
      <c r="E7" s="3803"/>
      <c r="F7" s="3803"/>
      <c r="G7" s="3803"/>
      <c r="H7" s="2350"/>
      <c r="I7" s="2350"/>
      <c r="J7" s="2350"/>
      <c r="K7" s="2350"/>
    </row>
    <row r="8" spans="1:11" s="2351" customFormat="1" ht="18" customHeight="1">
      <c r="A8" s="3804" t="s">
        <v>6997</v>
      </c>
      <c r="B8" s="3804"/>
      <c r="C8" s="3804"/>
      <c r="D8" s="3804"/>
      <c r="E8" s="3804"/>
      <c r="F8" s="3804"/>
      <c r="G8" s="3804"/>
      <c r="H8" s="2350"/>
      <c r="I8" s="2350"/>
      <c r="J8" s="2350"/>
      <c r="K8" s="2350"/>
    </row>
    <row r="9" spans="1:11" s="2351" customFormat="1" ht="18" customHeight="1">
      <c r="A9" s="3804" t="s">
        <v>6998</v>
      </c>
      <c r="B9" s="3804"/>
      <c r="C9" s="3804"/>
      <c r="D9" s="3804"/>
      <c r="E9" s="3804"/>
      <c r="F9" s="3804"/>
      <c r="G9" s="3804"/>
      <c r="H9" s="2350"/>
      <c r="I9" s="2350"/>
      <c r="J9" s="2350"/>
      <c r="K9" s="2350"/>
    </row>
    <row r="10" spans="1:11" s="2351" customFormat="1" ht="18" customHeight="1">
      <c r="A10" s="3804" t="s">
        <v>6999</v>
      </c>
      <c r="B10" s="3804"/>
      <c r="C10" s="3804"/>
      <c r="D10" s="3804"/>
      <c r="E10" s="3804"/>
      <c r="F10" s="3804"/>
      <c r="G10" s="3804"/>
      <c r="H10" s="2350"/>
      <c r="I10" s="2350"/>
      <c r="J10" s="2350"/>
      <c r="K10" s="2350"/>
    </row>
    <row r="11" spans="1:11" s="2351" customFormat="1" ht="18" customHeight="1">
      <c r="A11" s="3804" t="s">
        <v>7000</v>
      </c>
      <c r="B11" s="3804"/>
      <c r="C11" s="3804"/>
      <c r="D11" s="3804"/>
      <c r="E11" s="3804"/>
      <c r="F11" s="3804"/>
      <c r="G11" s="3804"/>
      <c r="H11" s="2350"/>
      <c r="I11" s="2350"/>
      <c r="J11" s="2350"/>
      <c r="K11" s="2350"/>
    </row>
    <row r="12" spans="1:11" s="2351" customFormat="1" ht="18" customHeight="1">
      <c r="A12" s="3804" t="s">
        <v>7001</v>
      </c>
      <c r="B12" s="3804"/>
      <c r="C12" s="3804"/>
      <c r="D12" s="3804"/>
      <c r="E12" s="3804"/>
      <c r="F12" s="3804"/>
      <c r="G12" s="3804"/>
      <c r="H12" s="2350"/>
      <c r="I12" s="2350"/>
      <c r="J12" s="2350"/>
      <c r="K12" s="2350"/>
    </row>
    <row r="13" spans="1:11" s="2351" customFormat="1" ht="18" customHeight="1">
      <c r="A13" s="3764" t="s">
        <v>7002</v>
      </c>
      <c r="B13" s="3764"/>
      <c r="C13" s="3764"/>
      <c r="D13" s="3764"/>
      <c r="E13" s="3764"/>
      <c r="F13" s="3764"/>
      <c r="G13" s="3764"/>
      <c r="H13" s="2350"/>
      <c r="I13" s="2350"/>
      <c r="J13" s="2350"/>
      <c r="K13" s="2350"/>
    </row>
    <row r="14" spans="1:11" s="2355" customFormat="1" ht="22.5" customHeight="1">
      <c r="A14" s="3764" t="s">
        <v>7003</v>
      </c>
      <c r="B14" s="3764"/>
      <c r="C14" s="3764"/>
      <c r="D14" s="3764"/>
      <c r="E14" s="3764"/>
      <c r="F14" s="3764"/>
      <c r="G14" s="3764"/>
      <c r="H14" s="2354"/>
      <c r="I14" s="2354"/>
      <c r="J14" s="2354"/>
      <c r="K14" s="2354"/>
    </row>
    <row r="15" spans="1:11" s="2351" customFormat="1" ht="36" customHeight="1">
      <c r="A15" s="3807" t="str">
        <f>"    贵单位" &amp; IF(OR(基本情况!B6&lt;&gt;"12月31日",基本情况!F5&lt;&gt;"01",基本情况!G5&lt;&gt;"01"),基本情况!B7,基本情况!B4&amp;"年度") &amp; "账面销售（营业）收入" &amp; DOLLAR(主营收支!H20+其他业务!C18+其他事项!E10,2) &amp; "元，利润总额" &amp; DOLLAR(利润!C37,2) &amp; "元，经审核调整如下："</f>
        <v xml:space="preserve">    贵单位2016年度账面销售（营业）收入¥0.00元，利润总额¥0.00元，经审核调整如下：</v>
      </c>
      <c r="B15" s="3807"/>
      <c r="C15" s="3807"/>
      <c r="D15" s="3807"/>
      <c r="E15" s="3807"/>
      <c r="F15" s="3807"/>
      <c r="G15" s="3807"/>
      <c r="H15" s="2316" t="s">
        <v>642</v>
      </c>
      <c r="I15" s="2356"/>
      <c r="J15" s="2350"/>
      <c r="K15" s="2350"/>
    </row>
    <row r="16" spans="1:11" s="2351" customFormat="1" ht="22.5" customHeight="1">
      <c r="A16" s="2357" t="s">
        <v>1403</v>
      </c>
      <c r="B16" s="2358" t="s">
        <v>7004</v>
      </c>
      <c r="C16" s="2359">
        <f>D21</f>
        <v>0</v>
      </c>
      <c r="D16" s="2358" t="s">
        <v>7005</v>
      </c>
      <c r="E16" s="2358"/>
      <c r="F16" s="2358"/>
      <c r="G16" s="2358"/>
      <c r="H16" s="2350"/>
      <c r="I16" s="2356"/>
      <c r="J16" s="2350"/>
      <c r="K16" s="2350"/>
    </row>
    <row r="17" spans="1:11" s="2351" customFormat="1" ht="21.9" hidden="1" customHeight="1">
      <c r="A17" s="2357"/>
      <c r="B17" s="3797" t="s">
        <v>7006</v>
      </c>
      <c r="C17" s="3798"/>
      <c r="D17" s="2360" t="s">
        <v>7007</v>
      </c>
      <c r="E17" s="3797" t="s">
        <v>7008</v>
      </c>
      <c r="F17" s="3798"/>
      <c r="G17" s="2361" t="s">
        <v>7009</v>
      </c>
      <c r="H17" s="2350"/>
      <c r="I17" s="2356"/>
      <c r="J17" s="2350"/>
      <c r="K17" s="2350"/>
    </row>
    <row r="18" spans="1:11" s="2351" customFormat="1" ht="21.9" hidden="1" customHeight="1">
      <c r="A18" s="2357"/>
      <c r="B18" s="3801" t="s">
        <v>7010</v>
      </c>
      <c r="C18" s="3802"/>
      <c r="D18" s="2362">
        <v>0</v>
      </c>
      <c r="E18" s="3795" t="s">
        <v>7011</v>
      </c>
      <c r="F18" s="3796"/>
      <c r="G18" s="2363"/>
      <c r="H18" s="493" t="s">
        <v>673</v>
      </c>
      <c r="I18" s="2350"/>
      <c r="J18" s="2356"/>
      <c r="K18" s="2350"/>
    </row>
    <row r="19" spans="1:11" s="2351" customFormat="1" ht="21.9" hidden="1" customHeight="1">
      <c r="A19" s="2357"/>
      <c r="B19" s="3792"/>
      <c r="C19" s="3793"/>
      <c r="D19" s="2364"/>
      <c r="E19" s="3791"/>
      <c r="F19" s="3794"/>
      <c r="G19" s="2365"/>
      <c r="H19" s="2350"/>
      <c r="I19" s="2350"/>
      <c r="J19" s="2350"/>
      <c r="K19" s="2350"/>
    </row>
    <row r="20" spans="1:11" s="2351" customFormat="1" ht="21.9" hidden="1" customHeight="1">
      <c r="A20" s="2357"/>
      <c r="B20" s="3792"/>
      <c r="C20" s="3793"/>
      <c r="D20" s="2364"/>
      <c r="E20" s="3795"/>
      <c r="F20" s="3796"/>
      <c r="G20" s="2363"/>
      <c r="H20" s="493" t="s">
        <v>7012</v>
      </c>
      <c r="I20" s="2350"/>
      <c r="J20" s="2350"/>
      <c r="K20" s="2350"/>
    </row>
    <row r="21" spans="1:11" s="2370" customFormat="1" ht="21.9" hidden="1" customHeight="1">
      <c r="A21" s="2366"/>
      <c r="B21" s="3797" t="s">
        <v>7013</v>
      </c>
      <c r="C21" s="3798"/>
      <c r="D21" s="2367">
        <f>SUM(D18:D20)</f>
        <v>0</v>
      </c>
      <c r="E21" s="3799"/>
      <c r="F21" s="3800"/>
      <c r="G21" s="2368"/>
      <c r="H21" s="2369"/>
      <c r="I21" s="2369"/>
      <c r="J21" s="2369"/>
      <c r="K21" s="2369"/>
    </row>
    <row r="22" spans="1:11" s="2351" customFormat="1" ht="22.5" customHeight="1">
      <c r="A22" s="2357" t="s">
        <v>1403</v>
      </c>
      <c r="B22" s="2358" t="s">
        <v>7014</v>
      </c>
      <c r="C22" s="2371">
        <f>D26</f>
        <v>0</v>
      </c>
      <c r="D22" s="2358" t="s">
        <v>7005</v>
      </c>
      <c r="E22" s="2358"/>
      <c r="F22" s="2358"/>
      <c r="G22" s="2358"/>
      <c r="H22" s="2350"/>
      <c r="I22" s="2350"/>
      <c r="J22" s="2350"/>
      <c r="K22" s="2350"/>
    </row>
    <row r="23" spans="1:11" s="2351" customFormat="1" ht="21.75" hidden="1" customHeight="1">
      <c r="A23" s="2357"/>
      <c r="B23" s="3784" t="s">
        <v>7006</v>
      </c>
      <c r="C23" s="3784"/>
      <c r="D23" s="2360" t="s">
        <v>7007</v>
      </c>
      <c r="E23" s="3784" t="s">
        <v>7008</v>
      </c>
      <c r="F23" s="3784"/>
      <c r="G23" s="2361" t="s">
        <v>7009</v>
      </c>
      <c r="H23" s="2350"/>
      <c r="I23" s="2350"/>
      <c r="J23" s="2350"/>
      <c r="K23" s="2350"/>
    </row>
    <row r="24" spans="1:11" s="2351" customFormat="1" ht="21.75" hidden="1" customHeight="1">
      <c r="A24" s="2357"/>
      <c r="B24" s="3788" t="s">
        <v>7015</v>
      </c>
      <c r="C24" s="3788"/>
      <c r="D24" s="2362">
        <v>0</v>
      </c>
      <c r="E24" s="3789" t="s">
        <v>7016</v>
      </c>
      <c r="F24" s="3789"/>
      <c r="G24" s="2372"/>
      <c r="H24" s="493" t="s">
        <v>673</v>
      </c>
      <c r="I24" s="2350"/>
      <c r="J24" s="2350"/>
      <c r="K24" s="2350"/>
    </row>
    <row r="25" spans="1:11" s="2351" customFormat="1" ht="21.75" hidden="1" customHeight="1">
      <c r="A25" s="2357"/>
      <c r="B25" s="3790"/>
      <c r="C25" s="3790"/>
      <c r="D25" s="2364"/>
      <c r="E25" s="3791"/>
      <c r="F25" s="3791"/>
      <c r="G25" s="2365"/>
      <c r="H25" s="493" t="s">
        <v>7012</v>
      </c>
      <c r="I25" s="2350"/>
      <c r="J25" s="2350"/>
      <c r="K25" s="2350"/>
    </row>
    <row r="26" spans="1:11" s="2370" customFormat="1" ht="21.75" hidden="1" customHeight="1">
      <c r="A26" s="2366"/>
      <c r="B26" s="3784" t="s">
        <v>7013</v>
      </c>
      <c r="C26" s="3784"/>
      <c r="D26" s="2373">
        <f>SUM(D24:D25)</f>
        <v>0</v>
      </c>
      <c r="E26" s="3785"/>
      <c r="F26" s="3786"/>
      <c r="G26" s="2374"/>
      <c r="H26" s="2369"/>
      <c r="I26" s="2369"/>
      <c r="J26" s="2369"/>
      <c r="K26" s="2369"/>
    </row>
    <row r="27" spans="1:11" s="2370" customFormat="1" ht="22.5" customHeight="1">
      <c r="A27" s="2366"/>
      <c r="B27" s="2375" t="s">
        <v>7017</v>
      </c>
      <c r="C27" s="2376"/>
      <c r="D27" s="3787">
        <f>利润!C37+C16-C22</f>
        <v>0</v>
      </c>
      <c r="E27" s="3787"/>
      <c r="F27" s="2377" t="s">
        <v>7005</v>
      </c>
      <c r="G27" s="2377"/>
      <c r="H27" s="2378" t="s">
        <v>648</v>
      </c>
      <c r="I27" s="2379">
        <f>'A100000中华人民共和国企业所得税年度纳税申报表（A类）'!D16</f>
        <v>0</v>
      </c>
      <c r="J27" s="2369"/>
      <c r="K27" s="2369"/>
    </row>
    <row r="28" spans="1:11" s="2370" customFormat="1" ht="22.5" customHeight="1">
      <c r="A28" s="3764" t="s">
        <v>7018</v>
      </c>
      <c r="B28" s="3764"/>
      <c r="C28" s="3764"/>
      <c r="D28" s="3764"/>
      <c r="E28" s="3764"/>
      <c r="F28" s="3764"/>
      <c r="G28" s="2380"/>
      <c r="H28" s="2316" t="s">
        <v>7019</v>
      </c>
      <c r="I28" s="2381"/>
      <c r="J28" s="2369"/>
      <c r="K28" s="2369"/>
    </row>
    <row r="29" spans="1:11" s="2350" customFormat="1" ht="22.5" customHeight="1">
      <c r="A29" s="2358" t="s">
        <v>1403</v>
      </c>
      <c r="B29" s="2382" t="s">
        <v>7020</v>
      </c>
      <c r="C29" s="2383">
        <f ca="1">F82</f>
        <v>0</v>
      </c>
      <c r="D29" s="2384" t="s">
        <v>7005</v>
      </c>
      <c r="E29" s="2382"/>
      <c r="F29" s="2382"/>
      <c r="G29" s="2375"/>
      <c r="H29" s="493" t="s">
        <v>1291</v>
      </c>
    </row>
    <row r="30" spans="1:11" s="2350" customFormat="1" ht="21.75" customHeight="1">
      <c r="A30" s="2357"/>
      <c r="B30" s="3784" t="s">
        <v>1627</v>
      </c>
      <c r="C30" s="3784"/>
      <c r="D30" s="2360" t="s">
        <v>1628</v>
      </c>
      <c r="E30" s="2360" t="s">
        <v>1300</v>
      </c>
      <c r="F30" s="2360" t="s">
        <v>1462</v>
      </c>
      <c r="G30" s="2385" t="s">
        <v>7009</v>
      </c>
      <c r="H30" s="2386" t="s">
        <v>7021</v>
      </c>
    </row>
    <row r="31" spans="1:11" s="2350" customFormat="1" ht="18" customHeight="1">
      <c r="A31" s="2357"/>
      <c r="B31" s="3782" t="str">
        <f>MID(A105000纳税调整项目明细表!B6,7,FIND("（",A105000纳税调整项目明细表!B6,5)-7)</f>
        <v>视同销售收入</v>
      </c>
      <c r="C31" s="3783"/>
      <c r="D31" s="2387">
        <f>N(A105000纳税调整项目明细表!C6)</f>
        <v>0</v>
      </c>
      <c r="E31" s="2387">
        <f>A105000纳税调整项目明细表!D6</f>
        <v>0</v>
      </c>
      <c r="F31" s="2387">
        <f>A105000纳税调整项目明细表!E6</f>
        <v>0</v>
      </c>
      <c r="G31" s="2388"/>
    </row>
    <row r="32" spans="1:11" s="2350" customFormat="1" ht="18" customHeight="1">
      <c r="A32" s="2357"/>
      <c r="B32" s="3782" t="str">
        <f>MID(A105000纳税调整项目明细表!B7,7,FIND("（",A105000纳税调整项目明细表!B7,5)-7)</f>
        <v>未按权责发生制原则确认的收入</v>
      </c>
      <c r="C32" s="3783"/>
      <c r="D32" s="2387">
        <f>N(A105000纳税调整项目明细表!C7)</f>
        <v>0</v>
      </c>
      <c r="E32" s="2387">
        <f>A105000纳税调整项目明细表!D7</f>
        <v>0</v>
      </c>
      <c r="F32" s="2387">
        <f>A105000纳税调整项目明细表!E7</f>
        <v>0</v>
      </c>
      <c r="G32" s="2388"/>
    </row>
    <row r="33" spans="1:9" s="2350" customFormat="1" ht="18" customHeight="1">
      <c r="A33" s="2357"/>
      <c r="B33" s="3782" t="str">
        <f>MID(A105000纳税调整项目明细表!B8,8,FIND("（",A105000纳税调整项目明细表!B8,5)-1)</f>
        <v>投资收益</v>
      </c>
      <c r="C33" s="3783"/>
      <c r="D33" s="2387">
        <f>N(A105000纳税调整项目明细表!C8)</f>
        <v>0</v>
      </c>
      <c r="E33" s="2387">
        <f>A105000纳税调整项目明细表!D8</f>
        <v>0</v>
      </c>
      <c r="F33" s="2387">
        <f>A105000纳税调整项目明细表!E8</f>
        <v>0</v>
      </c>
      <c r="G33" s="2388"/>
    </row>
    <row r="34" spans="1:9" s="2350" customFormat="1" ht="18" customHeight="1">
      <c r="A34" s="2357"/>
      <c r="B34" s="3779" t="str">
        <f>其他事项!B12</f>
        <v>交易性金融资产初始投资调整</v>
      </c>
      <c r="C34" s="3780"/>
      <c r="D34" s="2387">
        <f>N(其他事项!D12)</f>
        <v>0</v>
      </c>
      <c r="E34" s="2387">
        <f>N(其他事项!E12)</f>
        <v>0</v>
      </c>
      <c r="F34" s="2387">
        <f>N(其他事项!F12)</f>
        <v>0</v>
      </c>
      <c r="G34" s="2389"/>
    </row>
    <row r="35" spans="1:9" s="2350" customFormat="1" ht="18" customHeight="1">
      <c r="A35" s="2357"/>
      <c r="B35" s="3782" t="str">
        <f>MID(A105000纳税调整项目明细表!B11,7,LEN(A105000纳税调整项目明细表!B11))</f>
        <v>公允价值变动净损益</v>
      </c>
      <c r="C35" s="3783"/>
      <c r="D35" s="2390">
        <f>A105000纳税调整项目明细表!C11</f>
        <v>0</v>
      </c>
      <c r="E35" s="2390">
        <f>N(A105000纳税调整项目明细表!D11)</f>
        <v>0</v>
      </c>
      <c r="F35" s="2390">
        <f>A105000纳税调整项目明细表!E11</f>
        <v>0</v>
      </c>
      <c r="G35" s="2388"/>
    </row>
    <row r="36" spans="1:9" s="2350" customFormat="1" ht="18" customHeight="1">
      <c r="A36" s="2357"/>
      <c r="B36" s="3782" t="str">
        <f>LEFT(其他事项!B8,5)</f>
        <v>不征税收入</v>
      </c>
      <c r="C36" s="3783"/>
      <c r="D36" s="2391">
        <f>其他事项!D8+A105040专项用途财政性资金纳税调整表!F13</f>
        <v>0</v>
      </c>
      <c r="E36" s="2391">
        <f>其他事项!E8+A105040专项用途财政性资金纳税调整表!P13</f>
        <v>0</v>
      </c>
      <c r="F36" s="2392">
        <f>MAX(0,E36-D36)</f>
        <v>0</v>
      </c>
      <c r="G36" s="2388"/>
      <c r="H36" s="2316" t="s">
        <v>1629</v>
      </c>
    </row>
    <row r="37" spans="1:9" s="2350" customFormat="1" ht="18" customHeight="1">
      <c r="A37" s="2357"/>
      <c r="B37" s="3778" t="str">
        <f>MID(A105000纳税调整项目明细表!B14,8,LEN(A105000纳税调整项目明细表!B14))</f>
        <v>销售折扣、折让和退回</v>
      </c>
      <c r="C37" s="3778"/>
      <c r="D37" s="2391">
        <f>A105000纳税调整项目明细表!C14</f>
        <v>0</v>
      </c>
      <c r="E37" s="2391">
        <f>A105000纳税调整项目明细表!D14</f>
        <v>0</v>
      </c>
      <c r="F37" s="2391">
        <f>A105000纳税调整项目明细表!E14</f>
        <v>0</v>
      </c>
      <c r="G37" s="2388"/>
    </row>
    <row r="38" spans="1:9" s="2350" customFormat="1" ht="18" customHeight="1">
      <c r="A38" s="2358"/>
      <c r="B38" s="3781" t="str">
        <f>其他事项!B9</f>
        <v>账面计入非损益类科目的政府补贴收入</v>
      </c>
      <c r="C38" s="3781"/>
      <c r="D38" s="2393">
        <f>N(其他事项!D9)</f>
        <v>0</v>
      </c>
      <c r="E38" s="2393">
        <f>N(其他事项!E9)</f>
        <v>0</v>
      </c>
      <c r="F38" s="2393">
        <f>N(其他事项!F9)</f>
        <v>0</v>
      </c>
      <c r="G38" s="2389"/>
      <c r="H38" s="2394"/>
    </row>
    <row r="39" spans="1:9" s="2350" customFormat="1" ht="18" customHeight="1">
      <c r="A39" s="2357"/>
      <c r="B39" s="3778" t="str">
        <f>其他事项!A7&amp;"-"&amp;其他事项!B7</f>
        <v>收入类-其他</v>
      </c>
      <c r="C39" s="3778"/>
      <c r="D39" s="2391">
        <f>A105000纳税调整项目明细表!C15</f>
        <v>0</v>
      </c>
      <c r="E39" s="2391">
        <f>A105000纳税调整项目明细表!D15</f>
        <v>0</v>
      </c>
      <c r="F39" s="2391">
        <f>A105000纳税调整项目明细表!E15</f>
        <v>0</v>
      </c>
      <c r="G39" s="2388"/>
    </row>
    <row r="40" spans="1:9" s="2350" customFormat="1" ht="18" customHeight="1">
      <c r="A40" s="2357"/>
      <c r="B40" s="3778" t="str">
        <f>MID(A105000纳税调整项目明细表!B18,7,FIND("（",A105000纳税调整项目明细表!B18,5)-7)</f>
        <v>职工薪酬</v>
      </c>
      <c r="C40" s="3778"/>
      <c r="D40" s="2390">
        <f>A105000纳税调整项目明细表!C18</f>
        <v>0</v>
      </c>
      <c r="E40" s="2390">
        <f>A105000纳税调整项目明细表!D18</f>
        <v>0</v>
      </c>
      <c r="F40" s="2390">
        <f>A105000纳税调整项目明细表!E18</f>
        <v>0</v>
      </c>
      <c r="G40" s="2388"/>
    </row>
    <row r="41" spans="1:9" s="2350" customFormat="1" ht="18" customHeight="1">
      <c r="A41" s="2357"/>
      <c r="B41" s="3778" t="str">
        <f>MID(A105000纳税调整项目明细表!B19,7,LEN(A105000纳税调整项目明细表!B19))</f>
        <v>业务招待费支出</v>
      </c>
      <c r="C41" s="3778"/>
      <c r="D41" s="2390">
        <f>N(A105000纳税调整项目明细表!C19)</f>
        <v>0</v>
      </c>
      <c r="E41" s="2390">
        <f>N(A105000纳税调整项目明细表!D19)</f>
        <v>0</v>
      </c>
      <c r="F41" s="2390">
        <f>N(A105000纳税调整项目明细表!E19)</f>
        <v>0</v>
      </c>
      <c r="G41" s="2388"/>
    </row>
    <row r="42" spans="1:9" s="2350" customFormat="1" ht="18" customHeight="1">
      <c r="A42" s="2357"/>
      <c r="B42" s="3778" t="str">
        <f>MID(A105000纳税调整项目明细表!B20,7,FIND("（",A105000纳税调整项目明细表!B20,5)-7)</f>
        <v>广告费和业务宣传费支出</v>
      </c>
      <c r="C42" s="3778"/>
      <c r="D42" s="2390">
        <f>N(A105000纳税调整项目明细表!C20)</f>
        <v>0</v>
      </c>
      <c r="E42" s="2390">
        <f>N(A105000纳税调整项目明细表!D20)</f>
        <v>0</v>
      </c>
      <c r="F42" s="2390">
        <f>N(A105000纳税调整项目明细表!E20)</f>
        <v>0</v>
      </c>
      <c r="G42" s="2388"/>
      <c r="H42" s="2316" t="s">
        <v>7022</v>
      </c>
      <c r="I42" s="2395" t="s">
        <v>7023</v>
      </c>
    </row>
    <row r="43" spans="1:9" s="2350" customFormat="1" ht="18" customHeight="1">
      <c r="A43" s="2357"/>
      <c r="B43" s="3778" t="str">
        <f>MID(A105000纳税调整项目明细表!B21,7,FIND("（",A105000纳税调整项目明细表!B21,5)-7)</f>
        <v>捐赠支出</v>
      </c>
      <c r="C43" s="3778"/>
      <c r="D43" s="2390">
        <f>N(A105000纳税调整项目明细表!C21)</f>
        <v>0</v>
      </c>
      <c r="E43" s="2390">
        <f>N(A105000纳税调整项目明细表!D21)</f>
        <v>0</v>
      </c>
      <c r="F43" s="2390">
        <f>N(A105000纳税调整项目明细表!E21)</f>
        <v>0</v>
      </c>
      <c r="G43" s="2388"/>
    </row>
    <row r="44" spans="1:9" s="2350" customFormat="1" ht="18" customHeight="1">
      <c r="A44" s="2357"/>
      <c r="B44" s="3778" t="str">
        <f>MID(A105000纳税调整项目明细表!B22,7,LEN(A105000纳税调整项目明细表!B22))</f>
        <v>利息支出</v>
      </c>
      <c r="C44" s="3778"/>
      <c r="D44" s="2390">
        <f>N(A105000纳税调整项目明细表!C22)</f>
        <v>0</v>
      </c>
      <c r="E44" s="2390">
        <f>N(A105000纳税调整项目明细表!D22)</f>
        <v>0</v>
      </c>
      <c r="F44" s="2390">
        <f>N(A105000纳税调整项目明细表!E22)</f>
        <v>0</v>
      </c>
      <c r="G44" s="2388"/>
    </row>
    <row r="45" spans="1:9" s="2350" customFormat="1" ht="18" customHeight="1">
      <c r="A45" s="2357"/>
      <c r="B45" s="3778" t="str">
        <f>MID(A105000纳税调整项目明细表!B23,7,LEN(A105000纳税调整项目明细表!B23))</f>
        <v>罚金、罚款和被没收财物的损失</v>
      </c>
      <c r="C45" s="3778"/>
      <c r="D45" s="2390">
        <f>N(A105000纳税调整项目明细表!C23)</f>
        <v>0</v>
      </c>
      <c r="E45" s="2390">
        <f>N(A105000纳税调整项目明细表!D23)</f>
        <v>0</v>
      </c>
      <c r="F45" s="2390">
        <f>N(A105000纳税调整项目明细表!E23)</f>
        <v>0</v>
      </c>
      <c r="G45" s="2388"/>
    </row>
    <row r="46" spans="1:9" s="2350" customFormat="1" ht="18" customHeight="1">
      <c r="A46" s="2357"/>
      <c r="B46" s="3778" t="str">
        <f>MID(A105000纳税调整项目明细表!B24,7,LEN(A105000纳税调整项目明细表!B24))</f>
        <v>税收滞纳金、加收利息</v>
      </c>
      <c r="C46" s="3778"/>
      <c r="D46" s="2390">
        <f>N(A105000纳税调整项目明细表!C24)</f>
        <v>0</v>
      </c>
      <c r="E46" s="2390">
        <f>N(A105000纳税调整项目明细表!D24)</f>
        <v>0</v>
      </c>
      <c r="F46" s="2390">
        <f>N(A105000纳税调整项目明细表!E24)</f>
        <v>0</v>
      </c>
      <c r="G46" s="2388"/>
    </row>
    <row r="47" spans="1:9" s="2350" customFormat="1" ht="18" customHeight="1">
      <c r="A47" s="2357"/>
      <c r="B47" s="3778" t="str">
        <f>MID(A105000纳税调整项目明细表!B25,7,LEN(A105000纳税调整项目明细表!B25))</f>
        <v>赞助支出</v>
      </c>
      <c r="C47" s="3778"/>
      <c r="D47" s="2390">
        <f>N(A105000纳税调整项目明细表!C25)</f>
        <v>0</v>
      </c>
      <c r="E47" s="2390">
        <f>N(A105000纳税调整项目明细表!D25)</f>
        <v>0</v>
      </c>
      <c r="F47" s="2390">
        <f>N(A105000纳税调整项目明细表!E25)</f>
        <v>0</v>
      </c>
      <c r="G47" s="2388"/>
    </row>
    <row r="48" spans="1:9" s="2350" customFormat="1" ht="18" customHeight="1">
      <c r="A48" s="2357"/>
      <c r="B48" s="3778" t="str">
        <f>MID(A105000纳税调整项目明细表!B26,7,LEN(A105000纳税调整项目明细表!B26))</f>
        <v>与未实现融资收益相关在当期确认的财务费用</v>
      </c>
      <c r="C48" s="3778"/>
      <c r="D48" s="2390">
        <f>N(A105000纳税调整项目明细表!C26)</f>
        <v>0</v>
      </c>
      <c r="E48" s="2390">
        <f>N(A105000纳税调整项目明细表!D26)</f>
        <v>0</v>
      </c>
      <c r="F48" s="2390">
        <f>N(A105000纳税调整项目明细表!E26)</f>
        <v>0</v>
      </c>
      <c r="G48" s="2388"/>
    </row>
    <row r="49" spans="1:9" s="2350" customFormat="1" ht="18" customHeight="1">
      <c r="A49" s="2357"/>
      <c r="B49" s="3778" t="str">
        <f>MID(A105000纳税调整项目明细表!B27,9,LEN(A105000纳税调整项目明细表!B27))</f>
        <v>佣金和手续费支出</v>
      </c>
      <c r="C49" s="3778"/>
      <c r="D49" s="2390">
        <f>N(A105000纳税调整项目明细表!C27)</f>
        <v>0</v>
      </c>
      <c r="E49" s="2390">
        <f>N(A105000纳税调整项目明细表!D27)</f>
        <v>0</v>
      </c>
      <c r="F49" s="2390">
        <f>N(A105000纳税调整项目明细表!E27)</f>
        <v>0</v>
      </c>
      <c r="G49" s="2388"/>
    </row>
    <row r="50" spans="1:9" s="2350" customFormat="1" ht="18" customHeight="1">
      <c r="A50" s="2357"/>
      <c r="B50" s="3778" t="str">
        <f>LEFT(其他事项!B21,14)</f>
        <v>不征税收入用于支出形成的费用</v>
      </c>
      <c r="C50" s="3778"/>
      <c r="D50" s="2390">
        <f>其他事项!D21+A105040专项用途财政性资金纳税调整表!M13</f>
        <v>0</v>
      </c>
      <c r="E50" s="2390">
        <f>N(其他事项!E21)</f>
        <v>0</v>
      </c>
      <c r="F50" s="2390">
        <f>N(其他事项!F21)</f>
        <v>0</v>
      </c>
      <c r="G50" s="2388"/>
    </row>
    <row r="51" spans="1:9" s="2350" customFormat="1" ht="18" customHeight="1">
      <c r="A51" s="2357"/>
      <c r="B51" s="3778" t="str">
        <f>MID(A105000纳税调整项目明细表!B30,9,LEN(A105000纳税调整项目明细表!B30))</f>
        <v>跨期扣除项目</v>
      </c>
      <c r="C51" s="3778"/>
      <c r="D51" s="2390">
        <f>N(A105000纳税调整项目明细表!C30)</f>
        <v>0</v>
      </c>
      <c r="E51" s="2390">
        <f>N(A105000纳税调整项目明细表!D30)</f>
        <v>0</v>
      </c>
      <c r="F51" s="2390">
        <f>N(A105000纳税调整项目明细表!E30)</f>
        <v>0</v>
      </c>
      <c r="G51" s="2388"/>
    </row>
    <row r="52" spans="1:9" s="2350" customFormat="1" ht="18" customHeight="1">
      <c r="A52" s="2357"/>
      <c r="B52" s="3778" t="str">
        <f>MID(A105000纳税调整项目明细表!B31,8,LEN(A105000纳税调整项目明细表!B31))</f>
        <v>与取得收入无关的支出</v>
      </c>
      <c r="C52" s="3778"/>
      <c r="D52" s="2390">
        <f>N(A105000纳税调整项目明细表!C31)</f>
        <v>0</v>
      </c>
      <c r="E52" s="2390">
        <f>N(A105000纳税调整项目明细表!D31)</f>
        <v>0</v>
      </c>
      <c r="F52" s="2390">
        <f>N(A105000纳税调整项目明细表!E31)</f>
        <v>0</v>
      </c>
      <c r="G52" s="2388"/>
    </row>
    <row r="53" spans="1:9" s="2350" customFormat="1" ht="18" customHeight="1">
      <c r="A53" s="2357"/>
      <c r="B53" s="3778" t="str">
        <f>MID(A105000纳税调整项目明细表!B32,9,LEN(A105000纳税调整项目明细表!B32))</f>
        <v>境外所得分摊的共同支出</v>
      </c>
      <c r="C53" s="3778"/>
      <c r="D53" s="2390">
        <f>A108010境外所得纳税调整后所得明细表!Q15+A108010境外所得纳税调整后所得明细表!R15</f>
        <v>0</v>
      </c>
      <c r="E53" s="2390">
        <f>N(A105000纳税调整项目明细表!D32)</f>
        <v>0</v>
      </c>
      <c r="F53" s="2390">
        <f>N(A105000纳税调整项目明细表!E32)</f>
        <v>0</v>
      </c>
      <c r="G53" s="2388"/>
      <c r="H53" s="575" t="s">
        <v>7024</v>
      </c>
    </row>
    <row r="54" spans="1:9" s="2350" customFormat="1" ht="18" customHeight="1">
      <c r="A54" s="2357"/>
      <c r="B54" s="3778" t="str">
        <f>其他事项!B22</f>
        <v>未取得合法有效票据的支出</v>
      </c>
      <c r="C54" s="3778"/>
      <c r="D54" s="2390">
        <f>N(其他事项!D22)</f>
        <v>0</v>
      </c>
      <c r="E54" s="2390">
        <f>N(其他事项!E22)</f>
        <v>0</v>
      </c>
      <c r="F54" s="2390">
        <f>N(其他事项!F22)</f>
        <v>0</v>
      </c>
      <c r="G54" s="2388"/>
    </row>
    <row r="55" spans="1:9" s="2350" customFormat="1" ht="18" customHeight="1">
      <c r="A55" s="2358"/>
      <c r="B55" s="3778" t="str">
        <f>其他事项!B23</f>
        <v>非本公司费用</v>
      </c>
      <c r="C55" s="3778"/>
      <c r="D55" s="2390">
        <f>N(其他事项!D23)</f>
        <v>0</v>
      </c>
      <c r="E55" s="2390">
        <f>N(其他事项!E23)</f>
        <v>0</v>
      </c>
      <c r="F55" s="2390">
        <f>N(其他事项!F23)</f>
        <v>0</v>
      </c>
      <c r="G55" s="2388"/>
      <c r="H55" s="2394"/>
    </row>
    <row r="56" spans="1:9" s="2350" customFormat="1" ht="18" customHeight="1">
      <c r="A56" s="2358"/>
      <c r="B56" s="3778" t="str">
        <f>其他事项!B25</f>
        <v>跨期费用</v>
      </c>
      <c r="C56" s="3778"/>
      <c r="D56" s="2390">
        <f>N(其他事项!D25)</f>
        <v>0</v>
      </c>
      <c r="E56" s="2390">
        <f>N(其他事项!E25)</f>
        <v>0</v>
      </c>
      <c r="F56" s="2390">
        <f>N(其他事项!F25)</f>
        <v>0</v>
      </c>
      <c r="G56" s="2388"/>
      <c r="H56" s="2394"/>
    </row>
    <row r="57" spans="1:9" s="2350" customFormat="1" ht="18" customHeight="1">
      <c r="A57" s="2358"/>
      <c r="B57" s="3778" t="str">
        <f>其他事项!B26</f>
        <v>大额购物未附清单</v>
      </c>
      <c r="C57" s="3778"/>
      <c r="D57" s="2390">
        <f>N(其他事项!D26)</f>
        <v>0</v>
      </c>
      <c r="E57" s="2390">
        <f>N(其他事项!E26)</f>
        <v>0</v>
      </c>
      <c r="F57" s="2390">
        <f>N(其他事项!F26)</f>
        <v>0</v>
      </c>
      <c r="G57" s="2389"/>
      <c r="H57" s="2316" t="s">
        <v>1298</v>
      </c>
      <c r="I57" s="14"/>
    </row>
    <row r="58" spans="1:9" s="2350" customFormat="1" ht="18" customHeight="1">
      <c r="A58" s="2358"/>
      <c r="B58" s="3778" t="str">
        <f>其他事项!B28</f>
        <v>按权责发生制原则应在以后年度确认的支出</v>
      </c>
      <c r="C58" s="3778"/>
      <c r="D58" s="2390">
        <f>N(其他事项!D28)</f>
        <v>0</v>
      </c>
      <c r="E58" s="2390">
        <f>N(其他事项!E28)</f>
        <v>0</v>
      </c>
      <c r="F58" s="2390">
        <f>N(其他事项!F28)</f>
        <v>0</v>
      </c>
      <c r="G58" s="2388"/>
      <c r="H58" s="2394"/>
      <c r="I58" s="14"/>
    </row>
    <row r="59" spans="1:9" s="2350" customFormat="1" ht="18" customHeight="1">
      <c r="A59" s="2358"/>
      <c r="B59" s="3778" t="str">
        <f>其他事项!B31</f>
        <v>应并入业务招待费的费用</v>
      </c>
      <c r="C59" s="3778"/>
      <c r="D59" s="2390">
        <f>N(其他事项!D31)</f>
        <v>0</v>
      </c>
      <c r="E59" s="2390">
        <f>N(其他事项!E31)</f>
        <v>0</v>
      </c>
      <c r="F59" s="2390">
        <f>N(其他事项!F31)</f>
        <v>0</v>
      </c>
      <c r="G59" s="2388"/>
      <c r="H59" s="2394"/>
      <c r="I59" s="14"/>
    </row>
    <row r="60" spans="1:9" s="2350" customFormat="1" ht="18" customHeight="1">
      <c r="A60" s="2358"/>
      <c r="B60" s="3778" t="str">
        <f>其他事项!B32</f>
        <v>灾害事故损失获得赔偿部分</v>
      </c>
      <c r="C60" s="3778"/>
      <c r="D60" s="2390">
        <f>N(其他事项!D32)</f>
        <v>0</v>
      </c>
      <c r="E60" s="2390">
        <f>N(其他事项!E32)</f>
        <v>0</v>
      </c>
      <c r="F60" s="2390">
        <f>N(其他事项!F32)</f>
        <v>0</v>
      </c>
      <c r="G60" s="2388"/>
      <c r="H60" s="2394"/>
      <c r="I60" s="14"/>
    </row>
    <row r="61" spans="1:9" s="2350" customFormat="1" ht="18" customHeight="1">
      <c r="A61" s="2358"/>
      <c r="B61" s="3778" t="str">
        <f>其他事项!B34</f>
        <v>为其他企业贷款担保的支出项目</v>
      </c>
      <c r="C61" s="3778"/>
      <c r="D61" s="2390">
        <f>N(其他事项!D34)</f>
        <v>0</v>
      </c>
      <c r="E61" s="2390">
        <f>N(其他事项!E34)</f>
        <v>0</v>
      </c>
      <c r="F61" s="2390">
        <f>N(其他事项!F34)</f>
        <v>0</v>
      </c>
      <c r="G61" s="2388"/>
      <c r="H61" s="2394"/>
      <c r="I61" s="14"/>
    </row>
    <row r="62" spans="1:9" s="2350" customFormat="1" ht="18" customHeight="1">
      <c r="A62" s="2358"/>
      <c r="B62" s="3778" t="str">
        <f>其他事项!B35</f>
        <v>在福利费中列支的社会保障性缴款单位负担部分</v>
      </c>
      <c r="C62" s="3778"/>
      <c r="D62" s="2390">
        <f>N(其他事项!D35)</f>
        <v>0</v>
      </c>
      <c r="E62" s="2390">
        <f>N(其他事项!E35)</f>
        <v>0</v>
      </c>
      <c r="F62" s="2390">
        <f>N(其他事项!F35)</f>
        <v>0</v>
      </c>
      <c r="G62" s="2388"/>
      <c r="H62" s="2394"/>
      <c r="I62" s="14"/>
    </row>
    <row r="63" spans="1:9" s="2350" customFormat="1" ht="18" customHeight="1">
      <c r="A63" s="2358"/>
      <c r="B63" s="3778" t="str">
        <f>其他事项!B37</f>
        <v>不属于应付福利费开支范围的支出</v>
      </c>
      <c r="C63" s="3778"/>
      <c r="D63" s="2390">
        <f>N(其他事项!D37)</f>
        <v>0</v>
      </c>
      <c r="E63" s="2390">
        <f>N(其他事项!E37)</f>
        <v>0</v>
      </c>
      <c r="F63" s="2390">
        <f>N(其他事项!F37)</f>
        <v>0</v>
      </c>
      <c r="G63" s="2388"/>
      <c r="I63" s="14"/>
    </row>
    <row r="64" spans="1:9" s="2350" customFormat="1" ht="18" customHeight="1">
      <c r="A64" s="2358"/>
      <c r="B64" s="3778" t="str">
        <f>其他事项!B38</f>
        <v>产权不属于公司的汽车费用</v>
      </c>
      <c r="C64" s="3778"/>
      <c r="D64" s="2390">
        <f>N(其他事项!D38)</f>
        <v>0</v>
      </c>
      <c r="E64" s="2390">
        <f>N(其他事项!E38)</f>
        <v>0</v>
      </c>
      <c r="F64" s="2390">
        <f>N(其他事项!F38)</f>
        <v>0</v>
      </c>
      <c r="G64" s="2388"/>
      <c r="H64" s="2394"/>
      <c r="I64" s="2396"/>
    </row>
    <row r="65" spans="1:9" s="2350" customFormat="1" ht="18" customHeight="1">
      <c r="A65" s="2358"/>
      <c r="B65" s="3782">
        <f>其他事项!B41</f>
        <v>0</v>
      </c>
      <c r="C65" s="3783"/>
      <c r="D65" s="2390">
        <f>其他事项!D41</f>
        <v>0</v>
      </c>
      <c r="E65" s="2390">
        <f>其他事项!E41</f>
        <v>0</v>
      </c>
      <c r="F65" s="2390">
        <f>其他事项!F41</f>
        <v>0</v>
      </c>
      <c r="G65" s="2388"/>
      <c r="H65" s="2394"/>
      <c r="I65" s="2396"/>
    </row>
    <row r="66" spans="1:9" s="2350" customFormat="1" ht="18" customHeight="1">
      <c r="A66" s="2358"/>
      <c r="B66" s="3778" t="s">
        <v>7025</v>
      </c>
      <c r="C66" s="3778"/>
      <c r="D66" s="2390">
        <f>租金!D11+租金!D17</f>
        <v>0</v>
      </c>
      <c r="E66" s="2390">
        <f>租金!D13+租金!D17-租金!D18</f>
        <v>0</v>
      </c>
      <c r="F66" s="2390">
        <f>租金!D14+租金!D18</f>
        <v>0</v>
      </c>
      <c r="G66" s="2388"/>
      <c r="H66" s="2394"/>
      <c r="I66" s="2396"/>
    </row>
    <row r="67" spans="1:9" s="2350" customFormat="1" ht="18" customHeight="1">
      <c r="A67" s="2358"/>
      <c r="B67" s="3778" t="str">
        <f>MID(A105000纳税调整项目明细表!B35,8,FIND("（",A105000纳税调整项目明细表!B35,5)+2)</f>
        <v>资产折旧、摊销</v>
      </c>
      <c r="C67" s="3778"/>
      <c r="D67" s="2390">
        <f>A105000纳税调整项目明细表!C35</f>
        <v>0</v>
      </c>
      <c r="E67" s="2390">
        <f ca="1">A105000纳税调整项目明细表!D35</f>
        <v>0</v>
      </c>
      <c r="F67" s="2390">
        <f ca="1">A105000纳税调整项目明细表!E35</f>
        <v>0</v>
      </c>
      <c r="G67" s="2388"/>
      <c r="H67" s="2397"/>
      <c r="I67" s="2396"/>
    </row>
    <row r="68" spans="1:9" s="2350" customFormat="1" ht="18" customHeight="1">
      <c r="A68" s="2358"/>
      <c r="B68" s="3778" t="str">
        <f>MID(A105000纳税调整项目明细表!B36,8,FIND("（",A105000纳税调整项目明细表!B36,5)+2)</f>
        <v>资产减值准备金</v>
      </c>
      <c r="C68" s="3778"/>
      <c r="D68" s="2390">
        <f>A105000纳税调整项目明细表!C36</f>
        <v>0</v>
      </c>
      <c r="E68" s="2390">
        <f>N(A105000纳税调整项目明细表!D36)</f>
        <v>0</v>
      </c>
      <c r="F68" s="2390">
        <f>A105000纳税调整项目明细表!E36</f>
        <v>0</v>
      </c>
      <c r="G68" s="2398"/>
      <c r="H68" s="2394"/>
    </row>
    <row r="69" spans="1:9" s="2350" customFormat="1" ht="18" customHeight="1">
      <c r="A69" s="2358"/>
      <c r="B69" s="3778" t="str">
        <f>MID(A105000纳税调整项目明细表!B37,7,FIND("（",A105000纳税调整项目明细表!B37,5)-7)</f>
        <v>资产损失</v>
      </c>
      <c r="C69" s="3778"/>
      <c r="D69" s="2390">
        <f>A105000纳税调整项目明细表!C37</f>
        <v>0</v>
      </c>
      <c r="E69" s="2390">
        <f>N(A105000纳税调整项目明细表!D37)</f>
        <v>0</v>
      </c>
      <c r="F69" s="2390">
        <f>A105000纳税调整项目明细表!E37</f>
        <v>0</v>
      </c>
      <c r="G69" s="2389"/>
      <c r="H69" s="2394"/>
    </row>
    <row r="70" spans="1:9" s="2350" customFormat="1" ht="18" customHeight="1">
      <c r="A70" s="2358"/>
      <c r="B70" s="3781" t="str">
        <f>其他事项!B13</f>
        <v>应予资本化的固定资产支出</v>
      </c>
      <c r="C70" s="3781"/>
      <c r="D70" s="2390">
        <f>其他事项!D13</f>
        <v>0</v>
      </c>
      <c r="E70" s="2390">
        <f>其他事项!E13</f>
        <v>0</v>
      </c>
      <c r="F70" s="2390">
        <f>其他事项!F13</f>
        <v>0</v>
      </c>
      <c r="G70" s="2389"/>
      <c r="H70" s="2394"/>
    </row>
    <row r="71" spans="1:9" s="2350" customFormat="1" ht="18" customHeight="1">
      <c r="A71" s="2358"/>
      <c r="B71" s="3781" t="str">
        <f>其他事项!B14</f>
        <v>应予资本化的无形资产支出</v>
      </c>
      <c r="C71" s="3781"/>
      <c r="D71" s="2390">
        <f>其他事项!D14</f>
        <v>0</v>
      </c>
      <c r="E71" s="2390">
        <f>其他事项!E14</f>
        <v>0</v>
      </c>
      <c r="F71" s="2390">
        <f>其他事项!F14</f>
        <v>0</v>
      </c>
      <c r="G71" s="2389"/>
      <c r="H71" s="2394"/>
    </row>
    <row r="72" spans="1:9" s="2350" customFormat="1" ht="18" customHeight="1">
      <c r="A72" s="2358"/>
      <c r="B72" s="3781" t="str">
        <f>其他事项!A13&amp;"-"&amp;其他事项!B15</f>
        <v>资产类-其他</v>
      </c>
      <c r="C72" s="3781"/>
      <c r="D72" s="2390">
        <f>其他事项!D15</f>
        <v>0</v>
      </c>
      <c r="E72" s="2390">
        <f>其他事项!E15</f>
        <v>0</v>
      </c>
      <c r="F72" s="2390">
        <f>MAX(其他事项!F15,0)</f>
        <v>0</v>
      </c>
      <c r="G72" s="2389"/>
      <c r="H72" s="2394"/>
    </row>
    <row r="73" spans="1:9" s="2350" customFormat="1" ht="18" customHeight="1">
      <c r="A73" s="2358"/>
      <c r="B73" s="3781" t="str">
        <f>MID(A105000纳税调整项目明细表!B40,7,FIND("（",A105000纳税调整项目明细表!B40,5)-7)</f>
        <v>企业重组</v>
      </c>
      <c r="C73" s="3781"/>
      <c r="D73" s="2393">
        <f>A105000纳税调整项目明细表!C40</f>
        <v>0</v>
      </c>
      <c r="E73" s="2393">
        <f>A105000纳税调整项目明细表!D40</f>
        <v>0</v>
      </c>
      <c r="F73" s="2393">
        <f>A105000纳税调整项目明细表!E40</f>
        <v>0</v>
      </c>
      <c r="G73" s="2389"/>
      <c r="H73" s="2394"/>
    </row>
    <row r="74" spans="1:9" s="2350" customFormat="1" ht="18" customHeight="1">
      <c r="A74" s="2358"/>
      <c r="B74" s="3781" t="str">
        <f>MID(A105000纳税调整项目明细表!B41,8,FIND("（",A105000纳税调整项目明细表!B41,5))</f>
        <v>政策性搬迁</v>
      </c>
      <c r="C74" s="3781"/>
      <c r="D74" s="2393">
        <f>A105110政策性搬迁纳税调整明细表!C25+A105110政策性搬迁纳税调整明细表!C26</f>
        <v>0</v>
      </c>
      <c r="E74" s="2393">
        <f>A105110政策性搬迁纳税调整明细表!C21</f>
        <v>0</v>
      </c>
      <c r="F74" s="2393">
        <f>A105000纳税调整项目明细表!E41</f>
        <v>0</v>
      </c>
      <c r="G74" s="2389"/>
      <c r="H74" s="2394"/>
    </row>
    <row r="75" spans="1:9" s="2350" customFormat="1" ht="18" customHeight="1">
      <c r="A75" s="2358"/>
      <c r="B75" s="3781" t="str">
        <f>MID(A105000纳税调整项目明细表!B42,8,FIND("（",A105000纳税调整项目明细表!B42,5)+2)</f>
        <v>特殊行业准备金</v>
      </c>
      <c r="C75" s="3781"/>
      <c r="D75" s="2393">
        <f>N(A105000纳税调整项目明细表!C42)</f>
        <v>0</v>
      </c>
      <c r="E75" s="2393">
        <f>N(A105000纳税调整项目明细表!D42)</f>
        <v>0</v>
      </c>
      <c r="F75" s="2393">
        <f>N(A105000纳税调整项目明细表!E42)</f>
        <v>0</v>
      </c>
      <c r="G75" s="2389"/>
      <c r="H75" s="2394"/>
    </row>
    <row r="76" spans="1:9" s="2350" customFormat="1" ht="18" customHeight="1">
      <c r="A76" s="2358"/>
      <c r="B76" s="3781" t="str">
        <f>MID(A105000纳税调整项目明细表!B43,8,FIND("（",A105000纳税调整项目明细表!B43,5)+14)</f>
        <v>房地产开发企业特定业务计算的纳税调整额</v>
      </c>
      <c r="C76" s="3781"/>
      <c r="D76" s="2393">
        <f>N(A105000纳税调整项目明细表!C43)</f>
        <v>0</v>
      </c>
      <c r="E76" s="2393">
        <f>N(A105000纳税调整项目明细表!D43)</f>
        <v>0</v>
      </c>
      <c r="F76" s="2393">
        <f>N(A105000纳税调整项目明细表!E43)</f>
        <v>0</v>
      </c>
      <c r="G76" s="2389"/>
      <c r="H76" s="2394"/>
    </row>
    <row r="77" spans="1:9" s="2350" customFormat="1" ht="18" customHeight="1">
      <c r="A77" s="2358"/>
      <c r="B77" s="3781" t="str">
        <f>其他事项!A17&amp;"调整项目-"&amp;其他事项!B17</f>
        <v>特殊事项调整项目-其他</v>
      </c>
      <c r="C77" s="3781"/>
      <c r="D77" s="2393">
        <f>其他事项!D17</f>
        <v>0</v>
      </c>
      <c r="E77" s="2393">
        <f>其他事项!E17</f>
        <v>0</v>
      </c>
      <c r="F77" s="2393">
        <f>A105000纳税调整项目明细表!E44</f>
        <v>0</v>
      </c>
      <c r="G77" s="2389"/>
      <c r="H77" s="2394"/>
    </row>
    <row r="78" spans="1:9" s="2350" customFormat="1" ht="18" customHeight="1">
      <c r="A78" s="2358"/>
      <c r="B78" s="3781" t="str">
        <f>其他事项!A18&amp;"应税所得"</f>
        <v>特别纳税调整应税所得</v>
      </c>
      <c r="C78" s="3781"/>
      <c r="D78" s="2393">
        <f>其他事项!D18</f>
        <v>0</v>
      </c>
      <c r="E78" s="2393">
        <f>其他事项!E18</f>
        <v>0</v>
      </c>
      <c r="F78" s="2393">
        <f>A105000纳税调整项目明细表!E45</f>
        <v>0</v>
      </c>
      <c r="G78" s="2389"/>
      <c r="H78" s="2394"/>
    </row>
    <row r="79" spans="1:9" s="2350" customFormat="1" ht="18" customHeight="1">
      <c r="A79" s="2358"/>
      <c r="B79" s="3781" t="str">
        <f>"纳税调整项目-"&amp;其他事项!A19</f>
        <v>纳税调整项目-其他</v>
      </c>
      <c r="C79" s="3781"/>
      <c r="D79" s="2393">
        <f>其他事项!D19</f>
        <v>0</v>
      </c>
      <c r="E79" s="2393">
        <f>其他事项!E19</f>
        <v>0</v>
      </c>
      <c r="F79" s="2393">
        <f>A105000纳税调整项目明细表!E46</f>
        <v>0</v>
      </c>
      <c r="G79" s="2389"/>
      <c r="H79" s="2394"/>
    </row>
    <row r="80" spans="1:9" s="2350" customFormat="1" ht="18" customHeight="1">
      <c r="A80" s="2358"/>
      <c r="B80" s="3776"/>
      <c r="C80" s="3777"/>
      <c r="D80" s="2399"/>
      <c r="E80" s="2400"/>
      <c r="F80" s="2399"/>
      <c r="G80" s="2389"/>
      <c r="H80" s="2394"/>
    </row>
    <row r="81" spans="1:8" s="2350" customFormat="1" ht="18" customHeight="1">
      <c r="A81" s="2358"/>
      <c r="B81" s="3769"/>
      <c r="C81" s="3769"/>
      <c r="D81" s="2399"/>
      <c r="E81" s="2400"/>
      <c r="F81" s="2399"/>
      <c r="G81" s="2389"/>
      <c r="H81" s="2394"/>
    </row>
    <row r="82" spans="1:8" s="2350" customFormat="1" ht="18" customHeight="1">
      <c r="A82" s="2358"/>
      <c r="B82" s="3770" t="s">
        <v>7026</v>
      </c>
      <c r="C82" s="3770"/>
      <c r="D82" s="2401">
        <v>0</v>
      </c>
      <c r="E82" s="2401">
        <v>0</v>
      </c>
      <c r="F82" s="2402">
        <f ca="1">SUM(F31:F81)</f>
        <v>0</v>
      </c>
      <c r="G82" s="2403"/>
      <c r="H82" s="2404" t="str">
        <f ca="1">"与A105000纳税调整项目明细表相差"&amp;DOLLAR(F82-A105000纳税调整项目明细表!E47,2)</f>
        <v>与A105000纳税调整项目明细表相差¥0.00</v>
      </c>
    </row>
    <row r="83" spans="1:8" s="2350" customFormat="1" ht="22.5" customHeight="1">
      <c r="A83" s="2358"/>
      <c r="B83" s="2375" t="s">
        <v>7027</v>
      </c>
      <c r="C83" s="2405">
        <f ca="1">F118</f>
        <v>0</v>
      </c>
      <c r="D83" s="2406" t="s">
        <v>7005</v>
      </c>
      <c r="E83" s="2406"/>
      <c r="F83" s="2406"/>
      <c r="G83" s="2406"/>
      <c r="H83" s="2394"/>
    </row>
    <row r="84" spans="1:8" s="2350" customFormat="1" ht="21.75" customHeight="1">
      <c r="A84" s="2358"/>
      <c r="B84" s="3770" t="s">
        <v>1627</v>
      </c>
      <c r="C84" s="3770"/>
      <c r="D84" s="2407" t="s">
        <v>1628</v>
      </c>
      <c r="E84" s="2407" t="s">
        <v>1300</v>
      </c>
      <c r="F84" s="2407" t="s">
        <v>1463</v>
      </c>
      <c r="G84" s="2361" t="s">
        <v>7009</v>
      </c>
      <c r="H84" s="2408" t="s">
        <v>7028</v>
      </c>
    </row>
    <row r="85" spans="1:8" s="2350" customFormat="1" ht="18" customHeight="1">
      <c r="A85" s="2358"/>
      <c r="B85" s="3778" t="str">
        <f>MID(A105000纳税调整项目明细表!B7,7,FIND("（",A105000纳税调整项目明细表!B7,5)-7)</f>
        <v>未按权责发生制原则确认的收入</v>
      </c>
      <c r="C85" s="3778"/>
      <c r="D85" s="2390">
        <f>A105000纳税调整项目明细表!C7</f>
        <v>0</v>
      </c>
      <c r="E85" s="2390">
        <f>A105000纳税调整项目明细表!D7</f>
        <v>0</v>
      </c>
      <c r="F85" s="2390">
        <f>A105000纳税调整项目明细表!F7</f>
        <v>0</v>
      </c>
      <c r="G85" s="2388"/>
      <c r="H85" s="2394"/>
    </row>
    <row r="86" spans="1:8" s="2350" customFormat="1" ht="18" customHeight="1">
      <c r="A86" s="2358"/>
      <c r="B86" s="3778" t="str">
        <f>MID(A105000纳税调整项目明细表!B8,8,FIND("（",A105000纳税调整项目明细表!B8,5)-1)</f>
        <v>投资收益</v>
      </c>
      <c r="C86" s="3778"/>
      <c r="D86" s="2390">
        <f>A105000纳税调整项目明细表!C8</f>
        <v>0</v>
      </c>
      <c r="E86" s="2390">
        <f>A105000纳税调整项目明细表!D8</f>
        <v>0</v>
      </c>
      <c r="F86" s="2390">
        <f>A105000纳税调整项目明细表!F8</f>
        <v>0</v>
      </c>
      <c r="G86" s="2388"/>
      <c r="H86" s="2394"/>
    </row>
    <row r="87" spans="1:8" s="2350" customFormat="1" ht="33.75" customHeight="1">
      <c r="A87" s="2358"/>
      <c r="B87" s="3779" t="str">
        <f>其他事项!B11</f>
        <v>按权益法核算长期股权投资对初始投资成本调整确认收益</v>
      </c>
      <c r="C87" s="3780"/>
      <c r="D87" s="2390">
        <f>其他事项!D11</f>
        <v>0</v>
      </c>
      <c r="E87" s="2390">
        <f>N(其他事项!E11)</f>
        <v>0</v>
      </c>
      <c r="F87" s="2390">
        <f>-其他事项!F11</f>
        <v>0</v>
      </c>
      <c r="G87" s="2388"/>
      <c r="H87" s="2394"/>
    </row>
    <row r="88" spans="1:8" s="2350" customFormat="1" ht="18" customHeight="1">
      <c r="A88" s="2358"/>
      <c r="B88" s="3778" t="str">
        <f>MID(A105000纳税调整项目明细表!B11,7,LEN(A105000纳税调整项目明细表!B11))</f>
        <v>公允价值变动净损益</v>
      </c>
      <c r="C88" s="3778"/>
      <c r="D88" s="2390">
        <f>A105000纳税调整项目明细表!C11</f>
        <v>0</v>
      </c>
      <c r="E88" s="2390">
        <f>N(A105000纳税调整项目明细表!D11)</f>
        <v>0</v>
      </c>
      <c r="F88" s="2390">
        <f>A105000纳税调整项目明细表!F11</f>
        <v>0</v>
      </c>
      <c r="G88" s="2388"/>
      <c r="H88" s="2394"/>
    </row>
    <row r="89" spans="1:8" s="2350" customFormat="1" ht="18" customHeight="1">
      <c r="A89" s="2358"/>
      <c r="B89" s="3778" t="str">
        <f>LEFT(其他事项!B8,5)</f>
        <v>不征税收入</v>
      </c>
      <c r="C89" s="3778"/>
      <c r="D89" s="2390">
        <f>其他事项!D8+A105040专项用途财政性资金纳税调整表!F13</f>
        <v>0</v>
      </c>
      <c r="E89" s="2390">
        <f>其他事项!E8+A105040专项用途财政性资金纳税调整表!P13</f>
        <v>0</v>
      </c>
      <c r="F89" s="2390">
        <f>-MIN(0,E36-D36)</f>
        <v>0</v>
      </c>
      <c r="G89" s="2388"/>
      <c r="H89" s="2394"/>
    </row>
    <row r="90" spans="1:8" s="2350" customFormat="1" ht="18" customHeight="1">
      <c r="A90" s="2358"/>
      <c r="B90" s="3778" t="str">
        <f>MID(A105000纳税调整项目明细表!B14,8,LEN(A105000纳税调整项目明细表!B14))</f>
        <v>销售折扣、折让和退回</v>
      </c>
      <c r="C90" s="3778"/>
      <c r="D90" s="2390">
        <f>A105000纳税调整项目明细表!C14</f>
        <v>0</v>
      </c>
      <c r="E90" s="2390">
        <f>A105000纳税调整项目明细表!D14</f>
        <v>0</v>
      </c>
      <c r="F90" s="2390">
        <f>A105000纳税调整项目明细表!F14</f>
        <v>0</v>
      </c>
      <c r="G90" s="2388"/>
      <c r="H90" s="2394"/>
    </row>
    <row r="91" spans="1:8" s="2350" customFormat="1" ht="18" customHeight="1">
      <c r="A91" s="2358"/>
      <c r="B91" s="3778" t="str">
        <f>其他事项!A7&amp;"-"&amp;其他事项!B7</f>
        <v>收入类-其他</v>
      </c>
      <c r="C91" s="3778"/>
      <c r="D91" s="2390">
        <f>其他事项!D7</f>
        <v>0</v>
      </c>
      <c r="E91" s="2390">
        <f>其他事项!E7</f>
        <v>0</v>
      </c>
      <c r="F91" s="2390">
        <f>A105000纳税调整项目明细表!F15</f>
        <v>0</v>
      </c>
      <c r="G91" s="2388"/>
      <c r="H91" s="2394"/>
    </row>
    <row r="92" spans="1:8" s="2350" customFormat="1" ht="18" customHeight="1">
      <c r="A92" s="2358"/>
      <c r="B92" s="3778" t="str">
        <f>MID(A105000纳税调整项目明细表!B17,7,FIND("（",A105000纳税调整项目明细表!B17,5)-7)</f>
        <v>视同销售成本</v>
      </c>
      <c r="C92" s="3778"/>
      <c r="D92" s="2390">
        <f>N(A105000纳税调整项目明细表!C17)</f>
        <v>0</v>
      </c>
      <c r="E92" s="2390">
        <f>A105000纳税调整项目明细表!D17</f>
        <v>0</v>
      </c>
      <c r="F92" s="2390">
        <f>A105000纳税调整项目明细表!F17</f>
        <v>0</v>
      </c>
      <c r="G92" s="2388"/>
      <c r="H92" s="2394"/>
    </row>
    <row r="93" spans="1:8" s="2350" customFormat="1" ht="18" customHeight="1">
      <c r="A93" s="2358"/>
      <c r="B93" s="3778" t="str">
        <f>MID(A105000纳税调整项目明细表!B18,7,FIND("（",A105000纳税调整项目明细表!B18,5)-7)</f>
        <v>职工薪酬</v>
      </c>
      <c r="C93" s="3778"/>
      <c r="D93" s="2390">
        <f>A105000纳税调整项目明细表!C18</f>
        <v>0</v>
      </c>
      <c r="E93" s="2390">
        <f>A105000纳税调整项目明细表!D18</f>
        <v>0</v>
      </c>
      <c r="F93" s="2390">
        <f>A105000纳税调整项目明细表!F18</f>
        <v>0</v>
      </c>
      <c r="G93" s="2388"/>
      <c r="H93" s="2394"/>
    </row>
    <row r="94" spans="1:8" s="2350" customFormat="1" ht="18" customHeight="1">
      <c r="A94" s="2358"/>
      <c r="B94" s="3778" t="str">
        <f>MID(A105000纳税调整项目明细表!B20,7,FIND("（",A105000纳税调整项目明细表!B20,5)-7)</f>
        <v>广告费和业务宣传费支出</v>
      </c>
      <c r="C94" s="3778"/>
      <c r="D94" s="2390">
        <f>N(A105000纳税调整项目明细表!C20)</f>
        <v>0</v>
      </c>
      <c r="E94" s="2390">
        <f>N(A105000纳税调整项目明细表!D20)</f>
        <v>0</v>
      </c>
      <c r="F94" s="2390">
        <f>A105000纳税调整项目明细表!F20</f>
        <v>0</v>
      </c>
      <c r="G94" s="2388"/>
      <c r="H94" s="2394"/>
    </row>
    <row r="95" spans="1:8" s="2350" customFormat="1" ht="18" customHeight="1">
      <c r="A95" s="2358"/>
      <c r="B95" s="3774" t="str">
        <f>MID(A105000纳税调整项目明细表!B22,7,LEN(A105000纳税调整项目明细表!B22))</f>
        <v>利息支出</v>
      </c>
      <c r="C95" s="3775"/>
      <c r="D95" s="2390">
        <f>A105000纳税调整项目明细表!C22</f>
        <v>0</v>
      </c>
      <c r="E95" s="2390">
        <f>A105000纳税调整项目明细表!D22</f>
        <v>0</v>
      </c>
      <c r="F95" s="2390">
        <f>A105000纳税调整项目明细表!F22</f>
        <v>0</v>
      </c>
      <c r="G95" s="2389"/>
      <c r="H95" s="2394"/>
    </row>
    <row r="96" spans="1:8" s="2350" customFormat="1" ht="18" customHeight="1">
      <c r="A96" s="2358"/>
      <c r="B96" s="3774" t="str">
        <f>MID(A105000纳税调整项目明细表!B26,7,LEN(A105000纳税调整项目明细表!B26))</f>
        <v>与未实现融资收益相关在当期确认的财务费用</v>
      </c>
      <c r="C96" s="3775"/>
      <c r="D96" s="2390">
        <f>A105000纳税调整项目明细表!C26</f>
        <v>0</v>
      </c>
      <c r="E96" s="2390">
        <f>A105000纳税调整项目明细表!D26</f>
        <v>0</v>
      </c>
      <c r="F96" s="2390">
        <f>A105000纳税调整项目明细表!F26</f>
        <v>0</v>
      </c>
      <c r="G96" s="2389"/>
      <c r="H96" s="2394"/>
    </row>
    <row r="97" spans="1:8" s="2350" customFormat="1" ht="18" customHeight="1">
      <c r="A97" s="2358"/>
      <c r="B97" s="3774" t="str">
        <f>MID(A105000纳税调整项目明细表!B30,9,LEN(A105000纳税调整项目明细表!B30))</f>
        <v>跨期扣除项目</v>
      </c>
      <c r="C97" s="3775"/>
      <c r="D97" s="2390">
        <f>A105000纳税调整项目明细表!C30</f>
        <v>0</v>
      </c>
      <c r="E97" s="2390">
        <f>A105000纳税调整项目明细表!D30</f>
        <v>0</v>
      </c>
      <c r="F97" s="2390">
        <f>A105000纳税调整项目明细表!F30</f>
        <v>0</v>
      </c>
      <c r="G97" s="2389"/>
      <c r="H97" s="2394"/>
    </row>
    <row r="98" spans="1:8" s="2350" customFormat="1" ht="18" customHeight="1">
      <c r="A98" s="2358"/>
      <c r="B98" s="3774" t="str">
        <f>其他事项!B27</f>
        <v>以前年度应计未计费用</v>
      </c>
      <c r="C98" s="3775"/>
      <c r="D98" s="2390">
        <f>N(其他事项!D27)</f>
        <v>0</v>
      </c>
      <c r="E98" s="2390">
        <f>其他事项!E27</f>
        <v>0</v>
      </c>
      <c r="F98" s="2390">
        <f>-其他事项!F27</f>
        <v>0</v>
      </c>
      <c r="G98" s="2389"/>
      <c r="H98" s="2394"/>
    </row>
    <row r="99" spans="1:8" s="2350" customFormat="1" ht="18" customHeight="1">
      <c r="A99" s="2358"/>
      <c r="B99" s="3774" t="str">
        <f>其他事项!B33</f>
        <v>房地产企业因预收款产生的招待费、广宣费调整差异</v>
      </c>
      <c r="C99" s="3775"/>
      <c r="D99" s="2390">
        <f>N(其他事项!D33)</f>
        <v>0</v>
      </c>
      <c r="E99" s="2390">
        <f>N(其他事项!E33)</f>
        <v>0</v>
      </c>
      <c r="F99" s="2390">
        <f>-其他事项!F33</f>
        <v>0</v>
      </c>
      <c r="G99" s="2389"/>
      <c r="H99" s="2394"/>
    </row>
    <row r="100" spans="1:8" s="2350" customFormat="1" ht="18" customHeight="1">
      <c r="A100" s="2358"/>
      <c r="B100" s="3774" t="str">
        <f>其他事项!B35</f>
        <v>在福利费中列支的社会保障性缴款单位负担部分</v>
      </c>
      <c r="C100" s="3775"/>
      <c r="D100" s="2390">
        <f>其他事项!D35</f>
        <v>0</v>
      </c>
      <c r="E100" s="2390">
        <f>其他事项!E35</f>
        <v>0</v>
      </c>
      <c r="F100" s="2390">
        <f>-其他事项!F35</f>
        <v>0</v>
      </c>
      <c r="G100" s="2389"/>
      <c r="H100" s="2394"/>
    </row>
    <row r="101" spans="1:8" s="2350" customFormat="1" ht="18" customHeight="1">
      <c r="A101" s="2358"/>
      <c r="B101" s="3774" t="str">
        <f>其他事项!B36</f>
        <v>以前年度调增长期待摊费用本年可摊销部分</v>
      </c>
      <c r="C101" s="3775"/>
      <c r="D101" s="2390">
        <f>N(其他事项!D36)</f>
        <v>0</v>
      </c>
      <c r="E101" s="2390">
        <f>其他事项!E36</f>
        <v>0</v>
      </c>
      <c r="F101" s="2390">
        <f>-其他事项!F36</f>
        <v>0</v>
      </c>
      <c r="G101" s="2389"/>
      <c r="H101" s="2394"/>
    </row>
    <row r="102" spans="1:8" s="2350" customFormat="1" ht="18" customHeight="1">
      <c r="A102" s="2358"/>
      <c r="B102" s="3774" t="str">
        <f>MID(A105000纳税调整项目明细表!B35,8,FIND("（",A105000纳税调整项目明细表!B35,5)+2)</f>
        <v>资产折旧、摊销</v>
      </c>
      <c r="C102" s="3775"/>
      <c r="D102" s="2390">
        <f>A105000纳税调整项目明细表!C35</f>
        <v>0</v>
      </c>
      <c r="E102" s="2390">
        <f ca="1">A105000纳税调整项目明细表!D35</f>
        <v>0</v>
      </c>
      <c r="F102" s="2390">
        <f ca="1">A105000纳税调整项目明细表!F35</f>
        <v>0</v>
      </c>
      <c r="G102" s="2389"/>
      <c r="H102" s="2394"/>
    </row>
    <row r="103" spans="1:8" s="2350" customFormat="1" ht="18" customHeight="1">
      <c r="A103" s="2358"/>
      <c r="B103" s="3774" t="str">
        <f>MID(A105000纳税调整项目明细表!B36,8,FIND("（",A105000纳税调整项目明细表!B36,5)+2)</f>
        <v>资产减值准备金</v>
      </c>
      <c r="C103" s="3775"/>
      <c r="D103" s="2390">
        <f>A105000纳税调整项目明细表!C36</f>
        <v>0</v>
      </c>
      <c r="E103" s="2390">
        <f>N(A105000纳税调整项目明细表!D36)</f>
        <v>0</v>
      </c>
      <c r="F103" s="2390">
        <f>A105000纳税调整项目明细表!F36</f>
        <v>0</v>
      </c>
      <c r="G103" s="2389"/>
      <c r="H103" s="2394"/>
    </row>
    <row r="104" spans="1:8" s="2350" customFormat="1" ht="18" customHeight="1">
      <c r="A104" s="2358"/>
      <c r="B104" s="3774" t="str">
        <f>MID(A105000纳税调整项目明细表!B37,7,FIND("（",A105000纳税调整项目明细表!B37,5)-7)</f>
        <v>资产损失</v>
      </c>
      <c r="C104" s="3775"/>
      <c r="D104" s="2390">
        <f>A105000纳税调整项目明细表!C37</f>
        <v>0</v>
      </c>
      <c r="E104" s="2390">
        <f>N(A105000纳税调整项目明细表!D37)</f>
        <v>0</v>
      </c>
      <c r="F104" s="2390">
        <f>A105000纳税调整项目明细表!F37</f>
        <v>0</v>
      </c>
      <c r="G104" s="2389"/>
      <c r="H104" s="2394"/>
    </row>
    <row r="105" spans="1:8" s="2350" customFormat="1" ht="18" customHeight="1">
      <c r="A105" s="2358"/>
      <c r="B105" s="3774" t="str">
        <f>其他事项!A13&amp;"-"&amp;其他事项!B15</f>
        <v>资产类-其他</v>
      </c>
      <c r="C105" s="3775"/>
      <c r="D105" s="2390">
        <f>其他事项!D15</f>
        <v>0</v>
      </c>
      <c r="E105" s="2390">
        <f>其他事项!E15</f>
        <v>0</v>
      </c>
      <c r="F105" s="2390">
        <f>-MIN(其他事项!F15,0)</f>
        <v>0</v>
      </c>
      <c r="G105" s="2389"/>
      <c r="H105" s="2394"/>
    </row>
    <row r="106" spans="1:8" s="2350" customFormat="1" ht="18" customHeight="1">
      <c r="A106" s="2358"/>
      <c r="B106" s="3774" t="str">
        <f>MID(A105000纳税调整项目明细表!B40,7,FIND("（",A105000纳税调整项目明细表!B40,5)-7)</f>
        <v>企业重组</v>
      </c>
      <c r="C106" s="3775"/>
      <c r="D106" s="2390">
        <f>A105000纳税调整项目明细表!C40</f>
        <v>0</v>
      </c>
      <c r="E106" s="2390">
        <f>A105000纳税调整项目明细表!D40</f>
        <v>0</v>
      </c>
      <c r="F106" s="2390">
        <f>A105000纳税调整项目明细表!F40</f>
        <v>0</v>
      </c>
      <c r="G106" s="2389"/>
      <c r="H106" s="2394"/>
    </row>
    <row r="107" spans="1:8" s="2350" customFormat="1" ht="18" customHeight="1">
      <c r="A107" s="2358"/>
      <c r="B107" s="3774" t="str">
        <f>MID(A105000纳税调整项目明细表!B41,8,FIND("（",A105000纳税调整项目明细表!B41,5))</f>
        <v>政策性搬迁</v>
      </c>
      <c r="C107" s="3775"/>
      <c r="D107" s="2390">
        <f>A105110政策性搬迁纳税调整明细表!C25+A105110政策性搬迁纳税调整明细表!C26</f>
        <v>0</v>
      </c>
      <c r="E107" s="2390">
        <f>A105110政策性搬迁纳税调整明细表!C21</f>
        <v>0</v>
      </c>
      <c r="F107" s="2390">
        <f>A105000纳税调整项目明细表!F41</f>
        <v>0</v>
      </c>
      <c r="G107" s="2389"/>
      <c r="H107" s="2394"/>
    </row>
    <row r="108" spans="1:8" s="2350" customFormat="1" ht="18" customHeight="1">
      <c r="A108" s="2358"/>
      <c r="B108" s="3774" t="str">
        <f>MID(A105000纳税调整项目明细表!B42,8,FIND("（",A105000纳税调整项目明细表!B42,5)+2)</f>
        <v>特殊行业准备金</v>
      </c>
      <c r="C108" s="3775"/>
      <c r="D108" s="2390">
        <f>A105000纳税调整项目明细表!C42</f>
        <v>0</v>
      </c>
      <c r="E108" s="2390">
        <f>A105000纳税调整项目明细表!D42</f>
        <v>0</v>
      </c>
      <c r="F108" s="2390">
        <f>A105000纳税调整项目明细表!F42</f>
        <v>0</v>
      </c>
      <c r="G108" s="2389"/>
      <c r="H108" s="2394"/>
    </row>
    <row r="109" spans="1:8" s="2350" customFormat="1" ht="18" customHeight="1">
      <c r="A109" s="2358"/>
      <c r="B109" s="3774" t="str">
        <f>MID(A105000纳税调整项目明细表!B43,8,FIND("（",A105000纳税调整项目明细表!B43,5)+14)</f>
        <v>房地产开发企业特定业务计算的纳税调整额</v>
      </c>
      <c r="C109" s="3775"/>
      <c r="D109" s="2390">
        <f>N(A105000纳税调整项目明细表!C43)</f>
        <v>0</v>
      </c>
      <c r="E109" s="2390">
        <f>N(A105000纳税调整项目明细表!D43)</f>
        <v>0</v>
      </c>
      <c r="F109" s="2390">
        <f>N(A105000纳税调整项目明细表!F43)</f>
        <v>0</v>
      </c>
      <c r="G109" s="2389"/>
      <c r="H109" s="2394"/>
    </row>
    <row r="110" spans="1:8" s="2350" customFormat="1" ht="18" customHeight="1">
      <c r="A110" s="2358"/>
      <c r="B110" s="3774" t="str">
        <f>其他事项!A17&amp;"调整项目-"&amp;其他事项!B17</f>
        <v>特殊事项调整项目-其他</v>
      </c>
      <c r="C110" s="3775"/>
      <c r="D110" s="2390">
        <f>其他事项!D17</f>
        <v>0</v>
      </c>
      <c r="E110" s="2390">
        <f>其他事项!E17</f>
        <v>0</v>
      </c>
      <c r="F110" s="2390">
        <f>N(A105000纳税调整项目明细表!F44)</f>
        <v>0</v>
      </c>
      <c r="G110" s="2389"/>
      <c r="H110" s="2394"/>
    </row>
    <row r="111" spans="1:8" s="2350" customFormat="1" ht="18" customHeight="1">
      <c r="A111" s="2358"/>
      <c r="B111" s="3774" t="str">
        <f>其他事项!A18&amp;"应税所得"</f>
        <v>特别纳税调整应税所得</v>
      </c>
      <c r="C111" s="3775"/>
      <c r="D111" s="2390">
        <f>其他事项!D18</f>
        <v>0</v>
      </c>
      <c r="E111" s="2390">
        <f>其他事项!E18</f>
        <v>0</v>
      </c>
      <c r="F111" s="2390">
        <f>N(A105000纳税调整项目明细表!F45)</f>
        <v>0</v>
      </c>
      <c r="G111" s="2389"/>
      <c r="H111" s="2394"/>
    </row>
    <row r="112" spans="1:8" s="2350" customFormat="1" ht="18" customHeight="1">
      <c r="A112" s="2358"/>
      <c r="B112" s="3774" t="str">
        <f>"纳税调整项目-"&amp;其他事项!A19</f>
        <v>纳税调整项目-其他</v>
      </c>
      <c r="C112" s="3775"/>
      <c r="D112" s="2390">
        <f>其他事项!D19</f>
        <v>0</v>
      </c>
      <c r="E112" s="2390">
        <f>其他事项!E19</f>
        <v>0</v>
      </c>
      <c r="F112" s="2390">
        <f>N(A105000纳税调整项目明细表!F46)</f>
        <v>0</v>
      </c>
      <c r="G112" s="2389"/>
      <c r="H112" s="2394"/>
    </row>
    <row r="113" spans="1:11" s="2350" customFormat="1" ht="18" customHeight="1">
      <c r="A113" s="2358"/>
      <c r="B113" s="3776"/>
      <c r="C113" s="3777"/>
      <c r="D113" s="2409"/>
      <c r="E113" s="2409"/>
      <c r="F113" s="2410"/>
      <c r="G113" s="2389"/>
      <c r="H113" s="2394"/>
    </row>
    <row r="114" spans="1:11" s="2350" customFormat="1" ht="18" customHeight="1">
      <c r="A114" s="2358"/>
      <c r="B114" s="3776"/>
      <c r="C114" s="3777"/>
      <c r="D114" s="2409"/>
      <c r="E114" s="2409"/>
      <c r="F114" s="2410"/>
      <c r="G114" s="2389"/>
      <c r="H114" s="2394"/>
    </row>
    <row r="115" spans="1:11" s="2350" customFormat="1" ht="18" customHeight="1">
      <c r="A115" s="2358"/>
      <c r="B115" s="3776"/>
      <c r="C115" s="3777"/>
      <c r="D115" s="2409"/>
      <c r="E115" s="2409"/>
      <c r="F115" s="2410"/>
      <c r="G115" s="2389"/>
      <c r="H115" s="2394"/>
    </row>
    <row r="116" spans="1:11" s="2350" customFormat="1" ht="18" customHeight="1">
      <c r="A116" s="2358"/>
      <c r="B116" s="3769"/>
      <c r="C116" s="3769"/>
      <c r="D116" s="2411"/>
      <c r="E116" s="2411"/>
      <c r="F116" s="2412"/>
      <c r="G116" s="2389"/>
      <c r="H116" s="2394"/>
    </row>
    <row r="117" spans="1:11" s="2350" customFormat="1" ht="18" customHeight="1">
      <c r="A117" s="2358"/>
      <c r="B117" s="3769"/>
      <c r="C117" s="3769"/>
      <c r="D117" s="2411"/>
      <c r="E117" s="2411"/>
      <c r="F117" s="2412"/>
      <c r="G117" s="2389"/>
      <c r="H117" s="2394"/>
    </row>
    <row r="118" spans="1:11" s="2351" customFormat="1" ht="18" customHeight="1">
      <c r="A118" s="2358"/>
      <c r="B118" s="3770" t="s">
        <v>7026</v>
      </c>
      <c r="C118" s="3770"/>
      <c r="D118" s="2401">
        <v>0</v>
      </c>
      <c r="E118" s="2401">
        <v>0</v>
      </c>
      <c r="F118" s="2413">
        <f ca="1">SUM(F85:F117)</f>
        <v>0</v>
      </c>
      <c r="G118" s="2403"/>
      <c r="H118" s="2350"/>
      <c r="I118" s="2350"/>
      <c r="J118" s="2350"/>
      <c r="K118" s="2350"/>
    </row>
    <row r="119" spans="1:11" s="2351" customFormat="1" ht="22.5" customHeight="1">
      <c r="A119" s="2358"/>
      <c r="B119" s="3771" t="s">
        <v>7029</v>
      </c>
      <c r="C119" s="3771"/>
      <c r="D119" s="3772">
        <f ca="1">D27+C29-C83</f>
        <v>0</v>
      </c>
      <c r="E119" s="3772"/>
      <c r="F119" s="2406" t="s">
        <v>7005</v>
      </c>
      <c r="G119" s="2406"/>
      <c r="H119" s="2350"/>
      <c r="I119" s="2350"/>
      <c r="J119" s="2350"/>
      <c r="K119" s="2350"/>
    </row>
    <row r="120" spans="1:11" s="2351" customFormat="1">
      <c r="A120" s="2358"/>
      <c r="B120" s="2414"/>
      <c r="C120" s="2415"/>
      <c r="D120" s="2416"/>
      <c r="E120" s="2416"/>
      <c r="F120" s="2416"/>
      <c r="G120" s="2416"/>
      <c r="H120" s="2350"/>
      <c r="I120" s="2350"/>
      <c r="J120" s="2350"/>
      <c r="K120" s="2350"/>
    </row>
    <row r="121" spans="1:11" s="2370" customFormat="1" ht="23.25" customHeight="1">
      <c r="A121" s="2380"/>
      <c r="B121" s="3764" t="s">
        <v>7030</v>
      </c>
      <c r="C121" s="3764"/>
      <c r="D121" s="3764"/>
      <c r="E121" s="3764"/>
      <c r="F121" s="3764"/>
      <c r="G121" s="3764"/>
      <c r="H121" s="2369"/>
      <c r="I121" s="2381"/>
      <c r="J121" s="2369"/>
      <c r="K121" s="2369"/>
    </row>
    <row r="122" spans="1:11" s="2350" customFormat="1" ht="27" customHeight="1">
      <c r="A122" s="2357" t="s">
        <v>1403</v>
      </c>
      <c r="B122" s="3773"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（1）我们在贵单位确认的收入基础上对贵单位2016年度企业所得税年度纳税申报事项进行审核。</v>
      </c>
      <c r="C122" s="3773"/>
      <c r="D122" s="3773"/>
      <c r="E122" s="3773"/>
      <c r="F122" s="3773"/>
      <c r="G122" s="3773"/>
    </row>
    <row r="123" spans="1:11" s="2351" customFormat="1" ht="18" hidden="1" customHeight="1">
      <c r="A123" s="2358"/>
      <c r="B123" s="3763" t="s">
        <v>7031</v>
      </c>
      <c r="C123" s="3763"/>
      <c r="D123" s="3763"/>
      <c r="E123" s="3763"/>
      <c r="F123" s="3763"/>
      <c r="G123" s="3763"/>
      <c r="H123" s="2350"/>
      <c r="I123" s="2350"/>
      <c r="J123" s="2350"/>
      <c r="K123" s="2350"/>
    </row>
    <row r="124" spans="1:11" s="2351" customFormat="1" ht="18" hidden="1" customHeight="1">
      <c r="A124" s="2358"/>
      <c r="B124" s="3763" t="s">
        <v>7032</v>
      </c>
      <c r="C124" s="3763"/>
      <c r="D124" s="3763"/>
      <c r="E124" s="3763"/>
      <c r="F124" s="3763"/>
      <c r="G124" s="3763"/>
      <c r="H124" s="2350"/>
      <c r="I124" s="2350"/>
      <c r="J124" s="2350"/>
      <c r="K124" s="2350"/>
    </row>
    <row r="125" spans="1:11" s="2351" customFormat="1" ht="18" hidden="1" customHeight="1">
      <c r="A125" s="2358"/>
      <c r="B125" s="3763" t="s">
        <v>7033</v>
      </c>
      <c r="C125" s="3763"/>
      <c r="D125" s="3763"/>
      <c r="E125" s="3763"/>
      <c r="F125" s="3763"/>
      <c r="G125" s="3763"/>
      <c r="H125" s="2350"/>
      <c r="I125" s="2350"/>
      <c r="J125" s="2350"/>
      <c r="K125" s="2350"/>
    </row>
    <row r="126" spans="1:11" s="2351" customFormat="1" ht="18" hidden="1" customHeight="1">
      <c r="A126" s="2358"/>
      <c r="B126" s="3763" t="s">
        <v>7034</v>
      </c>
      <c r="C126" s="3763"/>
      <c r="D126" s="3763"/>
      <c r="E126" s="3763"/>
      <c r="F126" s="3763"/>
      <c r="G126" s="3763"/>
      <c r="H126" s="2350"/>
      <c r="I126" s="2350"/>
      <c r="J126" s="2350"/>
      <c r="K126" s="2350"/>
    </row>
    <row r="127" spans="1:11" s="2351" customFormat="1" ht="18" hidden="1" customHeight="1">
      <c r="A127" s="2358"/>
      <c r="B127" s="3763" t="s">
        <v>7035</v>
      </c>
      <c r="C127" s="3763"/>
      <c r="D127" s="3763"/>
      <c r="E127" s="3763"/>
      <c r="F127" s="3763"/>
      <c r="G127" s="3763"/>
      <c r="H127" s="2350"/>
      <c r="I127" s="2350"/>
      <c r="J127" s="2350"/>
      <c r="K127" s="2350"/>
    </row>
    <row r="128" spans="1:11" s="2351" customFormat="1" ht="18" hidden="1" customHeight="1">
      <c r="A128" s="2358"/>
      <c r="B128" s="3763" t="s">
        <v>7036</v>
      </c>
      <c r="C128" s="3763"/>
      <c r="D128" s="3763"/>
      <c r="E128" s="3763"/>
      <c r="F128" s="3763"/>
      <c r="G128" s="3763"/>
      <c r="H128" s="2350"/>
      <c r="I128" s="2350"/>
      <c r="J128" s="2350"/>
      <c r="K128" s="2350"/>
    </row>
    <row r="129" spans="1:11" s="2351" customFormat="1" ht="18" hidden="1" customHeight="1">
      <c r="A129" s="2358"/>
      <c r="B129" s="3763" t="s">
        <v>7037</v>
      </c>
      <c r="C129" s="3763"/>
      <c r="D129" s="3763"/>
      <c r="E129" s="3763"/>
      <c r="F129" s="3763"/>
      <c r="G129" s="3763"/>
      <c r="H129" s="2350"/>
      <c r="I129" s="2350"/>
      <c r="J129" s="2350"/>
      <c r="K129" s="2350"/>
    </row>
    <row r="130" spans="1:11" s="2351" customFormat="1" ht="22.5" customHeight="1">
      <c r="A130" s="2380"/>
      <c r="B130" s="3764" t="s">
        <v>7038</v>
      </c>
      <c r="C130" s="3764"/>
      <c r="D130" s="3764"/>
      <c r="E130" s="3764"/>
      <c r="F130" s="3764"/>
      <c r="G130" s="3764"/>
      <c r="H130" s="2350"/>
      <c r="I130" s="2350"/>
      <c r="J130" s="2350"/>
      <c r="K130" s="2350"/>
    </row>
    <row r="131" spans="1:11" s="2351" customFormat="1" ht="21" customHeight="1">
      <c r="A131" s="2358"/>
      <c r="B131" s="3765" t="s">
        <v>7039</v>
      </c>
      <c r="C131" s="3765"/>
      <c r="D131" s="3765"/>
      <c r="E131" s="3765"/>
      <c r="F131" s="3765"/>
      <c r="G131" s="3765"/>
      <c r="H131" s="2350"/>
      <c r="I131" s="2350"/>
      <c r="J131" s="2350"/>
      <c r="K131" s="2350"/>
    </row>
    <row r="132" spans="1:11" s="2351" customFormat="1" ht="30" customHeight="1">
      <c r="A132" s="2358"/>
      <c r="B132" s="2358"/>
      <c r="C132" s="2358"/>
      <c r="D132" s="2358"/>
      <c r="E132" s="2358"/>
      <c r="F132" s="2358"/>
      <c r="G132" s="2358"/>
      <c r="H132" s="2350"/>
      <c r="I132" s="2350"/>
      <c r="J132" s="2350"/>
      <c r="K132" s="2350"/>
    </row>
    <row r="133" spans="1:11" s="2351" customFormat="1" ht="17.399999999999999">
      <c r="A133" s="2358"/>
      <c r="B133" s="2358"/>
      <c r="C133" s="2358"/>
      <c r="D133" s="3766" t="s">
        <v>7040</v>
      </c>
      <c r="E133" s="3766"/>
      <c r="F133" s="3766"/>
      <c r="G133" s="3766"/>
      <c r="H133" s="2350"/>
      <c r="I133" s="2350"/>
      <c r="J133" s="2350"/>
      <c r="K133" s="2350"/>
    </row>
    <row r="134" spans="1:11" s="2351" customFormat="1" ht="10.5" customHeight="1">
      <c r="A134" s="2358"/>
      <c r="B134" s="2358"/>
      <c r="C134" s="2358"/>
      <c r="D134" s="2417"/>
      <c r="E134" s="2418" t="s">
        <v>7041</v>
      </c>
      <c r="F134" s="2417"/>
      <c r="G134" s="2417"/>
      <c r="H134" s="2350"/>
      <c r="I134" s="2350"/>
      <c r="J134" s="2350"/>
      <c r="K134" s="2350"/>
    </row>
    <row r="135" spans="1:11" s="2351" customFormat="1" ht="17.399999999999999">
      <c r="A135" s="2358"/>
      <c r="B135" s="2358"/>
      <c r="C135" s="2358"/>
      <c r="D135" s="3767" t="str">
        <f>基本情况!B20</f>
        <v>2017年5月4日</v>
      </c>
      <c r="E135" s="3768"/>
      <c r="F135" s="3768"/>
      <c r="G135" s="3768"/>
      <c r="H135" s="2350"/>
      <c r="I135" s="2350"/>
      <c r="J135" s="2350"/>
      <c r="K135" s="2350"/>
    </row>
    <row r="136" spans="1:11" s="2351" customFormat="1">
      <c r="A136" s="2419"/>
      <c r="B136" s="2419"/>
      <c r="C136" s="2419"/>
      <c r="D136" s="2419"/>
      <c r="E136" s="2419"/>
      <c r="F136" s="2419"/>
      <c r="G136" s="2419"/>
    </row>
    <row r="137" spans="1:11" s="2351" customFormat="1">
      <c r="A137" s="2419"/>
      <c r="B137" s="2419"/>
      <c r="C137" s="2419"/>
      <c r="D137" s="2419"/>
      <c r="E137" s="2419"/>
      <c r="F137" s="2419"/>
      <c r="G137" s="2419"/>
    </row>
    <row r="138" spans="1:11" s="2351" customFormat="1">
      <c r="A138" s="2419"/>
      <c r="B138" s="2419"/>
      <c r="C138" s="2419"/>
      <c r="D138" s="2419"/>
      <c r="E138" s="2419"/>
      <c r="F138" s="2419"/>
      <c r="G138" s="2419"/>
    </row>
    <row r="139" spans="1:11" s="2351" customFormat="1">
      <c r="A139" s="2419"/>
      <c r="B139" s="2419"/>
      <c r="C139" s="2419"/>
      <c r="D139" s="2419"/>
      <c r="E139" s="2419"/>
      <c r="F139" s="2419"/>
      <c r="G139" s="2419"/>
    </row>
    <row r="140" spans="1:11" s="2351" customFormat="1">
      <c r="A140" s="2419"/>
      <c r="B140" s="2419"/>
      <c r="C140" s="2419"/>
      <c r="D140" s="2419"/>
      <c r="E140" s="2419"/>
      <c r="F140" s="2419"/>
      <c r="G140" s="2419"/>
    </row>
    <row r="141" spans="1:11" s="2351" customFormat="1">
      <c r="A141" s="2419"/>
      <c r="B141" s="2419"/>
      <c r="C141" s="2419"/>
      <c r="D141" s="2419"/>
      <c r="E141" s="2419"/>
      <c r="F141" s="2419"/>
      <c r="G141" s="2419"/>
    </row>
    <row r="142" spans="1:11" s="2351" customFormat="1">
      <c r="A142" s="2419"/>
      <c r="B142" s="2419"/>
      <c r="C142" s="2419"/>
      <c r="D142" s="2419"/>
      <c r="E142" s="2419"/>
      <c r="F142" s="2419"/>
      <c r="G142" s="2419"/>
    </row>
    <row r="143" spans="1:11" s="2351" customFormat="1">
      <c r="A143" s="2419"/>
      <c r="B143" s="2419"/>
      <c r="C143" s="2419"/>
      <c r="D143" s="2419"/>
      <c r="E143" s="2419"/>
      <c r="F143" s="2419"/>
      <c r="G143" s="2419"/>
    </row>
    <row r="144" spans="1:11" s="2351" customFormat="1">
      <c r="A144" s="2419"/>
      <c r="B144" s="2419"/>
      <c r="C144" s="2419"/>
      <c r="D144" s="2419"/>
      <c r="E144" s="2419"/>
      <c r="F144" s="2419"/>
      <c r="G144" s="2419"/>
    </row>
    <row r="145" spans="1:7" s="2351" customFormat="1">
      <c r="A145" s="2419"/>
      <c r="B145" s="2419"/>
      <c r="C145" s="2419"/>
      <c r="D145" s="2419"/>
      <c r="E145" s="2419"/>
      <c r="F145" s="2419"/>
      <c r="G145" s="2419"/>
    </row>
    <row r="146" spans="1:7" s="2351" customFormat="1">
      <c r="A146" s="2419"/>
      <c r="B146" s="2419"/>
      <c r="C146" s="2419"/>
      <c r="D146" s="2419"/>
      <c r="E146" s="2419"/>
      <c r="F146" s="2419"/>
      <c r="G146" s="2419"/>
    </row>
    <row r="147" spans="1:7" s="2351" customFormat="1">
      <c r="A147" s="2419"/>
      <c r="B147" s="2419"/>
      <c r="C147" s="2419"/>
      <c r="D147" s="2419"/>
      <c r="E147" s="2419"/>
      <c r="F147" s="2419"/>
      <c r="G147" s="2419"/>
    </row>
    <row r="148" spans="1:7" s="2351" customFormat="1">
      <c r="A148" s="2419"/>
      <c r="B148" s="2419"/>
      <c r="C148" s="2419"/>
      <c r="D148" s="2419"/>
      <c r="E148" s="2419"/>
      <c r="F148" s="2419"/>
      <c r="G148" s="2419"/>
    </row>
    <row r="149" spans="1:7" s="2351" customFormat="1">
      <c r="A149" s="2419"/>
      <c r="B149" s="2419"/>
      <c r="C149" s="2419"/>
      <c r="D149" s="2419"/>
      <c r="E149" s="2419"/>
      <c r="F149" s="2419"/>
      <c r="G149" s="2419"/>
    </row>
    <row r="150" spans="1:7" s="2351" customFormat="1">
      <c r="A150" s="2419"/>
      <c r="B150" s="2419"/>
      <c r="C150" s="2419"/>
      <c r="D150" s="2419"/>
      <c r="E150" s="2419"/>
      <c r="F150" s="2419"/>
      <c r="G150" s="2419"/>
    </row>
    <row r="151" spans="1:7" s="2351" customFormat="1">
      <c r="A151" s="2419"/>
      <c r="B151" s="2419"/>
      <c r="C151" s="2419"/>
      <c r="D151" s="2419"/>
      <c r="E151" s="2419"/>
      <c r="F151" s="2419"/>
      <c r="G151" s="2419"/>
    </row>
    <row r="152" spans="1:7" s="2351" customFormat="1">
      <c r="A152" s="2419"/>
      <c r="B152" s="2419"/>
      <c r="C152" s="2419"/>
      <c r="D152" s="2419"/>
      <c r="E152" s="2419"/>
      <c r="F152" s="2419"/>
      <c r="G152" s="2419"/>
    </row>
    <row r="153" spans="1:7" s="2351" customFormat="1">
      <c r="A153" s="2419"/>
      <c r="B153" s="2419"/>
      <c r="C153" s="2419"/>
      <c r="D153" s="2419"/>
      <c r="E153" s="2419"/>
      <c r="F153" s="2419"/>
      <c r="G153" s="2419"/>
    </row>
    <row r="154" spans="1:7" s="2351" customFormat="1">
      <c r="A154" s="2419"/>
      <c r="B154" s="2419"/>
      <c r="C154" s="2419"/>
      <c r="D154" s="2419"/>
      <c r="E154" s="2419"/>
      <c r="F154" s="2419"/>
      <c r="G154" s="2419"/>
    </row>
    <row r="155" spans="1:7" s="2351" customFormat="1">
      <c r="A155" s="2419"/>
      <c r="B155" s="2419"/>
      <c r="C155" s="2419"/>
      <c r="D155" s="2419"/>
      <c r="E155" s="2419"/>
      <c r="F155" s="2419"/>
      <c r="G155" s="2419"/>
    </row>
    <row r="156" spans="1:7" s="2351" customFormat="1">
      <c r="A156" s="2419"/>
      <c r="B156" s="2419"/>
      <c r="C156" s="2419"/>
      <c r="D156" s="2419"/>
      <c r="E156" s="2419"/>
      <c r="F156" s="2419"/>
      <c r="G156" s="2419"/>
    </row>
    <row r="157" spans="1:7" s="2351" customFormat="1">
      <c r="A157" s="2419"/>
      <c r="B157" s="2419"/>
      <c r="C157" s="2419"/>
      <c r="D157" s="2419"/>
      <c r="E157" s="2419"/>
      <c r="F157" s="2419"/>
      <c r="G157" s="2419"/>
    </row>
    <row r="158" spans="1:7" s="2351" customFormat="1">
      <c r="A158" s="2419"/>
      <c r="B158" s="2419"/>
      <c r="C158" s="2419"/>
      <c r="D158" s="2419"/>
      <c r="E158" s="2419"/>
      <c r="F158" s="2419"/>
      <c r="G158" s="2419"/>
    </row>
    <row r="159" spans="1:7" s="2351" customFormat="1">
      <c r="A159" s="2419"/>
      <c r="B159" s="2419"/>
      <c r="C159" s="2419"/>
      <c r="D159" s="2419"/>
      <c r="E159" s="2419"/>
      <c r="F159" s="2419"/>
      <c r="G159" s="2419"/>
    </row>
    <row r="160" spans="1:7" s="2351" customFormat="1">
      <c r="A160" s="2419"/>
      <c r="B160" s="2419"/>
      <c r="C160" s="2419"/>
      <c r="D160" s="2419"/>
      <c r="E160" s="2419"/>
      <c r="F160" s="2419"/>
      <c r="G160" s="2419"/>
    </row>
    <row r="161" spans="1:7" s="2351" customFormat="1">
      <c r="A161" s="2419"/>
      <c r="B161" s="2419"/>
      <c r="C161" s="2419"/>
      <c r="D161" s="2419"/>
      <c r="E161" s="2419"/>
      <c r="F161" s="2419"/>
      <c r="G161" s="2419"/>
    </row>
    <row r="162" spans="1:7" s="2351" customFormat="1">
      <c r="A162" s="2419"/>
      <c r="B162" s="2419"/>
      <c r="C162" s="2419"/>
      <c r="D162" s="2419"/>
      <c r="E162" s="2419"/>
      <c r="F162" s="2419"/>
      <c r="G162" s="2419"/>
    </row>
    <row r="163" spans="1:7" s="2351" customFormat="1">
      <c r="A163" s="2419"/>
      <c r="B163" s="2419"/>
      <c r="C163" s="2419"/>
      <c r="D163" s="2419"/>
      <c r="E163" s="2419"/>
      <c r="F163" s="2419"/>
      <c r="G163" s="2419"/>
    </row>
    <row r="164" spans="1:7" s="2351" customFormat="1">
      <c r="A164" s="2419"/>
      <c r="B164" s="2419"/>
      <c r="C164" s="2419"/>
      <c r="D164" s="2419"/>
      <c r="E164" s="2419"/>
      <c r="F164" s="2419"/>
      <c r="G164" s="2419"/>
    </row>
    <row r="165" spans="1:7" s="2351" customFormat="1">
      <c r="A165" s="2419"/>
      <c r="B165" s="2419"/>
      <c r="C165" s="2419"/>
      <c r="D165" s="2419"/>
      <c r="E165" s="2419"/>
      <c r="F165" s="2419"/>
      <c r="G165" s="2419"/>
    </row>
    <row r="166" spans="1:7" s="2351" customFormat="1">
      <c r="A166" s="2419"/>
      <c r="B166" s="2419"/>
      <c r="C166" s="2419"/>
      <c r="D166" s="2419"/>
      <c r="E166" s="2419"/>
      <c r="F166" s="2419"/>
      <c r="G166" s="2419"/>
    </row>
    <row r="167" spans="1:7" s="2351" customFormat="1">
      <c r="A167" s="2419"/>
      <c r="B167" s="2419"/>
      <c r="C167" s="2419"/>
      <c r="D167" s="2419"/>
      <c r="E167" s="2419"/>
      <c r="F167" s="2419"/>
      <c r="G167" s="2419"/>
    </row>
    <row r="168" spans="1:7" s="2351" customFormat="1">
      <c r="A168" s="2419"/>
      <c r="B168" s="2419"/>
      <c r="C168" s="2419"/>
      <c r="D168" s="2419"/>
      <c r="E168" s="2419"/>
      <c r="F168" s="2419"/>
      <c r="G168" s="2419"/>
    </row>
    <row r="169" spans="1:7" s="2351" customFormat="1">
      <c r="A169" s="2419"/>
      <c r="B169" s="2419"/>
      <c r="C169" s="2419"/>
      <c r="D169" s="2419"/>
      <c r="E169" s="2419"/>
      <c r="F169" s="2419"/>
      <c r="G169" s="2419"/>
    </row>
    <row r="170" spans="1:7" s="2351" customFormat="1">
      <c r="A170" s="2419"/>
      <c r="B170" s="2419"/>
      <c r="C170" s="2419"/>
      <c r="D170" s="2419"/>
      <c r="E170" s="2419"/>
      <c r="F170" s="2419"/>
      <c r="G170" s="2419"/>
    </row>
    <row r="171" spans="1:7" s="2351" customFormat="1">
      <c r="A171" s="2419"/>
      <c r="B171" s="2419"/>
      <c r="C171" s="2419"/>
      <c r="D171" s="2419"/>
      <c r="E171" s="2419"/>
      <c r="F171" s="2419"/>
      <c r="G171" s="2419"/>
    </row>
    <row r="172" spans="1:7" s="2351" customFormat="1">
      <c r="A172" s="2419"/>
      <c r="B172" s="2419"/>
      <c r="C172" s="2419"/>
      <c r="D172" s="2419"/>
      <c r="E172" s="2419"/>
      <c r="F172" s="2419"/>
      <c r="G172" s="2419"/>
    </row>
    <row r="173" spans="1:7" s="2351" customFormat="1">
      <c r="A173" s="2419"/>
      <c r="B173" s="2419"/>
      <c r="C173" s="2419"/>
      <c r="D173" s="2419"/>
      <c r="E173" s="2419"/>
      <c r="F173" s="2419"/>
      <c r="G173" s="2419"/>
    </row>
    <row r="174" spans="1:7" s="2351" customFormat="1">
      <c r="A174" s="2419"/>
      <c r="B174" s="2419"/>
      <c r="C174" s="2419"/>
      <c r="D174" s="2419"/>
      <c r="E174" s="2419"/>
      <c r="F174" s="2419"/>
      <c r="G174" s="2419"/>
    </row>
    <row r="175" spans="1:7" s="2351" customFormat="1">
      <c r="A175" s="2419"/>
      <c r="B175" s="2419"/>
      <c r="C175" s="2419"/>
      <c r="D175" s="2419"/>
      <c r="E175" s="2419"/>
      <c r="F175" s="2419"/>
      <c r="G175" s="2419"/>
    </row>
    <row r="176" spans="1:7" s="2351" customFormat="1">
      <c r="A176" s="2419"/>
      <c r="B176" s="2419"/>
      <c r="C176" s="2419"/>
      <c r="D176" s="2419"/>
      <c r="E176" s="2419"/>
      <c r="F176" s="2419"/>
      <c r="G176" s="2419"/>
    </row>
    <row r="177" spans="1:7" s="2351" customFormat="1">
      <c r="A177" s="2419"/>
      <c r="B177" s="2419"/>
      <c r="C177" s="2419"/>
      <c r="D177" s="2419"/>
      <c r="E177" s="2419"/>
      <c r="F177" s="2419"/>
      <c r="G177" s="2419"/>
    </row>
    <row r="178" spans="1:7" s="2351" customFormat="1">
      <c r="A178" s="2419"/>
      <c r="B178" s="2419"/>
      <c r="C178" s="2419"/>
      <c r="D178" s="2419"/>
      <c r="E178" s="2419"/>
      <c r="F178" s="2419"/>
      <c r="G178" s="2419"/>
    </row>
    <row r="179" spans="1:7" s="2351" customFormat="1">
      <c r="A179" s="2419"/>
      <c r="B179" s="2419"/>
      <c r="C179" s="2419"/>
      <c r="D179" s="2419"/>
      <c r="E179" s="2419"/>
      <c r="F179" s="2419"/>
      <c r="G179" s="2419"/>
    </row>
    <row r="180" spans="1:7" s="2351" customFormat="1">
      <c r="A180" s="2419"/>
      <c r="B180" s="2419"/>
      <c r="C180" s="2419"/>
      <c r="D180" s="2419"/>
      <c r="E180" s="2419"/>
      <c r="F180" s="2419"/>
      <c r="G180" s="2419"/>
    </row>
    <row r="181" spans="1:7" s="2351" customFormat="1">
      <c r="A181" s="2419"/>
      <c r="B181" s="2419"/>
      <c r="C181" s="2419"/>
      <c r="D181" s="2419"/>
      <c r="E181" s="2419"/>
      <c r="F181" s="2419"/>
      <c r="G181" s="2419"/>
    </row>
    <row r="182" spans="1:7" s="2351" customFormat="1"/>
    <row r="183" spans="1:7" s="2351" customFormat="1"/>
    <row r="184" spans="1:7" s="2351" customFormat="1"/>
    <row r="185" spans="1:7" s="2351" customFormat="1"/>
    <row r="186" spans="1:7" s="2351" customFormat="1"/>
    <row r="187" spans="1:7" s="2351" customFormat="1"/>
    <row r="188" spans="1:7" s="2351" customFormat="1"/>
    <row r="189" spans="1:7" s="2351" customFormat="1"/>
    <row r="190" spans="1:7" s="2351" customFormat="1"/>
    <row r="191" spans="1:7" s="2351" customFormat="1"/>
    <row r="192" spans="1:7" s="2351" customFormat="1"/>
    <row r="193" s="2351" customFormat="1"/>
    <row r="194" s="2351" customFormat="1"/>
    <row r="195" s="2351" customFormat="1"/>
    <row r="196" s="2351" customFormat="1"/>
    <row r="197" s="2351" customFormat="1"/>
    <row r="198" s="2351" customFormat="1"/>
    <row r="199" s="2351" customFormat="1"/>
    <row r="200" s="2351" customFormat="1"/>
    <row r="201" s="2351" customFormat="1"/>
    <row r="202" s="2351" customFormat="1"/>
    <row r="203" s="2351" customFormat="1"/>
    <row r="204" s="2351" customFormat="1"/>
    <row r="205" s="2351" customFormat="1"/>
    <row r="206" s="2351" customFormat="1"/>
    <row r="207" s="2351" customFormat="1"/>
    <row r="208" s="2351" customFormat="1"/>
    <row r="209" s="2351" customFormat="1"/>
    <row r="210" s="2351" customFormat="1"/>
    <row r="211" s="2351" customFormat="1"/>
    <row r="212" s="2351" customFormat="1"/>
    <row r="213" s="2351" customFormat="1"/>
    <row r="214" s="2351" customFormat="1"/>
    <row r="215" s="2351" customFormat="1"/>
    <row r="216" s="2351" customFormat="1"/>
  </sheetData>
  <sheetProtection selectLockedCells="1" selectUnlockedCells="1"/>
  <mergeCells count="138">
    <mergeCell ref="A1:G1"/>
    <mergeCell ref="A2:G2"/>
    <mergeCell ref="A3:G3"/>
    <mergeCell ref="A4:G4"/>
    <mergeCell ref="A5:G5"/>
    <mergeCell ref="A6:G6"/>
    <mergeCell ref="A13:G13"/>
    <mergeCell ref="A14:G14"/>
    <mergeCell ref="A15:G15"/>
    <mergeCell ref="B17:C17"/>
    <mergeCell ref="E17:F17"/>
    <mergeCell ref="B18:C18"/>
    <mergeCell ref="E18:F18"/>
    <mergeCell ref="A7:G7"/>
    <mergeCell ref="A8:G8"/>
    <mergeCell ref="A9:G9"/>
    <mergeCell ref="A10:G10"/>
    <mergeCell ref="A11:G11"/>
    <mergeCell ref="A12:G12"/>
    <mergeCell ref="B23:C23"/>
    <mergeCell ref="E23:F23"/>
    <mergeCell ref="B24:C24"/>
    <mergeCell ref="E24:F24"/>
    <mergeCell ref="B25:C25"/>
    <mergeCell ref="E25:F25"/>
    <mergeCell ref="B19:C19"/>
    <mergeCell ref="E19:F19"/>
    <mergeCell ref="B20:C20"/>
    <mergeCell ref="E20:F20"/>
    <mergeCell ref="B21:C21"/>
    <mergeCell ref="E21:F21"/>
    <mergeCell ref="B32:C32"/>
    <mergeCell ref="B33:C33"/>
    <mergeCell ref="B34:C34"/>
    <mergeCell ref="B35:C35"/>
    <mergeCell ref="B36:C36"/>
    <mergeCell ref="B37:C37"/>
    <mergeCell ref="B26:C26"/>
    <mergeCell ref="E26:F26"/>
    <mergeCell ref="D27:E27"/>
    <mergeCell ref="A28:F28"/>
    <mergeCell ref="B30:C30"/>
    <mergeCell ref="B31:C31"/>
    <mergeCell ref="B44:C44"/>
    <mergeCell ref="B45:C45"/>
    <mergeCell ref="B46:C46"/>
    <mergeCell ref="B47:C47"/>
    <mergeCell ref="B48:C48"/>
    <mergeCell ref="B49:C49"/>
    <mergeCell ref="B38:C38"/>
    <mergeCell ref="B39:C39"/>
    <mergeCell ref="B40:C40"/>
    <mergeCell ref="B41:C41"/>
    <mergeCell ref="B42:C42"/>
    <mergeCell ref="B43:C43"/>
    <mergeCell ref="B56:C56"/>
    <mergeCell ref="B57:C57"/>
    <mergeCell ref="B58:C58"/>
    <mergeCell ref="B59:C59"/>
    <mergeCell ref="B60:C60"/>
    <mergeCell ref="B61:C61"/>
    <mergeCell ref="B50:C50"/>
    <mergeCell ref="B51:C51"/>
    <mergeCell ref="B52:C52"/>
    <mergeCell ref="B53:C53"/>
    <mergeCell ref="B54:C54"/>
    <mergeCell ref="B55:C55"/>
    <mergeCell ref="B68:C68"/>
    <mergeCell ref="B69:C69"/>
    <mergeCell ref="B70:C70"/>
    <mergeCell ref="B71:C71"/>
    <mergeCell ref="B72:C72"/>
    <mergeCell ref="B73:C73"/>
    <mergeCell ref="B62:C62"/>
    <mergeCell ref="B63:C63"/>
    <mergeCell ref="B64:C64"/>
    <mergeCell ref="B65:C65"/>
    <mergeCell ref="B66:C66"/>
    <mergeCell ref="B67:C67"/>
    <mergeCell ref="B80:C80"/>
    <mergeCell ref="B81:C81"/>
    <mergeCell ref="B82:C82"/>
    <mergeCell ref="B84:C84"/>
    <mergeCell ref="B85:C85"/>
    <mergeCell ref="B86:C86"/>
    <mergeCell ref="B74:C74"/>
    <mergeCell ref="B75:C75"/>
    <mergeCell ref="B76:C76"/>
    <mergeCell ref="B77:C77"/>
    <mergeCell ref="B78:C78"/>
    <mergeCell ref="B79:C79"/>
    <mergeCell ref="B93:C93"/>
    <mergeCell ref="B94:C94"/>
    <mergeCell ref="B95:C95"/>
    <mergeCell ref="B96:C96"/>
    <mergeCell ref="B97:C97"/>
    <mergeCell ref="B98:C98"/>
    <mergeCell ref="B87:C87"/>
    <mergeCell ref="B88:C88"/>
    <mergeCell ref="B89:C89"/>
    <mergeCell ref="B90:C90"/>
    <mergeCell ref="B91:C91"/>
    <mergeCell ref="B92:C92"/>
    <mergeCell ref="B105:C105"/>
    <mergeCell ref="B106:C106"/>
    <mergeCell ref="B107:C107"/>
    <mergeCell ref="B108:C108"/>
    <mergeCell ref="B109:C109"/>
    <mergeCell ref="B110:C110"/>
    <mergeCell ref="B99:C99"/>
    <mergeCell ref="B100:C100"/>
    <mergeCell ref="B101:C101"/>
    <mergeCell ref="B102:C102"/>
    <mergeCell ref="B103:C103"/>
    <mergeCell ref="B104:C104"/>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29:G129"/>
    <mergeCell ref="B130:G130"/>
    <mergeCell ref="B131:G131"/>
    <mergeCell ref="D133:G133"/>
    <mergeCell ref="D135:G135"/>
    <mergeCell ref="B123:G123"/>
    <mergeCell ref="B124:G124"/>
    <mergeCell ref="B125:G125"/>
    <mergeCell ref="B126:G126"/>
    <mergeCell ref="B127:G127"/>
    <mergeCell ref="B128:G128"/>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5.6"/>
  <cols>
    <col min="1" max="1" width="12.8984375" style="1063" customWidth="1"/>
    <col min="2" max="2" width="18.8984375" style="1063" customWidth="1"/>
    <col min="3" max="3" width="6.09765625" style="1063" customWidth="1"/>
    <col min="4" max="6" width="14.09765625" style="1063" customWidth="1"/>
    <col min="7" max="7" width="66" style="1063" customWidth="1"/>
    <col min="8" max="8" width="11.19921875" style="1063" customWidth="1"/>
    <col min="9" max="16384" width="9" style="1063"/>
  </cols>
  <sheetData>
    <row r="1" spans="1:7" ht="17.25" customHeight="1">
      <c r="A1" s="1064" t="s">
        <v>703</v>
      </c>
      <c r="B1" s="1065"/>
      <c r="C1" s="1065"/>
      <c r="D1" s="1065"/>
      <c r="E1" s="1065"/>
      <c r="F1" s="1065"/>
      <c r="G1" s="1066"/>
    </row>
    <row r="2" spans="1:7" ht="22.5" customHeight="1">
      <c r="A2" s="2729" t="s">
        <v>676</v>
      </c>
      <c r="B2" s="2729"/>
      <c r="C2" s="2729"/>
      <c r="D2" s="2729"/>
      <c r="E2" s="2729"/>
      <c r="F2" s="2729"/>
      <c r="G2" s="1066"/>
    </row>
    <row r="3" spans="1:7" s="1068" customFormat="1" ht="17.25" customHeight="1">
      <c r="A3" s="3808" t="str">
        <f>"税款所属期间："&amp;基本情况!B7</f>
        <v>税款所属期间：2016年01月01日至2016年12月31日</v>
      </c>
      <c r="B3" s="3808"/>
      <c r="C3" s="3808"/>
      <c r="D3" s="3808"/>
      <c r="E3" s="3808"/>
      <c r="F3" s="3808"/>
      <c r="G3" s="1067"/>
    </row>
    <row r="4" spans="1:7" s="1074" customFormat="1" ht="17.25" customHeight="1">
      <c r="A4" s="1069" t="str">
        <f>"纳税人名称："&amp;基本情况!B2</f>
        <v>纳税人名称：0</v>
      </c>
      <c r="B4" s="1070"/>
      <c r="C4" s="1071"/>
      <c r="D4" s="1071"/>
      <c r="E4" s="1071"/>
      <c r="F4" s="1072" t="s">
        <v>704</v>
      </c>
      <c r="G4" s="1073"/>
    </row>
    <row r="5" spans="1:7" s="1068" customFormat="1" ht="16.5" customHeight="1">
      <c r="A5" s="2981" t="s">
        <v>705</v>
      </c>
      <c r="B5" s="2981"/>
      <c r="C5" s="1075" t="s">
        <v>706</v>
      </c>
      <c r="D5" s="1075" t="s">
        <v>1628</v>
      </c>
      <c r="E5" s="1075" t="s">
        <v>1491</v>
      </c>
      <c r="F5" s="1075" t="s">
        <v>1492</v>
      </c>
      <c r="G5" s="1067"/>
    </row>
    <row r="6" spans="1:7" s="1068" customFormat="1" ht="15.75" customHeight="1">
      <c r="A6" s="2964" t="s">
        <v>12</v>
      </c>
      <c r="B6" s="1076" t="s">
        <v>707</v>
      </c>
      <c r="C6" s="1075">
        <v>1</v>
      </c>
      <c r="D6" s="1077"/>
      <c r="E6" s="1077"/>
      <c r="F6" s="1077"/>
      <c r="G6" s="1060"/>
    </row>
    <row r="7" spans="1:7" s="1068" customFormat="1" ht="15.75" customHeight="1">
      <c r="A7" s="2964"/>
      <c r="B7" s="1076" t="s">
        <v>664</v>
      </c>
      <c r="C7" s="1075">
        <v>2</v>
      </c>
      <c r="D7" s="1078">
        <f>税费缴纳测算!C7</f>
        <v>0</v>
      </c>
      <c r="E7" s="1078">
        <f>税费缴纳测算!F7</f>
        <v>0</v>
      </c>
      <c r="F7" s="1079">
        <f>D7+E7</f>
        <v>0</v>
      </c>
      <c r="G7" s="1080"/>
    </row>
    <row r="8" spans="1:7" s="1068" customFormat="1" ht="15.75" customHeight="1">
      <c r="A8" s="2964"/>
      <c r="B8" s="1076" t="s">
        <v>708</v>
      </c>
      <c r="C8" s="1075">
        <v>3</v>
      </c>
      <c r="D8" s="1078">
        <f>税费缴纳测算!E7</f>
        <v>0</v>
      </c>
      <c r="E8" s="1077"/>
      <c r="F8" s="1079">
        <f>D8+E8</f>
        <v>0</v>
      </c>
      <c r="G8" s="1081"/>
    </row>
    <row r="9" spans="1:7" s="1068" customFormat="1" ht="15.75" customHeight="1">
      <c r="A9" s="2964"/>
      <c r="B9" s="1076" t="s">
        <v>709</v>
      </c>
      <c r="C9" s="1075">
        <v>4</v>
      </c>
      <c r="D9" s="1079">
        <f>D7-D8</f>
        <v>0</v>
      </c>
      <c r="E9" s="1079">
        <f>E7-E8</f>
        <v>0</v>
      </c>
      <c r="F9" s="1079">
        <f>D9+E9</f>
        <v>0</v>
      </c>
      <c r="G9" s="1067"/>
    </row>
    <row r="10" spans="1:7" s="1068" customFormat="1" ht="15.75" customHeight="1">
      <c r="A10" s="2964" t="s">
        <v>224</v>
      </c>
      <c r="B10" s="1076" t="s">
        <v>707</v>
      </c>
      <c r="C10" s="1075"/>
      <c r="D10" s="1077"/>
      <c r="E10" s="1077"/>
      <c r="F10" s="1077"/>
      <c r="G10" s="1067"/>
    </row>
    <row r="11" spans="1:7" s="1068" customFormat="1" ht="15.75" customHeight="1">
      <c r="A11" s="2964"/>
      <c r="B11" s="1076" t="s">
        <v>664</v>
      </c>
      <c r="C11" s="1075"/>
      <c r="D11" s="1078">
        <f>税费缴纳测算!C8</f>
        <v>0</v>
      </c>
      <c r="E11" s="1078">
        <f>税费缴纳测算!F8</f>
        <v>0</v>
      </c>
      <c r="F11" s="1079">
        <f>D11+E11</f>
        <v>0</v>
      </c>
      <c r="G11" s="1067"/>
    </row>
    <row r="12" spans="1:7" s="1068" customFormat="1" ht="15.75" customHeight="1">
      <c r="A12" s="2964"/>
      <c r="B12" s="1076" t="s">
        <v>708</v>
      </c>
      <c r="C12" s="1075"/>
      <c r="D12" s="1078">
        <f>税费缴纳测算!E8</f>
        <v>0</v>
      </c>
      <c r="E12" s="1077"/>
      <c r="F12" s="1079">
        <f>D12+E12</f>
        <v>0</v>
      </c>
      <c r="G12" s="1067"/>
    </row>
    <row r="13" spans="1:7" s="1068" customFormat="1" ht="15.75" customHeight="1">
      <c r="A13" s="2964"/>
      <c r="B13" s="1076" t="s">
        <v>709</v>
      </c>
      <c r="C13" s="1075"/>
      <c r="D13" s="1079">
        <f>D11-D12</f>
        <v>0</v>
      </c>
      <c r="E13" s="1079">
        <f>E11-E12</f>
        <v>0</v>
      </c>
      <c r="F13" s="1079">
        <f>D13+E13</f>
        <v>0</v>
      </c>
      <c r="G13" s="1067"/>
    </row>
    <row r="14" spans="1:7" s="1068" customFormat="1" ht="15.75" customHeight="1">
      <c r="A14" s="2964" t="s">
        <v>1270</v>
      </c>
      <c r="B14" s="1076" t="s">
        <v>707</v>
      </c>
      <c r="C14" s="1075">
        <v>5</v>
      </c>
      <c r="D14" s="1226"/>
      <c r="E14" s="1226"/>
      <c r="F14" s="1226"/>
      <c r="G14" s="1060" t="s">
        <v>395</v>
      </c>
    </row>
    <row r="15" spans="1:7" s="1068" customFormat="1" ht="15.75" customHeight="1">
      <c r="A15" s="2964"/>
      <c r="B15" s="1076" t="s">
        <v>664</v>
      </c>
      <c r="C15" s="1075">
        <v>6</v>
      </c>
      <c r="D15" s="1078">
        <f>税费缴纳测算!C9</f>
        <v>0</v>
      </c>
      <c r="E15" s="1078">
        <f>SUM(主营税金!F8:F13)</f>
        <v>0</v>
      </c>
      <c r="F15" s="1079">
        <f>D15+E15</f>
        <v>0</v>
      </c>
      <c r="G15" s="1080"/>
    </row>
    <row r="16" spans="1:7" s="1068" customFormat="1" ht="15.75" customHeight="1">
      <c r="A16" s="2964"/>
      <c r="B16" s="1076" t="s">
        <v>708</v>
      </c>
      <c r="C16" s="1075">
        <v>7</v>
      </c>
      <c r="D16" s="1078">
        <f>税费缴纳测算!E9</f>
        <v>0</v>
      </c>
      <c r="E16" s="1226"/>
      <c r="F16" s="1079">
        <f>D16+E16</f>
        <v>0</v>
      </c>
      <c r="G16" s="1084" t="s">
        <v>712</v>
      </c>
    </row>
    <row r="17" spans="1:7" s="1068" customFormat="1" ht="15.75" customHeight="1">
      <c r="A17" s="2964"/>
      <c r="B17" s="1076" t="s">
        <v>709</v>
      </c>
      <c r="C17" s="1075">
        <v>8</v>
      </c>
      <c r="D17" s="1079">
        <f>D15-D16</f>
        <v>0</v>
      </c>
      <c r="E17" s="1079">
        <f>E15-E16</f>
        <v>0</v>
      </c>
      <c r="F17" s="1079">
        <f>D17+E17</f>
        <v>0</v>
      </c>
      <c r="G17" s="1067"/>
    </row>
    <row r="18" spans="1:7" s="1068" customFormat="1" ht="15.75" customHeight="1">
      <c r="A18" s="2964" t="s">
        <v>710</v>
      </c>
      <c r="B18" s="1076" t="s">
        <v>707</v>
      </c>
      <c r="C18" s="1075">
        <v>9</v>
      </c>
      <c r="D18" s="1226"/>
      <c r="E18" s="1226"/>
      <c r="F18" s="1226"/>
      <c r="G18" s="1085" t="s">
        <v>713</v>
      </c>
    </row>
    <row r="19" spans="1:7" s="1068" customFormat="1" ht="15.75" customHeight="1">
      <c r="A19" s="2964"/>
      <c r="B19" s="1076" t="s">
        <v>664</v>
      </c>
      <c r="C19" s="1075">
        <v>10</v>
      </c>
      <c r="D19" s="1078">
        <f>税费缴纳测算!C10</f>
        <v>0</v>
      </c>
      <c r="E19" s="1078">
        <f>SUM(主营税金!F14:F19)+主营税金!F35+主营税金!F38</f>
        <v>0</v>
      </c>
      <c r="F19" s="1079">
        <f>D19+E19</f>
        <v>0</v>
      </c>
      <c r="G19" s="1080"/>
    </row>
    <row r="20" spans="1:7" s="1068" customFormat="1" ht="15.75" customHeight="1">
      <c r="A20" s="2964"/>
      <c r="B20" s="1076" t="s">
        <v>708</v>
      </c>
      <c r="C20" s="1075">
        <v>11</v>
      </c>
      <c r="D20" s="1078">
        <f>税费缴纳测算!E10</f>
        <v>0</v>
      </c>
      <c r="E20" s="1226"/>
      <c r="F20" s="1079">
        <f>D20+E20</f>
        <v>0</v>
      </c>
      <c r="G20" s="1067"/>
    </row>
    <row r="21" spans="1:7" s="1068" customFormat="1" ht="15.75" customHeight="1">
      <c r="A21" s="2964"/>
      <c r="B21" s="1076" t="s">
        <v>709</v>
      </c>
      <c r="C21" s="1075">
        <v>12</v>
      </c>
      <c r="D21" s="1079">
        <f>D19-D20</f>
        <v>0</v>
      </c>
      <c r="E21" s="1079">
        <f>E19-E20</f>
        <v>0</v>
      </c>
      <c r="F21" s="1079">
        <f>D21+E21</f>
        <v>0</v>
      </c>
      <c r="G21" s="1067"/>
    </row>
    <row r="22" spans="1:7" s="1068" customFormat="1" ht="15.75" customHeight="1">
      <c r="A22" s="2964" t="s">
        <v>1272</v>
      </c>
      <c r="B22" s="1076" t="s">
        <v>707</v>
      </c>
      <c r="C22" s="1075">
        <v>13</v>
      </c>
      <c r="D22" s="1226"/>
      <c r="E22" s="1226"/>
      <c r="F22" s="1226"/>
      <c r="G22" s="1067"/>
    </row>
    <row r="23" spans="1:7" s="1068" customFormat="1" ht="15.75" customHeight="1">
      <c r="A23" s="2964"/>
      <c r="B23" s="1076" t="s">
        <v>664</v>
      </c>
      <c r="C23" s="1075">
        <v>14</v>
      </c>
      <c r="D23" s="1078">
        <f>税费缴纳测算!C11</f>
        <v>0</v>
      </c>
      <c r="E23" s="1078">
        <f>SUM(主营税金!F20:F25)+主营税金!F36+主营税金!F39</f>
        <v>0</v>
      </c>
      <c r="F23" s="1079">
        <f>D23+E23</f>
        <v>0</v>
      </c>
      <c r="G23" s="1067"/>
    </row>
    <row r="24" spans="1:7" s="1068" customFormat="1" ht="15.75" customHeight="1">
      <c r="A24" s="2964"/>
      <c r="B24" s="1076" t="s">
        <v>708</v>
      </c>
      <c r="C24" s="1075">
        <v>15</v>
      </c>
      <c r="D24" s="1078">
        <f>税费缴纳测算!E11</f>
        <v>0</v>
      </c>
      <c r="E24" s="1226"/>
      <c r="F24" s="1079">
        <f>D24+E24</f>
        <v>0</v>
      </c>
      <c r="G24" s="1067"/>
    </row>
    <row r="25" spans="1:7" s="1068" customFormat="1" ht="15.75" customHeight="1">
      <c r="A25" s="2964"/>
      <c r="B25" s="1076" t="s">
        <v>709</v>
      </c>
      <c r="C25" s="1075">
        <v>16</v>
      </c>
      <c r="D25" s="1079">
        <f>D23-D24</f>
        <v>0</v>
      </c>
      <c r="E25" s="1079">
        <f>E23-E24</f>
        <v>0</v>
      </c>
      <c r="F25" s="1079">
        <f>D25+E25</f>
        <v>0</v>
      </c>
      <c r="G25" s="1067"/>
    </row>
    <row r="26" spans="1:7" s="1068" customFormat="1" ht="15.75" customHeight="1">
      <c r="A26" s="2964" t="s">
        <v>1273</v>
      </c>
      <c r="B26" s="1076" t="s">
        <v>707</v>
      </c>
      <c r="C26" s="1075">
        <v>17</v>
      </c>
      <c r="D26" s="1226"/>
      <c r="E26" s="1226"/>
      <c r="F26" s="1226"/>
      <c r="G26" s="1067"/>
    </row>
    <row r="27" spans="1:7" s="1068" customFormat="1" ht="15.75" customHeight="1">
      <c r="A27" s="2964"/>
      <c r="B27" s="1076" t="s">
        <v>664</v>
      </c>
      <c r="C27" s="1075">
        <v>18</v>
      </c>
      <c r="D27" s="1078">
        <f>税费缴纳测算!C12</f>
        <v>0</v>
      </c>
      <c r="E27" s="1078">
        <f>SUM(主营税金!F26:F31)+主营税金!F37+主营税金!F40</f>
        <v>0</v>
      </c>
      <c r="F27" s="1079">
        <f>D27+E27</f>
        <v>0</v>
      </c>
      <c r="G27" s="1067"/>
    </row>
    <row r="28" spans="1:7" s="1068" customFormat="1" ht="15.75" customHeight="1">
      <c r="A28" s="2964"/>
      <c r="B28" s="1076" t="s">
        <v>708</v>
      </c>
      <c r="C28" s="1075">
        <v>19</v>
      </c>
      <c r="D28" s="1078">
        <f>税费缴纳测算!E12</f>
        <v>0</v>
      </c>
      <c r="E28" s="1226"/>
      <c r="F28" s="1079">
        <f>D28+E28</f>
        <v>0</v>
      </c>
      <c r="G28" s="1067"/>
    </row>
    <row r="29" spans="1:7" s="1068" customFormat="1" ht="15.75" customHeight="1">
      <c r="A29" s="2964"/>
      <c r="B29" s="1076" t="s">
        <v>711</v>
      </c>
      <c r="C29" s="1075">
        <v>20</v>
      </c>
      <c r="D29" s="1079">
        <f>D27-D28</f>
        <v>0</v>
      </c>
      <c r="E29" s="1079">
        <f>E27-E28</f>
        <v>0</v>
      </c>
      <c r="F29" s="1079">
        <f>D29+E29</f>
        <v>0</v>
      </c>
      <c r="G29" s="1067"/>
    </row>
    <row r="30" spans="1:7" s="1068" customFormat="1" ht="15.75" customHeight="1">
      <c r="A30" s="2964" t="s">
        <v>226</v>
      </c>
      <c r="B30" s="1076" t="s">
        <v>707</v>
      </c>
      <c r="C30" s="1075">
        <v>21</v>
      </c>
      <c r="D30" s="1226"/>
      <c r="E30" s="1226"/>
      <c r="F30" s="1226"/>
      <c r="G30" s="1067"/>
    </row>
    <row r="31" spans="1:7" s="1068" customFormat="1" ht="15.75" customHeight="1">
      <c r="A31" s="2964"/>
      <c r="B31" s="1076" t="s">
        <v>664</v>
      </c>
      <c r="C31" s="1075">
        <v>22</v>
      </c>
      <c r="D31" s="1078">
        <f>税费缴纳测算!C13</f>
        <v>0</v>
      </c>
      <c r="E31" s="1078">
        <f>税费缴纳测算!F13</f>
        <v>0</v>
      </c>
      <c r="F31" s="1079">
        <f>D31+E31</f>
        <v>0</v>
      </c>
      <c r="G31" s="1067"/>
    </row>
    <row r="32" spans="1:7" s="1068" customFormat="1" ht="15.75" customHeight="1">
      <c r="A32" s="2964"/>
      <c r="B32" s="1076" t="s">
        <v>708</v>
      </c>
      <c r="C32" s="1075">
        <v>23</v>
      </c>
      <c r="D32" s="1078">
        <f>税费缴纳测算!E13</f>
        <v>0</v>
      </c>
      <c r="E32" s="1226"/>
      <c r="F32" s="1079">
        <f>D32+E32</f>
        <v>0</v>
      </c>
      <c r="G32" s="1067"/>
    </row>
    <row r="33" spans="1:7" s="1068" customFormat="1" ht="15.75" customHeight="1">
      <c r="A33" s="2964"/>
      <c r="B33" s="1076" t="s">
        <v>709</v>
      </c>
      <c r="C33" s="1075">
        <v>24</v>
      </c>
      <c r="D33" s="1079">
        <f>D31-D32</f>
        <v>0</v>
      </c>
      <c r="E33" s="1079">
        <f>E31-E32</f>
        <v>0</v>
      </c>
      <c r="F33" s="1079">
        <f>D33+E33</f>
        <v>0</v>
      </c>
      <c r="G33" s="1067"/>
    </row>
    <row r="34" spans="1:7" s="1068" customFormat="1" ht="15.75" customHeight="1">
      <c r="A34" s="2964" t="s">
        <v>230</v>
      </c>
      <c r="B34" s="1076" t="s">
        <v>707</v>
      </c>
      <c r="C34" s="1075"/>
      <c r="D34" s="1226"/>
      <c r="E34" s="1226"/>
      <c r="F34" s="1226"/>
      <c r="G34" s="1067"/>
    </row>
    <row r="35" spans="1:7" s="1068" customFormat="1" ht="15.75" customHeight="1">
      <c r="A35" s="2964"/>
      <c r="B35" s="1076" t="s">
        <v>664</v>
      </c>
      <c r="C35" s="1075"/>
      <c r="D35" s="1078">
        <f>税费缴纳测算!C14</f>
        <v>0</v>
      </c>
      <c r="E35" s="1078">
        <f>税费缴纳测算!F14</f>
        <v>0</v>
      </c>
      <c r="F35" s="1079">
        <f>D35+E35</f>
        <v>0</v>
      </c>
      <c r="G35" s="1067"/>
    </row>
    <row r="36" spans="1:7" s="1068" customFormat="1" ht="15.75" customHeight="1">
      <c r="A36" s="2964"/>
      <c r="B36" s="1076" t="s">
        <v>708</v>
      </c>
      <c r="C36" s="1075"/>
      <c r="D36" s="1078">
        <f>税费缴纳测算!E14</f>
        <v>0</v>
      </c>
      <c r="E36" s="1226"/>
      <c r="F36" s="1079">
        <f>D36+E36</f>
        <v>0</v>
      </c>
      <c r="G36" s="1067"/>
    </row>
    <row r="37" spans="1:7" s="1068" customFormat="1" ht="15.75" customHeight="1">
      <c r="A37" s="2964"/>
      <c r="B37" s="1076" t="s">
        <v>709</v>
      </c>
      <c r="C37" s="1075"/>
      <c r="D37" s="1079">
        <f>D35-D36</f>
        <v>0</v>
      </c>
      <c r="E37" s="1079">
        <f>E35-E36</f>
        <v>0</v>
      </c>
      <c r="F37" s="1079">
        <f>D37+E37</f>
        <v>0</v>
      </c>
      <c r="G37" s="1067"/>
    </row>
    <row r="38" spans="1:7" s="1068" customFormat="1" ht="15.75" customHeight="1">
      <c r="A38" s="2964" t="s">
        <v>1277</v>
      </c>
      <c r="B38" s="1076" t="s">
        <v>707</v>
      </c>
      <c r="C38" s="1075">
        <v>25</v>
      </c>
      <c r="D38" s="1226"/>
      <c r="E38" s="1226"/>
      <c r="F38" s="1226"/>
      <c r="G38" s="1067"/>
    </row>
    <row r="39" spans="1:7" s="1068" customFormat="1" ht="15.75" customHeight="1">
      <c r="A39" s="2964"/>
      <c r="B39" s="1076" t="s">
        <v>664</v>
      </c>
      <c r="C39" s="1075">
        <v>26</v>
      </c>
      <c r="D39" s="1078">
        <f>税费缴纳测算!C16</f>
        <v>0</v>
      </c>
      <c r="E39" s="1078">
        <f>税费缴纳测算!F50</f>
        <v>0</v>
      </c>
      <c r="F39" s="1079">
        <f>D39+E39</f>
        <v>0</v>
      </c>
      <c r="G39" s="1067"/>
    </row>
    <row r="40" spans="1:7" s="1068" customFormat="1" ht="15.75" customHeight="1">
      <c r="A40" s="2964"/>
      <c r="B40" s="1076" t="s">
        <v>708</v>
      </c>
      <c r="C40" s="1075">
        <v>27</v>
      </c>
      <c r="D40" s="1078">
        <f>税费缴纳测算!E16</f>
        <v>0</v>
      </c>
      <c r="E40" s="1226"/>
      <c r="F40" s="1079">
        <f>D40+E40</f>
        <v>0</v>
      </c>
      <c r="G40" s="1067"/>
    </row>
    <row r="41" spans="1:7" s="1068" customFormat="1" ht="15.75" customHeight="1">
      <c r="A41" s="2964"/>
      <c r="B41" s="1076" t="s">
        <v>709</v>
      </c>
      <c r="C41" s="1075">
        <v>28</v>
      </c>
      <c r="D41" s="1079">
        <f>D39-D40</f>
        <v>0</v>
      </c>
      <c r="E41" s="1079">
        <f>E39-E40</f>
        <v>0</v>
      </c>
      <c r="F41" s="1079">
        <f>D41+E41</f>
        <v>0</v>
      </c>
      <c r="G41" s="1067"/>
    </row>
    <row r="42" spans="1:7" s="1068" customFormat="1" ht="15.75" customHeight="1">
      <c r="A42" s="2964" t="s">
        <v>232</v>
      </c>
      <c r="B42" s="1076" t="s">
        <v>707</v>
      </c>
      <c r="C42" s="1075">
        <v>29</v>
      </c>
      <c r="D42" s="1226"/>
      <c r="E42" s="1226"/>
      <c r="F42" s="1226"/>
      <c r="G42" s="1067"/>
    </row>
    <row r="43" spans="1:7" s="1068" customFormat="1" ht="15.75" customHeight="1">
      <c r="A43" s="2964"/>
      <c r="B43" s="1076" t="s">
        <v>664</v>
      </c>
      <c r="C43" s="1075">
        <v>30</v>
      </c>
      <c r="D43" s="1078">
        <f>税费缴纳测算!C19</f>
        <v>0</v>
      </c>
      <c r="E43" s="1078">
        <f>税费缴纳测算!F53</f>
        <v>0</v>
      </c>
      <c r="F43" s="1079">
        <f>D43+E43</f>
        <v>0</v>
      </c>
      <c r="G43" s="1067"/>
    </row>
    <row r="44" spans="1:7" s="1068" customFormat="1" ht="15.75" customHeight="1">
      <c r="A44" s="2964"/>
      <c r="B44" s="1076" t="s">
        <v>708</v>
      </c>
      <c r="C44" s="1075">
        <v>31</v>
      </c>
      <c r="D44" s="1078">
        <f>税费缴纳测算!E19</f>
        <v>0</v>
      </c>
      <c r="E44" s="1226"/>
      <c r="F44" s="1079">
        <f>D44+E44</f>
        <v>0</v>
      </c>
      <c r="G44" s="1067"/>
    </row>
    <row r="45" spans="1:7" s="1068" customFormat="1" ht="15.75" customHeight="1">
      <c r="A45" s="2964"/>
      <c r="B45" s="1076" t="s">
        <v>709</v>
      </c>
      <c r="C45" s="1075">
        <v>32</v>
      </c>
      <c r="D45" s="1079">
        <f>D43-D44</f>
        <v>0</v>
      </c>
      <c r="E45" s="1079">
        <f>E43-E44</f>
        <v>0</v>
      </c>
      <c r="F45" s="1079">
        <f>D45+E45</f>
        <v>0</v>
      </c>
      <c r="G45" s="1067"/>
    </row>
    <row r="46" spans="1:7" s="1068" customFormat="1" ht="15.75" customHeight="1">
      <c r="A46" s="2964" t="s">
        <v>184</v>
      </c>
      <c r="B46" s="1076" t="s">
        <v>707</v>
      </c>
      <c r="C46" s="1075"/>
      <c r="D46" s="1226"/>
      <c r="E46" s="1226"/>
      <c r="F46" s="1226"/>
      <c r="G46" s="1067"/>
    </row>
    <row r="47" spans="1:7" s="1068" customFormat="1" ht="15.75" customHeight="1">
      <c r="A47" s="2964"/>
      <c r="B47" s="1076" t="s">
        <v>664</v>
      </c>
      <c r="C47" s="1075"/>
      <c r="D47" s="1078">
        <f>税费缴纳测算!C18</f>
        <v>0</v>
      </c>
      <c r="E47" s="1078">
        <f>税费缴纳测算!F18</f>
        <v>0</v>
      </c>
      <c r="F47" s="1079">
        <f>D47+E47</f>
        <v>0</v>
      </c>
      <c r="G47" s="1067"/>
    </row>
    <row r="48" spans="1:7" s="1068" customFormat="1" ht="15.75" customHeight="1">
      <c r="A48" s="2964"/>
      <c r="B48" s="1076" t="s">
        <v>708</v>
      </c>
      <c r="C48" s="1075"/>
      <c r="D48" s="1078">
        <f>税费缴纳测算!E18</f>
        <v>0</v>
      </c>
      <c r="E48" s="1226"/>
      <c r="F48" s="1079">
        <f>D48+E48</f>
        <v>0</v>
      </c>
      <c r="G48" s="1067"/>
    </row>
    <row r="49" spans="1:8" s="1068" customFormat="1" ht="15.75" customHeight="1">
      <c r="A49" s="2964"/>
      <c r="B49" s="1076" t="s">
        <v>709</v>
      </c>
      <c r="C49" s="1075"/>
      <c r="D49" s="1079">
        <f>D47-D48</f>
        <v>0</v>
      </c>
      <c r="E49" s="1079">
        <f>E47-E48</f>
        <v>0</v>
      </c>
      <c r="F49" s="1079">
        <f>D49+E49</f>
        <v>0</v>
      </c>
      <c r="G49" s="1067"/>
    </row>
    <row r="50" spans="1:8" s="1068" customFormat="1" ht="15.75" customHeight="1">
      <c r="A50" s="2964" t="s">
        <v>1279</v>
      </c>
      <c r="B50" s="1076" t="s">
        <v>707</v>
      </c>
      <c r="C50" s="1075">
        <v>33</v>
      </c>
      <c r="D50" s="1226"/>
      <c r="E50" s="1226"/>
      <c r="F50" s="1226"/>
      <c r="G50" s="1067"/>
    </row>
    <row r="51" spans="1:8" s="1068" customFormat="1" ht="15.75" customHeight="1">
      <c r="A51" s="2964"/>
      <c r="B51" s="1076" t="s">
        <v>664</v>
      </c>
      <c r="C51" s="1075">
        <v>34</v>
      </c>
      <c r="D51" s="1078">
        <f>税费缴纳测算!C17</f>
        <v>0</v>
      </c>
      <c r="E51" s="1078">
        <f>税费缴纳测算!F36</f>
        <v>0</v>
      </c>
      <c r="F51" s="1079">
        <f>D51+E51</f>
        <v>0</v>
      </c>
      <c r="G51" s="1067"/>
    </row>
    <row r="52" spans="1:8" s="1068" customFormat="1" ht="15.75" customHeight="1">
      <c r="A52" s="2964"/>
      <c r="B52" s="1076" t="s">
        <v>708</v>
      </c>
      <c r="C52" s="1075">
        <v>35</v>
      </c>
      <c r="D52" s="1078">
        <f>税费缴纳测算!E17</f>
        <v>0</v>
      </c>
      <c r="E52" s="1226"/>
      <c r="F52" s="1079">
        <f>D52+E52</f>
        <v>0</v>
      </c>
      <c r="G52" s="1067"/>
    </row>
    <row r="53" spans="1:8" s="1068" customFormat="1" ht="15.75" customHeight="1">
      <c r="A53" s="2964"/>
      <c r="B53" s="1076" t="s">
        <v>709</v>
      </c>
      <c r="C53" s="1075">
        <v>36</v>
      </c>
      <c r="D53" s="1079">
        <f>D51-D52</f>
        <v>0</v>
      </c>
      <c r="E53" s="1079">
        <f>E51-E52</f>
        <v>0</v>
      </c>
      <c r="F53" s="1079">
        <f>D53+E53</f>
        <v>0</v>
      </c>
      <c r="G53" s="1067"/>
    </row>
    <row r="54" spans="1:8" s="1068" customFormat="1" ht="15.75" customHeight="1">
      <c r="A54" s="3809" t="s">
        <v>228</v>
      </c>
      <c r="B54" s="1076" t="s">
        <v>707</v>
      </c>
      <c r="C54" s="1075"/>
      <c r="D54" s="1226"/>
      <c r="E54" s="1226"/>
      <c r="F54" s="1226"/>
      <c r="G54" s="1067"/>
    </row>
    <row r="55" spans="1:8" s="1068" customFormat="1" ht="15.75" customHeight="1">
      <c r="A55" s="3809"/>
      <c r="B55" s="1076" t="s">
        <v>664</v>
      </c>
      <c r="C55" s="1075"/>
      <c r="D55" s="1078">
        <f>税费缴纳测算!C20</f>
        <v>0</v>
      </c>
      <c r="E55" s="1078">
        <f>税费缴纳测算!F20</f>
        <v>0</v>
      </c>
      <c r="F55" s="1079">
        <f>D55+E55</f>
        <v>0</v>
      </c>
      <c r="G55" s="1067"/>
    </row>
    <row r="56" spans="1:8" s="1068" customFormat="1" ht="15.75" customHeight="1">
      <c r="A56" s="3809"/>
      <c r="B56" s="1076" t="s">
        <v>708</v>
      </c>
      <c r="C56" s="1075"/>
      <c r="D56" s="1078">
        <f>税费缴纳测算!E20</f>
        <v>0</v>
      </c>
      <c r="E56" s="1226"/>
      <c r="F56" s="1079">
        <f>D56+E56</f>
        <v>0</v>
      </c>
      <c r="G56" s="1067"/>
    </row>
    <row r="57" spans="1:8" s="1068" customFormat="1" ht="15.75" customHeight="1">
      <c r="A57" s="3809"/>
      <c r="B57" s="1076" t="s">
        <v>711</v>
      </c>
      <c r="C57" s="1075"/>
      <c r="D57" s="1079">
        <f>D55-D56</f>
        <v>0</v>
      </c>
      <c r="E57" s="1079">
        <f>E55-E56</f>
        <v>0</v>
      </c>
      <c r="F57" s="1079">
        <f>D57+E57</f>
        <v>0</v>
      </c>
      <c r="G57" s="1067"/>
    </row>
    <row r="58" spans="1:8" s="1068" customFormat="1" ht="15.75" customHeight="1">
      <c r="A58" s="3809" t="s">
        <v>1276</v>
      </c>
      <c r="B58" s="1076" t="s">
        <v>707</v>
      </c>
      <c r="C58" s="1075">
        <v>37</v>
      </c>
      <c r="D58" s="1226"/>
      <c r="E58" s="1226"/>
      <c r="F58" s="1226"/>
      <c r="G58" s="1067"/>
    </row>
    <row r="59" spans="1:8" s="1068" customFormat="1" ht="15.75" customHeight="1">
      <c r="A59" s="3809"/>
      <c r="B59" s="1076" t="s">
        <v>664</v>
      </c>
      <c r="C59" s="1075">
        <v>38</v>
      </c>
      <c r="D59" s="1078">
        <f>税费缴纳测算!C23</f>
        <v>0</v>
      </c>
      <c r="E59" s="1078">
        <f>税费缴纳测算!F23</f>
        <v>0</v>
      </c>
      <c r="F59" s="1079">
        <f>D59+E59</f>
        <v>0</v>
      </c>
      <c r="G59" s="1067"/>
      <c r="H59" s="1082"/>
    </row>
    <row r="60" spans="1:8" s="1068" customFormat="1" ht="15.75" customHeight="1">
      <c r="A60" s="3809"/>
      <c r="B60" s="1076" t="s">
        <v>708</v>
      </c>
      <c r="C60" s="1075">
        <v>39</v>
      </c>
      <c r="D60" s="1078">
        <f>税费缴纳测算!E23</f>
        <v>0</v>
      </c>
      <c r="E60" s="1226"/>
      <c r="F60" s="1079">
        <f>D60+E60</f>
        <v>0</v>
      </c>
      <c r="G60" s="1067"/>
    </row>
    <row r="61" spans="1:8" s="1068" customFormat="1" ht="15.75" customHeight="1">
      <c r="A61" s="3809"/>
      <c r="B61" s="1076" t="s">
        <v>711</v>
      </c>
      <c r="C61" s="1075">
        <v>40</v>
      </c>
      <c r="D61" s="1083">
        <f>D59-D60</f>
        <v>0</v>
      </c>
      <c r="E61" s="1079">
        <f>E59-E60</f>
        <v>0</v>
      </c>
      <c r="F61" s="1079">
        <f>D61+E61</f>
        <v>0</v>
      </c>
      <c r="G61" s="1080"/>
    </row>
    <row r="62" spans="1:8" s="1068" customFormat="1" ht="15.75" customHeight="1">
      <c r="A62" s="3809" t="s">
        <v>233</v>
      </c>
      <c r="B62" s="1076" t="s">
        <v>707</v>
      </c>
      <c r="C62" s="1075">
        <v>37</v>
      </c>
      <c r="D62" s="1226"/>
      <c r="E62" s="1226"/>
      <c r="F62" s="1226"/>
      <c r="G62" s="1067"/>
    </row>
    <row r="63" spans="1:8" s="1068" customFormat="1" ht="15.75" customHeight="1">
      <c r="A63" s="3809"/>
      <c r="B63" s="1076" t="s">
        <v>664</v>
      </c>
      <c r="C63" s="1075">
        <v>38</v>
      </c>
      <c r="D63" s="1275"/>
      <c r="E63" s="1275"/>
      <c r="F63" s="1079">
        <f>D63+E63</f>
        <v>0</v>
      </c>
      <c r="G63" s="1067"/>
      <c r="H63" s="1082"/>
    </row>
    <row r="64" spans="1:8" s="1068" customFormat="1" ht="15.75" customHeight="1">
      <c r="A64" s="3809"/>
      <c r="B64" s="1076" t="s">
        <v>708</v>
      </c>
      <c r="C64" s="1075">
        <v>39</v>
      </c>
      <c r="D64" s="1275"/>
      <c r="E64" s="1275"/>
      <c r="F64" s="1079">
        <f>D64+E64</f>
        <v>0</v>
      </c>
      <c r="G64" s="1067"/>
    </row>
    <row r="65" spans="1:7" s="1068" customFormat="1" ht="15.75" customHeight="1">
      <c r="A65" s="3809"/>
      <c r="B65" s="1076" t="s">
        <v>711</v>
      </c>
      <c r="C65" s="1075">
        <v>40</v>
      </c>
      <c r="D65" s="1083">
        <f>D63-D64</f>
        <v>0</v>
      </c>
      <c r="E65" s="1079">
        <f>E63-E64</f>
        <v>0</v>
      </c>
      <c r="F65" s="1079">
        <f>D65+E65</f>
        <v>0</v>
      </c>
      <c r="G65" s="1080"/>
    </row>
    <row r="66" spans="1:7" s="1068" customFormat="1" ht="15" customHeight="1">
      <c r="A66" s="1067" t="s">
        <v>6893</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54:A57"/>
    <mergeCell ref="A58:A61"/>
    <mergeCell ref="A62:A65"/>
    <mergeCell ref="A22:A25"/>
    <mergeCell ref="A26:A29"/>
    <mergeCell ref="A30:A33"/>
    <mergeCell ref="A38:A41"/>
    <mergeCell ref="A42:A45"/>
    <mergeCell ref="A50:A53"/>
    <mergeCell ref="A34:A37"/>
    <mergeCell ref="A46:A49"/>
    <mergeCell ref="A14:A17"/>
    <mergeCell ref="A18:A21"/>
    <mergeCell ref="A2:F2"/>
    <mergeCell ref="A3:F3"/>
    <mergeCell ref="A5:B5"/>
    <mergeCell ref="A6:A9"/>
    <mergeCell ref="A10:A13"/>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workbookViewId="0">
      <selection activeCell="D10" sqref="D10"/>
    </sheetView>
  </sheetViews>
  <sheetFormatPr defaultRowHeight="15.6"/>
  <cols>
    <col min="1" max="1" width="50.09765625" customWidth="1"/>
    <col min="2" max="2" width="5.5" bestFit="1" customWidth="1"/>
    <col min="3" max="3" width="17.19921875" style="1452" bestFit="1" customWidth="1"/>
    <col min="4" max="4" width="13.69921875" customWidth="1"/>
    <col min="5" max="5" width="14.59765625" customWidth="1"/>
    <col min="6" max="6" width="12.59765625" customWidth="1"/>
    <col min="7" max="7" width="33.8984375" bestFit="1" customWidth="1"/>
    <col min="8" max="10" width="9" customWidth="1"/>
  </cols>
  <sheetData>
    <row r="1" spans="1:8" ht="58.5" customHeight="1">
      <c r="A1" s="1470" t="s">
        <v>2376</v>
      </c>
      <c r="B1" s="1471"/>
      <c r="C1" s="1472" t="s">
        <v>2377</v>
      </c>
      <c r="D1" s="1300"/>
      <c r="F1" s="1322" t="s">
        <v>2380</v>
      </c>
      <c r="G1" s="1328" t="s">
        <v>5914</v>
      </c>
      <c r="H1" s="1326"/>
    </row>
    <row r="2" spans="1:8">
      <c r="A2" s="2111" t="s">
        <v>1484</v>
      </c>
      <c r="B2" s="1300" t="s">
        <v>2378</v>
      </c>
      <c r="C2" s="1473" t="s">
        <v>2381</v>
      </c>
      <c r="D2" s="1300" t="s">
        <v>2379</v>
      </c>
    </row>
    <row r="3" spans="1:8">
      <c r="A3" s="2111" t="s">
        <v>1657</v>
      </c>
      <c r="B3" s="1300" t="s">
        <v>2378</v>
      </c>
      <c r="C3" s="1473" t="s">
        <v>2381</v>
      </c>
      <c r="D3" s="1300" t="s">
        <v>2379</v>
      </c>
      <c r="E3" s="1451"/>
    </row>
    <row r="4" spans="1:8">
      <c r="A4" s="2111" t="s">
        <v>6647</v>
      </c>
      <c r="B4" s="1300" t="s">
        <v>2378</v>
      </c>
      <c r="C4" s="1473" t="s">
        <v>2381</v>
      </c>
      <c r="D4" s="1300" t="s">
        <v>2379</v>
      </c>
    </row>
    <row r="5" spans="1:8">
      <c r="A5" s="2111" t="s">
        <v>5925</v>
      </c>
      <c r="B5" s="1300" t="s">
        <v>2378</v>
      </c>
      <c r="C5" s="1473" t="s">
        <v>2381</v>
      </c>
      <c r="D5" s="1300" t="s">
        <v>2379</v>
      </c>
    </row>
    <row r="6" spans="1:8">
      <c r="A6" s="2111" t="s">
        <v>5927</v>
      </c>
      <c r="B6" s="1300" t="s">
        <v>2378</v>
      </c>
      <c r="C6" s="1473" t="s">
        <v>2381</v>
      </c>
      <c r="D6" s="1300" t="s">
        <v>2379</v>
      </c>
    </row>
    <row r="7" spans="1:8">
      <c r="A7" s="2111" t="s">
        <v>5928</v>
      </c>
      <c r="B7" s="1300" t="s">
        <v>2378</v>
      </c>
      <c r="C7" s="1473" t="s">
        <v>2381</v>
      </c>
      <c r="D7" s="1300" t="s">
        <v>2379</v>
      </c>
    </row>
    <row r="8" spans="1:8">
      <c r="A8" s="2692" t="s">
        <v>10287</v>
      </c>
      <c r="B8" s="1300" t="s">
        <v>2378</v>
      </c>
      <c r="C8" s="1473" t="s">
        <v>2381</v>
      </c>
      <c r="D8" s="1300" t="s">
        <v>2379</v>
      </c>
    </row>
    <row r="9" spans="1:8">
      <c r="A9" s="2111" t="s">
        <v>5940</v>
      </c>
      <c r="B9" s="1300" t="s">
        <v>2378</v>
      </c>
      <c r="C9" s="1473" t="s">
        <v>2381</v>
      </c>
      <c r="D9" s="1300" t="s">
        <v>2379</v>
      </c>
    </row>
    <row r="10" spans="1:8">
      <c r="A10" s="2111" t="s">
        <v>6698</v>
      </c>
      <c r="B10" s="1300" t="s">
        <v>2378</v>
      </c>
      <c r="C10" s="1473" t="s">
        <v>2381</v>
      </c>
      <c r="D10" s="1300" t="s">
        <v>2379</v>
      </c>
    </row>
    <row r="11" spans="1:8">
      <c r="A11" s="2111" t="s">
        <v>6699</v>
      </c>
      <c r="B11" s="1300" t="s">
        <v>2378</v>
      </c>
      <c r="C11" s="1473" t="s">
        <v>2381</v>
      </c>
      <c r="D11" s="1300" t="s">
        <v>2379</v>
      </c>
    </row>
    <row r="12" spans="1:8">
      <c r="A12" s="2111" t="s">
        <v>6700</v>
      </c>
      <c r="B12" s="1300" t="s">
        <v>2378</v>
      </c>
      <c r="C12" s="1473" t="s">
        <v>2381</v>
      </c>
      <c r="D12" s="1300" t="s">
        <v>2379</v>
      </c>
    </row>
    <row r="13" spans="1:8" hidden="1">
      <c r="A13" s="2111" t="s">
        <v>1629</v>
      </c>
      <c r="B13" s="1300" t="s">
        <v>2378</v>
      </c>
      <c r="C13" s="1474">
        <f>IF(OR(固资折旧!$F$13&lt;&gt;资产负债!D23,固资折旧!$F$23&lt;&gt;资产负债!D24,固资折旧!$G$29&lt;&gt;固资折旧!$D$23),"不符",0)</f>
        <v>0</v>
      </c>
      <c r="D13" s="1300" t="s">
        <v>2379</v>
      </c>
    </row>
    <row r="14" spans="1:8" hidden="1">
      <c r="A14" s="2111" t="s">
        <v>1658</v>
      </c>
      <c r="B14" s="1300" t="s">
        <v>2378</v>
      </c>
      <c r="C14" s="1474">
        <f>C13</f>
        <v>0</v>
      </c>
      <c r="D14" s="1300" t="s">
        <v>2379</v>
      </c>
    </row>
    <row r="15" spans="1:8" hidden="1">
      <c r="A15" s="2111" t="s">
        <v>1659</v>
      </c>
      <c r="B15" s="1300" t="s">
        <v>2378</v>
      </c>
      <c r="C15" s="1474">
        <f>IF(OR(无形长摊!$K$7&lt;&gt;资产负债!D32,无形长摊!$K$17&lt;&gt;资产负债!$D$30),"不符",0)</f>
        <v>0</v>
      </c>
      <c r="D15" s="1300" t="s">
        <v>2379</v>
      </c>
    </row>
    <row r="16" spans="1:8" hidden="1">
      <c r="A16" s="2111" t="s">
        <v>1479</v>
      </c>
      <c r="B16" s="1300" t="s">
        <v>2378</v>
      </c>
      <c r="C16" s="1474">
        <f>IF(OR(社保!$G$24&lt;&gt;社保!$D$8,社保!$G$27&lt;&gt;社保!$D$17),"不符",0)</f>
        <v>0</v>
      </c>
      <c r="D16" s="1300" t="s">
        <v>2379</v>
      </c>
    </row>
    <row r="17" spans="1:4" hidden="1">
      <c r="A17" s="2111" t="s">
        <v>262</v>
      </c>
      <c r="B17" s="1300" t="s">
        <v>2378</v>
      </c>
      <c r="C17" s="1474">
        <f>C16</f>
        <v>0</v>
      </c>
      <c r="D17" s="1300" t="s">
        <v>2379</v>
      </c>
    </row>
    <row r="18" spans="1:4" hidden="1">
      <c r="A18" s="2111" t="s">
        <v>1660</v>
      </c>
      <c r="B18" s="1300" t="s">
        <v>2378</v>
      </c>
      <c r="C18" s="1474">
        <f>IF(广宣!$J$27&lt;&gt;广宣!$E$22,"不符",0)</f>
        <v>0</v>
      </c>
      <c r="D18" s="1300" t="s">
        <v>2379</v>
      </c>
    </row>
    <row r="19" spans="1:4" hidden="1">
      <c r="A19" s="2111" t="s">
        <v>1360</v>
      </c>
      <c r="B19" s="1300" t="s">
        <v>2378</v>
      </c>
      <c r="C19" s="1474">
        <f>IF(捐赠!$J$17&lt;&gt;捐赠!$C$15+捐赠!$D$15+捐赠!$I$15,"不符",0)</f>
        <v>0</v>
      </c>
      <c r="D19" s="1300" t="s">
        <v>2379</v>
      </c>
    </row>
    <row r="20" spans="1:4" hidden="1">
      <c r="A20" s="2111" t="s">
        <v>1661</v>
      </c>
      <c r="B20" s="1300" t="s">
        <v>2378</v>
      </c>
      <c r="C20" s="1474">
        <f>IF(利息!$H$18&lt;&gt;利息!$J$21,"不符",0)</f>
        <v>0</v>
      </c>
      <c r="D20" s="1300" t="s">
        <v>2379</v>
      </c>
    </row>
    <row r="21" spans="1:4" hidden="1">
      <c r="A21" s="2111" t="s">
        <v>472</v>
      </c>
      <c r="B21" s="1300" t="s">
        <v>2378</v>
      </c>
      <c r="C21" s="1474">
        <f>IF(租金!$I$21&lt;&gt;租金!$D$8+租金!$D$17,"不符",0)</f>
        <v>0</v>
      </c>
      <c r="D21" s="1300" t="s">
        <v>2379</v>
      </c>
    </row>
    <row r="22" spans="1:4">
      <c r="A22" s="2111" t="s">
        <v>6701</v>
      </c>
      <c r="B22" s="1300" t="s">
        <v>2378</v>
      </c>
      <c r="C22" s="1473" t="s">
        <v>2397</v>
      </c>
      <c r="D22" s="1300" t="s">
        <v>2379</v>
      </c>
    </row>
    <row r="23" spans="1:4">
      <c r="A23" s="2111" t="s">
        <v>6599</v>
      </c>
      <c r="B23" s="1300" t="s">
        <v>2378</v>
      </c>
      <c r="C23" s="1473" t="s">
        <v>2397</v>
      </c>
      <c r="D23" s="1300" t="s">
        <v>2379</v>
      </c>
    </row>
    <row r="24" spans="1:4">
      <c r="A24" s="2111" t="s">
        <v>83</v>
      </c>
      <c r="B24" s="1300" t="s">
        <v>2378</v>
      </c>
      <c r="C24" s="1473" t="s">
        <v>2397</v>
      </c>
      <c r="D24" s="1300" t="s">
        <v>2379</v>
      </c>
    </row>
    <row r="25" spans="1:4" hidden="1">
      <c r="A25" s="2111" t="s">
        <v>1662</v>
      </c>
      <c r="B25" s="1300" t="s">
        <v>2378</v>
      </c>
      <c r="C25" s="1474">
        <f>IF(OR(主营收支!$H$20+其他业务!$C$18&lt;&gt;利润!$C$5,主营收支!$H$37+其他业务!$H$18&lt;&gt;利润!$C$6),"不符",0)</f>
        <v>0</v>
      </c>
      <c r="D25" s="1300" t="s">
        <v>2379</v>
      </c>
    </row>
    <row r="26" spans="1:4" hidden="1">
      <c r="A26" s="2111" t="s">
        <v>2404</v>
      </c>
      <c r="B26" s="1300" t="s">
        <v>2378</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2379</v>
      </c>
    </row>
    <row r="27" spans="1:4" hidden="1">
      <c r="A27" s="2111" t="s">
        <v>1663</v>
      </c>
      <c r="B27" s="1300" t="s">
        <v>2378</v>
      </c>
      <c r="C27" s="1474">
        <f>C25</f>
        <v>0</v>
      </c>
      <c r="D27" s="1300" t="s">
        <v>2379</v>
      </c>
    </row>
    <row r="28" spans="1:4" hidden="1">
      <c r="A28" s="2111" t="s">
        <v>1664</v>
      </c>
      <c r="B28" s="1300" t="s">
        <v>2378</v>
      </c>
      <c r="C28" s="1474">
        <f>IF(制造费用、生产成本!$D$21&lt;&gt;制造费用、生产成本!$C$12+制造费用、生产成本!$C$16,"不符",0)</f>
        <v>0</v>
      </c>
      <c r="D28" s="1300" t="s">
        <v>2379</v>
      </c>
    </row>
    <row r="29" spans="1:4" hidden="1">
      <c r="A29" s="2111" t="s">
        <v>1665</v>
      </c>
      <c r="B29" s="1300" t="s">
        <v>2378</v>
      </c>
      <c r="C29" s="1474">
        <f>IF(成本倒轧!E40&lt;&gt;主营收支!C37,"不符",0)</f>
        <v>0</v>
      </c>
      <c r="D29" s="1300" t="s">
        <v>2379</v>
      </c>
    </row>
    <row r="30" spans="1:4">
      <c r="A30" s="2111" t="s">
        <v>1666</v>
      </c>
      <c r="B30" s="1300" t="s">
        <v>2378</v>
      </c>
      <c r="C30" s="1473" t="s">
        <v>2397</v>
      </c>
      <c r="D30" s="1300" t="s">
        <v>2379</v>
      </c>
    </row>
    <row r="31" spans="1:4" hidden="1">
      <c r="A31" s="2111" t="s">
        <v>2405</v>
      </c>
      <c r="B31" s="1300" t="s">
        <v>2378</v>
      </c>
      <c r="C31" s="1473">
        <f>IF(OR(主营税金!F42&lt;&gt;0,主营税金!E42&lt;&gt;利润!C7),"不符",0)</f>
        <v>0</v>
      </c>
      <c r="D31" s="1300" t="s">
        <v>2379</v>
      </c>
    </row>
    <row r="32" spans="1:4" hidden="1">
      <c r="A32" s="2111" t="s">
        <v>2406</v>
      </c>
      <c r="B32" s="1300" t="s">
        <v>2378</v>
      </c>
      <c r="C32" s="1473">
        <f ca="1">IF(AND(税费缴纳测算!F56=0,税费缴纳测算!F25=0),0,"不符")</f>
        <v>0</v>
      </c>
      <c r="D32" s="1300" t="s">
        <v>2379</v>
      </c>
    </row>
    <row r="33" spans="1:5" hidden="1">
      <c r="A33" s="2459" t="s">
        <v>1667</v>
      </c>
      <c r="B33" s="2460" t="s">
        <v>2378</v>
      </c>
      <c r="C33" s="2461">
        <f>IF(OR(主营收支!$H$20+其他业务!$E$18&lt;&gt;利润!$C$5,主营收支!$H$37+其他业务!$J$18&lt;&gt;利润!$C$6),"不符",0)</f>
        <v>0</v>
      </c>
      <c r="D33" s="2460" t="s">
        <v>2379</v>
      </c>
    </row>
    <row r="34" spans="1:5" hidden="1">
      <c r="A34" s="2111" t="s">
        <v>855</v>
      </c>
      <c r="B34" s="1300" t="s">
        <v>2378</v>
      </c>
      <c r="C34" s="1474">
        <f>IF(营业费用!D44&lt;&gt;利润!C15,"不符",0)</f>
        <v>0</v>
      </c>
      <c r="D34" s="1300" t="s">
        <v>2379</v>
      </c>
    </row>
    <row r="35" spans="1:5" hidden="1">
      <c r="A35" s="2111" t="s">
        <v>1292</v>
      </c>
      <c r="B35" s="1300" t="s">
        <v>2378</v>
      </c>
      <c r="C35" s="1474">
        <f>IF(管理费用!D44&lt;&gt;利润!C18,"不符",0)</f>
        <v>0</v>
      </c>
      <c r="D35" s="1300" t="s">
        <v>2379</v>
      </c>
    </row>
    <row r="36" spans="1:5" hidden="1">
      <c r="A36" s="2111" t="s">
        <v>966</v>
      </c>
      <c r="B36" s="1300" t="s">
        <v>2378</v>
      </c>
      <c r="C36" s="1474">
        <f>IF(财务费用!D27&lt;&gt;利润!C22,"不符",0)</f>
        <v>0</v>
      </c>
      <c r="D36" s="1300" t="s">
        <v>2379</v>
      </c>
    </row>
    <row r="37" spans="1:5" hidden="1">
      <c r="A37" s="2111" t="s">
        <v>1668</v>
      </c>
      <c r="B37" s="1300" t="s">
        <v>2378</v>
      </c>
      <c r="C37" s="1474">
        <f>IF(OR(营外收支!C36&lt;&gt;利润!C30,营外收支!C21&lt;&gt;利润!C28),"不符",0)</f>
        <v>0</v>
      </c>
      <c r="D37" s="1300" t="s">
        <v>2379</v>
      </c>
    </row>
    <row r="38" spans="1:5" hidden="1">
      <c r="A38" s="2111" t="s">
        <v>1669</v>
      </c>
      <c r="B38" s="1300" t="s">
        <v>2378</v>
      </c>
      <c r="C38" s="1474">
        <f>IF(货币资金!D24&lt;&gt;资产负债!D5,"不符",0)</f>
        <v>0</v>
      </c>
      <c r="D38" s="1300" t="s">
        <v>2379</v>
      </c>
    </row>
    <row r="39" spans="1:5" hidden="1">
      <c r="A39" s="2111" t="s">
        <v>1670</v>
      </c>
      <c r="B39" s="1300" t="s">
        <v>2378</v>
      </c>
      <c r="C39" s="1474">
        <f>IF(基本情况!B29="否",IF(应收!B14-应收!C14-应收!F11&lt;&gt;资产负债!D8,应收!B14-应收!C14-应收!F11-资产负债!D8,0),IF(应收!B13-应收!F11&lt;&gt;资产负债!D8,应收!B13-应收!F11-资产负债!D8,0))</f>
        <v>0</v>
      </c>
      <c r="D39" s="1300" t="s">
        <v>2379</v>
      </c>
    </row>
    <row r="40" spans="1:5" hidden="1">
      <c r="A40" s="2111" t="s">
        <v>1671</v>
      </c>
      <c r="B40" s="1300" t="s">
        <v>2378</v>
      </c>
      <c r="C40" s="1474">
        <f>IF(基本情况!B29="否",IF(预付!B14-预付!C14-预付!F11&lt;&gt;资产负债!D9,预付!B14-预付!C14-预付!F11-资产负债!D9,0),IF(预付!B13-预付!F11&lt;&gt;资产负债!D9,预付!B13-预付!F11-资产负债!D9,0))</f>
        <v>0</v>
      </c>
      <c r="D40" s="1300" t="s">
        <v>2379</v>
      </c>
    </row>
    <row r="41" spans="1:5" hidden="1">
      <c r="A41" s="2111" t="s">
        <v>1672</v>
      </c>
      <c r="B41" s="1300" t="s">
        <v>2378</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2379</v>
      </c>
    </row>
    <row r="42" spans="1:5" hidden="1">
      <c r="A42" s="2111" t="s">
        <v>1673</v>
      </c>
      <c r="B42" s="1300" t="s">
        <v>2378</v>
      </c>
      <c r="C42" s="1474">
        <f>IF(存货!C27&lt;&gt;资产负债!D13,存货!C27-资产负债!D13,0)</f>
        <v>0</v>
      </c>
      <c r="D42" s="1300" t="s">
        <v>2379</v>
      </c>
    </row>
    <row r="43" spans="1:5" hidden="1">
      <c r="A43" s="2312" t="s">
        <v>1674</v>
      </c>
      <c r="B43" s="2313" t="s">
        <v>2378</v>
      </c>
      <c r="C43" s="2314">
        <f>IF(OR(待摊预提!$H$12&lt;&gt;资产负债!$D$18,待摊预提!$H$19&lt;&gt;资产负债!$H$14),"不符",0)</f>
        <v>0</v>
      </c>
      <c r="D43" s="2313" t="s">
        <v>2379</v>
      </c>
      <c r="E43" s="1326" t="s">
        <v>6976</v>
      </c>
    </row>
    <row r="44" spans="1:5" hidden="1">
      <c r="A44" s="2312" t="s">
        <v>1263</v>
      </c>
      <c r="B44" s="2313" t="s">
        <v>2378</v>
      </c>
      <c r="C44" s="2314">
        <f>在建工程审核表!$F$15-资产负债!$D$26</f>
        <v>0</v>
      </c>
      <c r="D44" s="2313" t="s">
        <v>2379</v>
      </c>
      <c r="E44" s="1326" t="s">
        <v>6976</v>
      </c>
    </row>
    <row r="45" spans="1:5" hidden="1">
      <c r="A45" s="2111" t="s">
        <v>1675</v>
      </c>
      <c r="B45" s="1300" t="s">
        <v>2378</v>
      </c>
      <c r="C45" s="1474">
        <f>IF(基本情况!B29="否",IF(应付!C12-应付!B12&lt;&gt;资产负债!H7,应付!C12-应付!B12-资产负债!H7,0),IF(应付!C11&lt;&gt;资产负债!H7,应付!C11-资产负债!H7,0))</f>
        <v>0</v>
      </c>
      <c r="D45" s="1300" t="s">
        <v>2379</v>
      </c>
    </row>
    <row r="46" spans="1:5" hidden="1">
      <c r="A46" s="2111" t="s">
        <v>1676</v>
      </c>
      <c r="B46" s="1300" t="s">
        <v>2378</v>
      </c>
      <c r="C46" s="1474">
        <f>IF(基本情况!B29="否",IF(预收!C12-预收!B12&lt;&gt;资产负债!H8,预收!C12-预收!B12-资产负债!H8,0),IF(预收!C11&lt;&gt;资产负债!H8,预收!C11-资产负债!H8,0))</f>
        <v>0</v>
      </c>
      <c r="D46" s="1300" t="s">
        <v>2379</v>
      </c>
    </row>
    <row r="47" spans="1:5" hidden="1">
      <c r="A47" s="2111" t="s">
        <v>1677</v>
      </c>
      <c r="B47" s="1300" t="s">
        <v>2378</v>
      </c>
      <c r="C47" s="1474">
        <f>IF(基本情况!B29="否",IF(其他应付!C12-其他应付!B12&lt;&gt;资产负债!H13,其他应付!C12-其他应付!B12-资产负债!H13,0),IF(其他应付!C11&lt;&gt;资产负债!H13,其他应付!C11-资产负债!H13,0))</f>
        <v>0</v>
      </c>
      <c r="D47" s="1300" t="s">
        <v>2379</v>
      </c>
    </row>
    <row r="48" spans="1:5" hidden="1">
      <c r="A48" s="2111" t="s">
        <v>1678</v>
      </c>
      <c r="B48" s="1300" t="s">
        <v>2378</v>
      </c>
      <c r="C48" s="1474">
        <f>IF(OR(实收公积!$F$13&lt;&gt;资产负债!$H$30,实收公积!$F$18&lt;&gt;资产负债!$H$31,实收公积!$F$24&lt;&gt;资产负债!$H$32),"不符",0)</f>
        <v>0</v>
      </c>
      <c r="D48" s="1300" t="s">
        <v>2379</v>
      </c>
    </row>
    <row r="49" spans="1:4" hidden="1">
      <c r="A49" s="2111" t="s">
        <v>1679</v>
      </c>
      <c r="B49" s="1300" t="s">
        <v>2378</v>
      </c>
      <c r="C49" s="1474">
        <f>IF(未分利润!C24&lt;&gt;资产负债!H33,未分利润!C24-资产负债!H33,0)</f>
        <v>0</v>
      </c>
      <c r="D49" s="1300" t="s">
        <v>2379</v>
      </c>
    </row>
    <row r="50" spans="1:4">
      <c r="A50" s="2111" t="s">
        <v>5924</v>
      </c>
      <c r="B50" s="1300" t="s">
        <v>2378</v>
      </c>
      <c r="C50" s="1473" t="s">
        <v>2381</v>
      </c>
      <c r="D50" s="1300" t="s">
        <v>2379</v>
      </c>
    </row>
    <row r="51" spans="1:4">
      <c r="A51" s="2111" t="s">
        <v>5926</v>
      </c>
      <c r="B51" s="1300" t="s">
        <v>2378</v>
      </c>
      <c r="C51" s="1473" t="s">
        <v>2381</v>
      </c>
      <c r="D51" s="1300" t="s">
        <v>2379</v>
      </c>
    </row>
    <row r="52" spans="1:4">
      <c r="A52" s="2111" t="s">
        <v>5950</v>
      </c>
      <c r="B52" s="1300" t="s">
        <v>2378</v>
      </c>
      <c r="C52" s="1473" t="s">
        <v>2381</v>
      </c>
      <c r="D52" s="1300" t="s">
        <v>2379</v>
      </c>
    </row>
    <row r="53" spans="1:4">
      <c r="A53" s="2111" t="s">
        <v>5929</v>
      </c>
      <c r="B53" s="1300" t="s">
        <v>2378</v>
      </c>
      <c r="C53" s="1473" t="s">
        <v>2381</v>
      </c>
      <c r="D53" s="1300" t="s">
        <v>2379</v>
      </c>
    </row>
    <row r="54" spans="1:4">
      <c r="A54" s="2111" t="s">
        <v>5930</v>
      </c>
      <c r="B54" s="1300" t="s">
        <v>2378</v>
      </c>
      <c r="C54" s="1473" t="s">
        <v>2381</v>
      </c>
      <c r="D54" s="1300" t="s">
        <v>2379</v>
      </c>
    </row>
    <row r="55" spans="1:4">
      <c r="A55" s="2111" t="s">
        <v>5931</v>
      </c>
      <c r="B55" s="1300" t="s">
        <v>2378</v>
      </c>
      <c r="C55" s="1473" t="s">
        <v>2381</v>
      </c>
      <c r="D55" s="1300" t="s">
        <v>2379</v>
      </c>
    </row>
    <row r="56" spans="1:4">
      <c r="A56" s="2111" t="s">
        <v>6702</v>
      </c>
      <c r="B56" s="1300" t="s">
        <v>2378</v>
      </c>
      <c r="C56" s="1473" t="s">
        <v>2381</v>
      </c>
      <c r="D56" s="1300" t="s">
        <v>2379</v>
      </c>
    </row>
    <row r="57" spans="1:4">
      <c r="A57" s="2111" t="s">
        <v>5959</v>
      </c>
      <c r="B57" s="1300" t="s">
        <v>2378</v>
      </c>
      <c r="C57" s="1473" t="s">
        <v>2381</v>
      </c>
      <c r="D57" s="1300" t="s">
        <v>2379</v>
      </c>
    </row>
    <row r="58" spans="1:4">
      <c r="A58" s="2111" t="s">
        <v>6703</v>
      </c>
      <c r="B58" s="1300" t="s">
        <v>2378</v>
      </c>
      <c r="C58" s="1473" t="s">
        <v>2381</v>
      </c>
      <c r="D58" s="1300" t="s">
        <v>2379</v>
      </c>
    </row>
    <row r="59" spans="1:4">
      <c r="A59" s="2111" t="s">
        <v>6704</v>
      </c>
      <c r="B59" s="1300" t="s">
        <v>2378</v>
      </c>
      <c r="C59" s="1473" t="s">
        <v>2381</v>
      </c>
      <c r="D59" s="1300" t="s">
        <v>2379</v>
      </c>
    </row>
    <row r="60" spans="1:4">
      <c r="A60" s="2111" t="s">
        <v>6705</v>
      </c>
      <c r="B60" s="1300" t="s">
        <v>2378</v>
      </c>
      <c r="C60" s="1473" t="s">
        <v>2381</v>
      </c>
      <c r="D60" s="1300" t="s">
        <v>2379</v>
      </c>
    </row>
    <row r="61" spans="1:4">
      <c r="A61" s="2111" t="s">
        <v>6706</v>
      </c>
      <c r="B61" s="1300" t="s">
        <v>2378</v>
      </c>
      <c r="C61" s="1473" t="s">
        <v>2381</v>
      </c>
      <c r="D61" s="1300" t="s">
        <v>2379</v>
      </c>
    </row>
    <row r="62" spans="1:4">
      <c r="A62" s="2111" t="s">
        <v>6707</v>
      </c>
      <c r="B62" s="1300" t="s">
        <v>2378</v>
      </c>
      <c r="C62" s="1473" t="s">
        <v>2381</v>
      </c>
      <c r="D62" s="1300" t="s">
        <v>2379</v>
      </c>
    </row>
    <row r="63" spans="1:4">
      <c r="A63" s="2111" t="s">
        <v>6708</v>
      </c>
      <c r="B63" s="1300" t="s">
        <v>2378</v>
      </c>
      <c r="C63" s="1473" t="s">
        <v>2381</v>
      </c>
      <c r="D63" s="1300" t="s">
        <v>2379</v>
      </c>
    </row>
    <row r="64" spans="1:4">
      <c r="A64" s="2111" t="s">
        <v>6709</v>
      </c>
      <c r="B64" s="1300" t="s">
        <v>2378</v>
      </c>
      <c r="C64" s="1473" t="s">
        <v>2381</v>
      </c>
      <c r="D64" s="1300" t="s">
        <v>2379</v>
      </c>
    </row>
    <row r="65" spans="1:7">
      <c r="A65" s="2111" t="s">
        <v>6710</v>
      </c>
      <c r="B65" s="1300" t="s">
        <v>2378</v>
      </c>
      <c r="C65" s="1473" t="s">
        <v>2381</v>
      </c>
      <c r="D65" s="1300" t="s">
        <v>2379</v>
      </c>
    </row>
    <row r="66" spans="1:7">
      <c r="A66" s="2111" t="s">
        <v>6711</v>
      </c>
      <c r="B66" s="1300" t="s">
        <v>2378</v>
      </c>
      <c r="C66" s="1473" t="s">
        <v>2381</v>
      </c>
      <c r="D66" s="1300" t="s">
        <v>2379</v>
      </c>
    </row>
    <row r="67" spans="1:7">
      <c r="A67" s="2111" t="s">
        <v>6712</v>
      </c>
      <c r="B67" s="1300" t="s">
        <v>2378</v>
      </c>
      <c r="C67" s="1473" t="s">
        <v>2381</v>
      </c>
      <c r="D67" s="1300" t="s">
        <v>2379</v>
      </c>
    </row>
    <row r="68" spans="1:7">
      <c r="A68" s="2111" t="s">
        <v>6713</v>
      </c>
      <c r="B68" s="1300" t="s">
        <v>2378</v>
      </c>
      <c r="C68" s="1473" t="s">
        <v>2381</v>
      </c>
      <c r="D68" s="1300" t="s">
        <v>2379</v>
      </c>
    </row>
    <row r="69" spans="1:7">
      <c r="A69" s="2111" t="s">
        <v>6100</v>
      </c>
      <c r="B69" s="1300" t="s">
        <v>2378</v>
      </c>
      <c r="C69" s="1473" t="s">
        <v>2381</v>
      </c>
      <c r="D69" s="1300" t="s">
        <v>2379</v>
      </c>
    </row>
    <row r="70" spans="1:7" hidden="1">
      <c r="A70" s="2111" t="s">
        <v>10117</v>
      </c>
      <c r="B70" s="1300" t="s">
        <v>2378</v>
      </c>
      <c r="C70" s="1473">
        <f>对外投资!H15-资产负债!$D$62</f>
        <v>0</v>
      </c>
      <c r="D70" s="1300" t="s">
        <v>2379</v>
      </c>
    </row>
    <row r="71" spans="1:7" ht="14.25" hidden="1" customHeight="1">
      <c r="A71" s="2111" t="s">
        <v>10134</v>
      </c>
      <c r="B71" s="1300" t="s">
        <v>2378</v>
      </c>
      <c r="C71" s="1473">
        <f>对外投资!$H$25-资产负债!$D$21-资产负债!$D$22</f>
        <v>0</v>
      </c>
      <c r="D71" s="1300" t="s">
        <v>2379</v>
      </c>
      <c r="E71" s="1461"/>
      <c r="F71" s="1327"/>
      <c r="G71" s="1462"/>
    </row>
    <row r="72" spans="1:7" ht="14.25" hidden="1" customHeight="1">
      <c r="A72" s="2111" t="s">
        <v>6148</v>
      </c>
      <c r="B72" s="1300" t="s">
        <v>2378</v>
      </c>
      <c r="C72" s="1473">
        <f>借款!$D$15-资产负债!$H$5</f>
        <v>0</v>
      </c>
      <c r="D72" s="1300" t="s">
        <v>2379</v>
      </c>
      <c r="E72" s="1461"/>
      <c r="F72" s="1327"/>
      <c r="G72" s="1462"/>
    </row>
    <row r="73" spans="1:7" ht="14.25" hidden="1" customHeight="1">
      <c r="A73" s="2111" t="s">
        <v>6158</v>
      </c>
      <c r="B73" s="1300" t="s">
        <v>2378</v>
      </c>
      <c r="C73" s="1473">
        <f>借款!$D$25-资产负债!$H$21</f>
        <v>0</v>
      </c>
      <c r="D73" s="1300" t="s">
        <v>2379</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加计扣除归集审核表!A1" tooltip="#研发加计扣除归集审核表!A1" display="研发加计扣除归集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5.6"/>
  <cols>
    <col min="1" max="1" width="8.5" style="502" customWidth="1"/>
    <col min="2" max="2" width="8.3984375" style="502" customWidth="1"/>
    <col min="3" max="3" width="15.09765625" style="1320" bestFit="1" customWidth="1"/>
    <col min="4" max="4" width="12.19921875" style="1320" bestFit="1" customWidth="1"/>
    <col min="5" max="6" width="15.3984375" style="1320" bestFit="1" customWidth="1"/>
    <col min="7" max="7" width="14.09765625" style="1320" bestFit="1" customWidth="1"/>
    <col min="8" max="8" width="12.19921875" style="1320" bestFit="1" customWidth="1"/>
    <col min="9" max="9" width="13.69921875" style="1321" hidden="1" customWidth="1"/>
    <col min="10" max="10" width="13.69921875" hidden="1" customWidth="1"/>
    <col min="11" max="11" width="2.5" style="1321" customWidth="1"/>
    <col min="12" max="12" width="6.8984375" style="1321" customWidth="1"/>
    <col min="13" max="13" width="33.3984375" style="1321" customWidth="1"/>
    <col min="14" max="14" width="15.09765625" style="1321" hidden="1" customWidth="1"/>
    <col min="15" max="15" width="15.5" style="1321" hidden="1" customWidth="1"/>
    <col min="16" max="16" width="8.5" style="1321" hidden="1" customWidth="1"/>
    <col min="17" max="22" width="8.5" hidden="1" customWidth="1"/>
    <col min="23" max="23" width="31.59765625" hidden="1" customWidth="1"/>
    <col min="24" max="47" width="8.5" hidden="1" customWidth="1"/>
    <col min="50" max="51" width="8.5" hidden="1" customWidth="1"/>
    <col min="52" max="52" width="16.59765625" hidden="1" customWidth="1"/>
    <col min="53" max="53" width="8.5" hidden="1" customWidth="1"/>
  </cols>
  <sheetData>
    <row r="1" spans="1:53" ht="20.25" customHeight="1">
      <c r="A1" s="502" t="s">
        <v>1684</v>
      </c>
      <c r="B1" s="502" t="s">
        <v>1680</v>
      </c>
      <c r="C1" s="1320" t="s">
        <v>1685</v>
      </c>
      <c r="D1" s="1320" t="s">
        <v>1686</v>
      </c>
      <c r="E1" s="1320" t="s">
        <v>1687</v>
      </c>
      <c r="F1" s="1320" t="s">
        <v>1688</v>
      </c>
      <c r="G1" s="1320" t="s">
        <v>1689</v>
      </c>
      <c r="H1" s="1320" t="s">
        <v>1690</v>
      </c>
      <c r="I1" s="1703"/>
      <c r="K1" s="1455"/>
      <c r="L1" s="3810" t="s">
        <v>6407</v>
      </c>
      <c r="M1" s="1476"/>
      <c r="N1" s="1453" t="s">
        <v>1691</v>
      </c>
      <c r="O1" s="1453" t="s">
        <v>2393</v>
      </c>
      <c r="P1" s="1453" t="s">
        <v>2394</v>
      </c>
      <c r="Q1" s="1463" t="s">
        <v>2395</v>
      </c>
      <c r="U1" t="s">
        <v>6112</v>
      </c>
      <c r="V1" s="1316" t="s">
        <v>6119</v>
      </c>
      <c r="W1" t="s">
        <v>6113</v>
      </c>
      <c r="AF1" s="1675" t="str">
        <f>A104000期间费用明细表!A1</f>
        <v xml:space="preserve">A104000 </v>
      </c>
      <c r="AJ1" t="s">
        <v>6112</v>
      </c>
      <c r="AK1" s="1316" t="s">
        <v>6119</v>
      </c>
      <c r="AX1" t="s">
        <v>555</v>
      </c>
      <c r="AY1" t="s">
        <v>6791</v>
      </c>
      <c r="AZ1" t="s">
        <v>6792</v>
      </c>
      <c r="BA1" t="s">
        <v>6793</v>
      </c>
    </row>
    <row r="2" spans="1:53" ht="14.25" customHeight="1">
      <c r="I2" s="1703"/>
      <c r="K2" s="1455"/>
      <c r="L2" s="3810"/>
      <c r="M2" s="3811"/>
      <c r="N2" s="1330" t="str">
        <f>IFERROR(IFERROR(MATCH("现金",B:B,0),MATCH("库存现金",B:B,0)),"")</f>
        <v/>
      </c>
      <c r="O2" s="1478" t="e">
        <f>LEN(INDEX(A:A,N3))</f>
        <v>#VALUE!</v>
      </c>
      <c r="P2" s="1330">
        <v>2</v>
      </c>
      <c r="Q2" s="1464">
        <v>2</v>
      </c>
      <c r="T2" s="1326" t="s">
        <v>6400</v>
      </c>
      <c r="V2" t="s">
        <v>6228</v>
      </c>
      <c r="W2" t="s">
        <v>5050</v>
      </c>
      <c r="X2" t="s">
        <v>5050</v>
      </c>
      <c r="AE2" t="s">
        <v>5050</v>
      </c>
      <c r="AG2" t="s">
        <v>1292</v>
      </c>
      <c r="AI2" t="s">
        <v>966</v>
      </c>
      <c r="AK2" s="1316" t="s">
        <v>6170</v>
      </c>
      <c r="AL2" t="s">
        <v>6114</v>
      </c>
      <c r="AX2">
        <f>$A$341</f>
        <v>0</v>
      </c>
      <c r="AY2">
        <f>$B$341</f>
        <v>0</v>
      </c>
      <c r="AZ2" t="str">
        <f>TEXT($E$341,"#,##0.00")</f>
        <v>0.00</v>
      </c>
      <c r="BA2" t="str">
        <f>$J$341&amp;""</f>
        <v/>
      </c>
    </row>
    <row r="3" spans="1:53" ht="14.25" customHeight="1">
      <c r="I3" s="1703"/>
      <c r="K3" s="1455"/>
      <c r="L3" s="3810"/>
      <c r="M3" s="3811"/>
      <c r="N3" s="1330" t="str">
        <f>IFERROR(MATCH("银行存款",B:B,0),"")</f>
        <v/>
      </c>
      <c r="P3" s="1330">
        <v>4</v>
      </c>
      <c r="Q3" s="1464">
        <v>16</v>
      </c>
      <c r="V3" t="s">
        <v>6277</v>
      </c>
      <c r="W3" t="s">
        <v>907</v>
      </c>
      <c r="X3" t="str">
        <f>$X$2&amp;"-"&amp;W3</f>
        <v>销售费用-工资薪金支出</v>
      </c>
      <c r="AJ3">
        <v>1</v>
      </c>
      <c r="AK3" s="1316" t="s">
        <v>6171</v>
      </c>
      <c r="AL3" t="s">
        <v>6120</v>
      </c>
      <c r="AM3" t="s">
        <v>6120</v>
      </c>
      <c r="AX3">
        <f>$A$342</f>
        <v>0</v>
      </c>
      <c r="AY3">
        <f>$B$342</f>
        <v>0</v>
      </c>
      <c r="AZ3" t="str">
        <f>TEXT($E$342,"#,##0.00")</f>
        <v>0.00</v>
      </c>
      <c r="BA3" t="str">
        <f>$J$342&amp;""</f>
        <v/>
      </c>
    </row>
    <row r="4" spans="1:53" ht="14.25" customHeight="1">
      <c r="I4" s="1704"/>
      <c r="K4" s="1455"/>
      <c r="L4" s="3810"/>
      <c r="M4" s="2041" t="s">
        <v>6605</v>
      </c>
      <c r="N4" s="1330" t="str">
        <f>IFERROR(IFERROR(MATCH("应收账款",B:B,0),MATCH("应收帐款",B:B,0)),"")</f>
        <v/>
      </c>
      <c r="P4" s="1330" t="s">
        <v>1692</v>
      </c>
      <c r="Q4" s="1464"/>
      <c r="V4" t="s">
        <v>6278</v>
      </c>
      <c r="W4" t="s">
        <v>908</v>
      </c>
      <c r="X4" t="str">
        <f t="shared" ref="X4:X39" si="0">$X$2&amp;"-"&amp;W4</f>
        <v>销售费用-职工福利费支出</v>
      </c>
      <c r="AJ4">
        <v>2</v>
      </c>
      <c r="AK4" s="1316" t="s">
        <v>6172</v>
      </c>
      <c r="AL4" t="s">
        <v>1377</v>
      </c>
      <c r="AM4" s="1326" t="s">
        <v>1377</v>
      </c>
      <c r="AX4">
        <f>$A$343</f>
        <v>0</v>
      </c>
      <c r="AY4">
        <f>$B$343</f>
        <v>0</v>
      </c>
      <c r="AZ4" t="str">
        <f>TEXT($E$343,"#,##0.00")</f>
        <v>0.00</v>
      </c>
      <c r="BA4" t="str">
        <f>$J$343&amp;""</f>
        <v/>
      </c>
    </row>
    <row r="5" spans="1:53" ht="14.25" customHeight="1">
      <c r="I5" s="1704"/>
      <c r="K5" s="1455"/>
      <c r="L5" s="3810"/>
      <c r="M5" s="2041" t="s">
        <v>6606</v>
      </c>
      <c r="N5" s="1330" t="str">
        <f>IFERROR(IFERROR(MATCH("预付账款",B:B,0),MATCH("预付帐款",B:B,0)),"")</f>
        <v/>
      </c>
      <c r="P5" s="1330" t="s">
        <v>1692</v>
      </c>
      <c r="Q5" s="1464"/>
      <c r="V5" t="s">
        <v>6279</v>
      </c>
      <c r="W5" t="s">
        <v>909</v>
      </c>
      <c r="X5" t="str">
        <f t="shared" si="0"/>
        <v>销售费用-职工教育经费支出</v>
      </c>
      <c r="AC5" t="s">
        <v>5909</v>
      </c>
      <c r="AI5" t="s">
        <v>1859</v>
      </c>
      <c r="AJ5">
        <v>3</v>
      </c>
      <c r="AK5" s="1316" t="s">
        <v>2768</v>
      </c>
      <c r="AL5" t="s">
        <v>6121</v>
      </c>
      <c r="AM5" t="s">
        <v>6121</v>
      </c>
      <c r="AX5">
        <f>$A$344</f>
        <v>0</v>
      </c>
      <c r="AY5">
        <f>$B$344</f>
        <v>0</v>
      </c>
      <c r="AZ5" t="str">
        <f>TEXT($E$344,"#,##0.00")</f>
        <v>0.00</v>
      </c>
      <c r="BA5" t="str">
        <f>$J$344&amp;""</f>
        <v/>
      </c>
    </row>
    <row r="6" spans="1:53" ht="14.25" customHeight="1">
      <c r="I6" s="1704"/>
      <c r="K6" s="1455"/>
      <c r="L6" s="3810"/>
      <c r="M6" s="1324"/>
      <c r="N6" s="1330" t="str">
        <f>IFERROR(MATCH("其他应收款",B:B,0),"")</f>
        <v/>
      </c>
      <c r="P6" s="1330" t="s">
        <v>1692</v>
      </c>
      <c r="Q6" s="1464"/>
      <c r="V6" t="s">
        <v>6280</v>
      </c>
      <c r="W6" t="s">
        <v>910</v>
      </c>
      <c r="X6" t="str">
        <f t="shared" si="0"/>
        <v>销售费用-工会经费支出</v>
      </c>
      <c r="AC6" t="s">
        <v>6233</v>
      </c>
      <c r="AI6" t="s">
        <v>1859</v>
      </c>
      <c r="AJ6">
        <v>4</v>
      </c>
      <c r="AK6" s="1316" t="s">
        <v>6173</v>
      </c>
      <c r="AL6" t="s">
        <v>6122</v>
      </c>
      <c r="AM6" t="s">
        <v>6122</v>
      </c>
      <c r="AX6">
        <f>$A$345</f>
        <v>0</v>
      </c>
      <c r="AY6">
        <f>$B$345</f>
        <v>0</v>
      </c>
      <c r="AZ6" t="str">
        <f>TEXT($E$345,"#,##0.00")</f>
        <v>0.00</v>
      </c>
      <c r="BA6" t="str">
        <f>$J$345&amp;""</f>
        <v/>
      </c>
    </row>
    <row r="7" spans="1:53" ht="14.25" customHeight="1">
      <c r="I7" s="1704"/>
      <c r="K7" s="1455"/>
      <c r="L7" s="3810"/>
      <c r="M7" s="1477"/>
      <c r="N7" s="1330" t="str">
        <f>IFERROR(IFERROR(MATCH("应付账款",B:B,0),MATCH("应付帐款",B:B,0)),"")</f>
        <v/>
      </c>
      <c r="P7" s="1330" t="s">
        <v>1692</v>
      </c>
      <c r="Q7" s="1464"/>
      <c r="V7" t="s">
        <v>6281</v>
      </c>
      <c r="W7" t="s">
        <v>911</v>
      </c>
      <c r="X7" t="str">
        <f t="shared" si="0"/>
        <v>销售费用-业务招待费支出</v>
      </c>
      <c r="AC7" t="s">
        <v>6234</v>
      </c>
      <c r="AI7" t="s">
        <v>1859</v>
      </c>
      <c r="AJ7">
        <v>5</v>
      </c>
      <c r="AK7" s="1316" t="s">
        <v>6174</v>
      </c>
      <c r="AL7" t="s">
        <v>6123</v>
      </c>
      <c r="AM7" t="s">
        <v>6123</v>
      </c>
      <c r="AX7">
        <f>$A$346</f>
        <v>0</v>
      </c>
      <c r="AY7">
        <f>$B$346</f>
        <v>0</v>
      </c>
      <c r="AZ7" t="str">
        <f>TEXT($E$346,"#,##0.00")</f>
        <v>0.00</v>
      </c>
      <c r="BA7" t="str">
        <f>$J$346&amp;""</f>
        <v/>
      </c>
    </row>
    <row r="8" spans="1:53" ht="14.25" customHeight="1">
      <c r="I8" s="1704"/>
      <c r="K8" s="1455"/>
      <c r="L8" s="3810"/>
      <c r="M8" s="1476"/>
      <c r="N8" s="1330" t="str">
        <f>IFERROR(IFERROR(MATCH("预收账款",B:B,0),MATCH("预收帐款",B:B,0)),"")</f>
        <v/>
      </c>
      <c r="P8" s="1330" t="s">
        <v>1692</v>
      </c>
      <c r="Q8" s="1464"/>
      <c r="V8" t="s">
        <v>6282</v>
      </c>
      <c r="W8" t="s">
        <v>912</v>
      </c>
      <c r="X8" t="str">
        <f t="shared" si="0"/>
        <v>销售费用-广告费和业务宣传费支出</v>
      </c>
      <c r="AC8" t="s">
        <v>6235</v>
      </c>
      <c r="AI8" t="s">
        <v>1859</v>
      </c>
      <c r="AJ8">
        <v>6</v>
      </c>
      <c r="AK8" s="1316" t="s">
        <v>6175</v>
      </c>
      <c r="AL8" t="s">
        <v>6124</v>
      </c>
      <c r="AM8" t="s">
        <v>6124</v>
      </c>
      <c r="AX8">
        <f>$A$347</f>
        <v>0</v>
      </c>
      <c r="AY8">
        <f>$B$347</f>
        <v>0</v>
      </c>
      <c r="AZ8" t="str">
        <f>TEXT($E$347,"#,##0.00")</f>
        <v>0.00</v>
      </c>
      <c r="BA8" t="str">
        <f>$J$347&amp;""</f>
        <v/>
      </c>
    </row>
    <row r="9" spans="1:53" ht="14.25" customHeight="1">
      <c r="I9" s="1704"/>
      <c r="K9" s="1455"/>
      <c r="L9" s="3810"/>
      <c r="M9" s="2042"/>
      <c r="N9" s="1330" t="str">
        <f>IFERROR(MATCH("其他应付款",B:B,0),"")</f>
        <v/>
      </c>
      <c r="P9" s="1330" t="s">
        <v>1692</v>
      </c>
      <c r="Q9" s="1464"/>
      <c r="V9" t="s">
        <v>6283</v>
      </c>
      <c r="W9" t="s">
        <v>913</v>
      </c>
      <c r="X9" t="str">
        <f t="shared" si="0"/>
        <v>销售费用-捐赠支出</v>
      </c>
      <c r="AC9" t="s">
        <v>6236</v>
      </c>
      <c r="AD9" t="s">
        <v>6240</v>
      </c>
      <c r="AI9" t="s">
        <v>1859</v>
      </c>
      <c r="AJ9">
        <v>7</v>
      </c>
      <c r="AK9" s="1316" t="s">
        <v>6176</v>
      </c>
      <c r="AL9" t="s">
        <v>6125</v>
      </c>
      <c r="AM9" t="s">
        <v>6125</v>
      </c>
      <c r="AX9">
        <f>$A$348</f>
        <v>0</v>
      </c>
      <c r="AY9">
        <f>$B$348</f>
        <v>0</v>
      </c>
      <c r="AZ9" t="str">
        <f>TEXT($E$348,"#,##0.00")</f>
        <v>0.00</v>
      </c>
      <c r="BA9" t="str">
        <f>$J$348&amp;""</f>
        <v/>
      </c>
    </row>
    <row r="10" spans="1:53" ht="14.25" customHeight="1">
      <c r="I10" s="1704"/>
      <c r="K10" s="1455"/>
      <c r="L10" s="3810"/>
      <c r="M10" s="3816" t="s">
        <v>2407</v>
      </c>
      <c r="N10" s="1330" t="str">
        <f>IFERROR(MATCH("管理费用",B:B,0),"")</f>
        <v/>
      </c>
      <c r="P10" s="1330" t="s">
        <v>1692</v>
      </c>
      <c r="Q10" s="1464"/>
      <c r="V10" t="s">
        <v>6284</v>
      </c>
      <c r="W10" t="s">
        <v>1480</v>
      </c>
      <c r="X10" t="str">
        <f t="shared" si="0"/>
        <v>销售费用-住房公积金</v>
      </c>
      <c r="AC10" t="s">
        <v>6237</v>
      </c>
      <c r="AJ10">
        <v>8</v>
      </c>
      <c r="AK10" s="1316" t="s">
        <v>6177</v>
      </c>
      <c r="AL10" t="s">
        <v>6126</v>
      </c>
      <c r="AM10" t="s">
        <v>6126</v>
      </c>
      <c r="AX10">
        <f>$A$349</f>
        <v>0</v>
      </c>
      <c r="AY10">
        <f>$B$349</f>
        <v>0</v>
      </c>
      <c r="AZ10" t="str">
        <f>TEXT($E$349,"#,##0.00")</f>
        <v>0.00</v>
      </c>
      <c r="BA10" t="str">
        <f>$J$349&amp;""</f>
        <v/>
      </c>
    </row>
    <row r="11" spans="1:53" ht="14.25" customHeight="1">
      <c r="I11" s="1704"/>
      <c r="K11" s="1455"/>
      <c r="L11" s="3810"/>
      <c r="M11" s="3816"/>
      <c r="N11" s="1330" t="str">
        <f>IFERROR(IFERROR(IFERROR(MATCH("营业费用",B:B,0),MATCH("销售费用",B:B,0)),MATCH("经营费用",B:B,0)),"")</f>
        <v/>
      </c>
      <c r="P11" s="1330" t="s">
        <v>1692</v>
      </c>
      <c r="Q11" s="1464"/>
      <c r="V11" t="s">
        <v>6285</v>
      </c>
      <c r="W11" t="s">
        <v>914</v>
      </c>
      <c r="X11" t="str">
        <f t="shared" si="0"/>
        <v>销售费用-罚金、罚款和被没收财物的损失</v>
      </c>
      <c r="AC11" t="s">
        <v>6238</v>
      </c>
      <c r="AI11" t="s">
        <v>1859</v>
      </c>
      <c r="AJ11">
        <v>9</v>
      </c>
      <c r="AK11" s="1316" t="s">
        <v>6178</v>
      </c>
      <c r="AL11" t="s">
        <v>6127</v>
      </c>
      <c r="AM11" t="s">
        <v>6127</v>
      </c>
      <c r="AX11">
        <f>$A$350</f>
        <v>0</v>
      </c>
      <c r="AY11">
        <f>$B$350</f>
        <v>0</v>
      </c>
      <c r="AZ11" t="str">
        <f>TEXT($E$350,"#,##0.00")</f>
        <v>0.00</v>
      </c>
      <c r="BA11" t="str">
        <f>$J$350&amp;""</f>
        <v/>
      </c>
    </row>
    <row r="12" spans="1:53" ht="14.25" customHeight="1">
      <c r="I12" s="1704"/>
      <c r="K12" s="1455"/>
      <c r="L12" s="3810"/>
      <c r="M12" s="3816"/>
      <c r="N12" s="1331" t="str">
        <f>IFERROR(IFERROR(MATCH("实收资本",B:B,0),MATCH("实收资本（或股本）",B:B,0)),"")</f>
        <v/>
      </c>
      <c r="P12" s="1330" t="s">
        <v>1692</v>
      </c>
      <c r="Q12" s="1464"/>
      <c r="V12" t="s">
        <v>6286</v>
      </c>
      <c r="W12" t="s">
        <v>571</v>
      </c>
      <c r="X12" t="str">
        <f t="shared" si="0"/>
        <v>销售费用-税收滞纳金</v>
      </c>
      <c r="AC12" t="s">
        <v>6239</v>
      </c>
      <c r="AI12" t="s">
        <v>1859</v>
      </c>
      <c r="AJ12">
        <v>10</v>
      </c>
      <c r="AK12" s="1316" t="s">
        <v>6179</v>
      </c>
      <c r="AL12" t="s">
        <v>6128</v>
      </c>
      <c r="AM12" t="s">
        <v>6128</v>
      </c>
      <c r="AX12">
        <f>$A$351</f>
        <v>0</v>
      </c>
      <c r="AY12">
        <f>$B$351</f>
        <v>0</v>
      </c>
      <c r="AZ12" t="str">
        <f>TEXT($E$351,"#,##0.00")</f>
        <v>0.00</v>
      </c>
      <c r="BA12" t="str">
        <f>$J$351&amp;""</f>
        <v/>
      </c>
    </row>
    <row r="13" spans="1:53" ht="14.25" customHeight="1">
      <c r="I13" s="1704"/>
      <c r="K13" s="1455"/>
      <c r="L13" s="3810"/>
      <c r="M13" s="3813" t="s">
        <v>2398</v>
      </c>
      <c r="N13" s="1330" t="str">
        <f>IFERROR(MATCH("财务费用",B:B,0),"")</f>
        <v/>
      </c>
      <c r="O13" s="1466" t="s">
        <v>2399</v>
      </c>
      <c r="V13" t="s">
        <v>6287</v>
      </c>
      <c r="W13" t="s">
        <v>917</v>
      </c>
      <c r="X13" t="str">
        <f t="shared" si="0"/>
        <v>销售费用-赞助支出</v>
      </c>
      <c r="AC13" t="s">
        <v>6241</v>
      </c>
      <c r="AI13" t="s">
        <v>1859</v>
      </c>
      <c r="AJ13">
        <v>11</v>
      </c>
      <c r="AK13" s="1316" t="s">
        <v>6180</v>
      </c>
      <c r="AL13" t="s">
        <v>6129</v>
      </c>
      <c r="AM13" t="s">
        <v>6129</v>
      </c>
      <c r="AX13">
        <f>$A$352</f>
        <v>0</v>
      </c>
      <c r="AY13">
        <f>$B$352</f>
        <v>0</v>
      </c>
      <c r="AZ13" t="str">
        <f>TEXT($E$352,"#,##0.00")</f>
        <v>0.00</v>
      </c>
      <c r="BA13" t="str">
        <f>$J$352&amp;""</f>
        <v/>
      </c>
    </row>
    <row r="14" spans="1:53" ht="14.25" customHeight="1">
      <c r="I14" s="1456"/>
      <c r="K14" s="1455"/>
      <c r="L14" s="3810"/>
      <c r="M14" s="3813"/>
      <c r="N14" s="1330" t="str">
        <f>IFERROR(MATCH("盈余公积",B:B,0),"")</f>
        <v/>
      </c>
      <c r="O14" s="1465"/>
      <c r="V14" t="s">
        <v>6288</v>
      </c>
      <c r="W14" t="s">
        <v>919</v>
      </c>
      <c r="X14" t="str">
        <f t="shared" si="0"/>
        <v>销售费用-各类基本社会保障性缴款</v>
      </c>
      <c r="AC14" t="s">
        <v>6242</v>
      </c>
      <c r="AI14" t="s">
        <v>1859</v>
      </c>
      <c r="AJ14">
        <v>12</v>
      </c>
      <c r="AK14" s="1316" t="s">
        <v>6181</v>
      </c>
      <c r="AL14" t="s">
        <v>6130</v>
      </c>
      <c r="AM14" t="s">
        <v>6130</v>
      </c>
      <c r="AX14">
        <f>$A$353</f>
        <v>0</v>
      </c>
      <c r="AY14">
        <f>$B$353</f>
        <v>0</v>
      </c>
      <c r="AZ14" t="str">
        <f>TEXT($E$353,"#,##0.00")</f>
        <v>0.00</v>
      </c>
      <c r="BA14" t="str">
        <f>$J$353&amp;""</f>
        <v/>
      </c>
    </row>
    <row r="15" spans="1:53" ht="14.25" customHeight="1">
      <c r="I15" s="1456"/>
      <c r="K15" s="1455"/>
      <c r="L15" s="3810"/>
      <c r="M15" s="3813"/>
      <c r="O15" s="1465"/>
      <c r="V15" t="s">
        <v>6289</v>
      </c>
      <c r="W15" t="s">
        <v>920</v>
      </c>
      <c r="X15" t="str">
        <f t="shared" si="0"/>
        <v>销售费用-补充养老险、补充医疗保险</v>
      </c>
      <c r="AC15" t="s">
        <v>6243</v>
      </c>
      <c r="AI15" t="s">
        <v>1859</v>
      </c>
      <c r="AJ15">
        <v>13</v>
      </c>
      <c r="AK15" s="1316" t="s">
        <v>6182</v>
      </c>
      <c r="AL15" t="s">
        <v>6131</v>
      </c>
      <c r="AM15" t="s">
        <v>6131</v>
      </c>
      <c r="AX15">
        <f>$A$354</f>
        <v>0</v>
      </c>
      <c r="AY15">
        <f>$B$354</f>
        <v>0</v>
      </c>
      <c r="AZ15" t="str">
        <f>TEXT($E$354,"#,##0.00")</f>
        <v>0.00</v>
      </c>
      <c r="BA15" t="str">
        <f>$J$354&amp;""</f>
        <v/>
      </c>
    </row>
    <row r="16" spans="1:53" ht="14.25" customHeight="1">
      <c r="I16" s="1456"/>
      <c r="K16" s="1455"/>
      <c r="L16" s="3810"/>
      <c r="M16" s="3813"/>
      <c r="O16" s="1465"/>
      <c r="V16" t="s">
        <v>6290</v>
      </c>
      <c r="W16" t="s">
        <v>36</v>
      </c>
      <c r="X16" t="str">
        <f t="shared" si="0"/>
        <v>销售费用-财产损失</v>
      </c>
      <c r="AC16" t="s">
        <v>6244</v>
      </c>
      <c r="AD16" t="s">
        <v>6248</v>
      </c>
      <c r="AI16" t="s">
        <v>1860</v>
      </c>
      <c r="AJ16">
        <v>14</v>
      </c>
      <c r="AK16" s="1316" t="s">
        <v>6183</v>
      </c>
      <c r="AL16" t="s">
        <v>6132</v>
      </c>
      <c r="AM16" t="s">
        <v>6132</v>
      </c>
      <c r="AX16">
        <f>$A$355</f>
        <v>0</v>
      </c>
      <c r="AY16">
        <f>$B$355</f>
        <v>0</v>
      </c>
      <c r="AZ16" t="str">
        <f>TEXT($E$355,"#,##0.00")</f>
        <v>0.00</v>
      </c>
      <c r="BA16" t="str">
        <f>$J$355&amp;""</f>
        <v/>
      </c>
    </row>
    <row r="17" spans="9:53" ht="14.25" customHeight="1">
      <c r="I17" s="1456"/>
      <c r="K17" s="1455"/>
      <c r="L17" s="3810"/>
      <c r="M17" s="3814" t="s">
        <v>2396</v>
      </c>
      <c r="P17" s="1324"/>
      <c r="V17" t="s">
        <v>6291</v>
      </c>
      <c r="W17" t="s">
        <v>471</v>
      </c>
      <c r="X17" t="str">
        <f t="shared" si="0"/>
        <v>销售费用-折旧</v>
      </c>
      <c r="AC17" t="s">
        <v>6245</v>
      </c>
      <c r="AI17" t="s">
        <v>1859</v>
      </c>
      <c r="AJ17">
        <v>15</v>
      </c>
      <c r="AK17" s="1316" t="s">
        <v>6184</v>
      </c>
      <c r="AL17" t="s">
        <v>996</v>
      </c>
      <c r="AM17" t="s">
        <v>996</v>
      </c>
      <c r="AX17">
        <f>$A$356</f>
        <v>0</v>
      </c>
      <c r="AY17">
        <f>$B$356</f>
        <v>0</v>
      </c>
      <c r="AZ17" t="str">
        <f>TEXT($E$356,"#,##0.00")</f>
        <v>0.00</v>
      </c>
      <c r="BA17" t="str">
        <f>$J$356&amp;""</f>
        <v/>
      </c>
    </row>
    <row r="18" spans="9:53" ht="14.25" customHeight="1">
      <c r="I18" s="1456"/>
      <c r="K18" s="1455"/>
      <c r="L18" s="3810"/>
      <c r="M18" s="3815"/>
      <c r="V18" t="s">
        <v>6292</v>
      </c>
      <c r="W18" t="s">
        <v>472</v>
      </c>
      <c r="X18" t="str">
        <f t="shared" si="0"/>
        <v>销售费用-租金</v>
      </c>
      <c r="AC18" t="s">
        <v>6246</v>
      </c>
      <c r="AI18" t="s">
        <v>1859</v>
      </c>
      <c r="AJ18">
        <v>16</v>
      </c>
      <c r="AK18" s="1316" t="s">
        <v>6185</v>
      </c>
      <c r="AL18" t="s">
        <v>999</v>
      </c>
      <c r="AM18" t="s">
        <v>999</v>
      </c>
      <c r="AX18">
        <f>$A$357</f>
        <v>0</v>
      </c>
      <c r="AY18">
        <f>$B$357</f>
        <v>0</v>
      </c>
      <c r="AZ18" t="str">
        <f>TEXT($E$357,"#,##0.00")</f>
        <v>0.00</v>
      </c>
      <c r="BA18" t="str">
        <f>$J$357&amp;""</f>
        <v/>
      </c>
    </row>
    <row r="19" spans="9:53" ht="14.25" customHeight="1">
      <c r="I19" s="1456"/>
      <c r="K19" s="1457"/>
      <c r="L19" s="3810"/>
      <c r="M19" s="3815"/>
      <c r="V19" t="s">
        <v>6293</v>
      </c>
      <c r="W19" t="s">
        <v>6513</v>
      </c>
      <c r="X19" t="str">
        <f t="shared" si="0"/>
        <v>销售费用-辞退福利</v>
      </c>
      <c r="AC19" t="s">
        <v>6247</v>
      </c>
      <c r="AI19" t="s">
        <v>1859</v>
      </c>
      <c r="AJ19">
        <v>17</v>
      </c>
      <c r="AK19" s="1316" t="s">
        <v>6186</v>
      </c>
      <c r="AL19" t="s">
        <v>6133</v>
      </c>
      <c r="AM19" t="s">
        <v>6133</v>
      </c>
      <c r="AX19">
        <f>$A$358</f>
        <v>0</v>
      </c>
      <c r="AY19">
        <f>$B$358</f>
        <v>0</v>
      </c>
      <c r="AZ19" t="str">
        <f>TEXT($E$358,"#,##0.00")</f>
        <v>0.00</v>
      </c>
      <c r="BA19" t="str">
        <f>$J$358&amp;""</f>
        <v/>
      </c>
    </row>
    <row r="20" spans="9:53" ht="14.25" customHeight="1">
      <c r="I20" s="1456"/>
      <c r="K20" s="1457"/>
      <c r="L20" s="3810"/>
      <c r="M20" s="3812" t="s">
        <v>2403</v>
      </c>
      <c r="V20" t="s">
        <v>6294</v>
      </c>
      <c r="W20" t="s">
        <v>1630</v>
      </c>
      <c r="X20" t="str">
        <f t="shared" si="0"/>
        <v>销售费用-无形资产摊销</v>
      </c>
      <c r="AC20" t="s">
        <v>6249</v>
      </c>
      <c r="AI20" t="s">
        <v>1859</v>
      </c>
      <c r="AJ20">
        <v>18</v>
      </c>
      <c r="AK20" s="1316" t="s">
        <v>2832</v>
      </c>
      <c r="AL20" t="s">
        <v>6134</v>
      </c>
      <c r="AM20" t="s">
        <v>6134</v>
      </c>
      <c r="AX20">
        <f>$A$359</f>
        <v>0</v>
      </c>
      <c r="AY20">
        <f>$B$359</f>
        <v>0</v>
      </c>
      <c r="AZ20" t="str">
        <f>TEXT($E$359,"#,##0.00")</f>
        <v>0.00</v>
      </c>
      <c r="BA20" t="str">
        <f>$J$359&amp;""</f>
        <v/>
      </c>
    </row>
    <row r="21" spans="9:53" ht="14.25" customHeight="1">
      <c r="I21" s="1456"/>
      <c r="K21" s="1457"/>
      <c r="L21" s="3810"/>
      <c r="M21" s="3812"/>
      <c r="V21" t="s">
        <v>6295</v>
      </c>
      <c r="W21" t="s">
        <v>6514</v>
      </c>
      <c r="X21" t="str">
        <f t="shared" si="0"/>
        <v>销售费用-长期待摊费用摊销</v>
      </c>
      <c r="AC21" t="s">
        <v>6250</v>
      </c>
      <c r="AI21" t="s">
        <v>1859</v>
      </c>
      <c r="AJ21">
        <v>19</v>
      </c>
      <c r="AK21" s="1316" t="s">
        <v>2836</v>
      </c>
      <c r="AL21" t="s">
        <v>6135</v>
      </c>
      <c r="AM21" t="s">
        <v>6135</v>
      </c>
      <c r="AX21">
        <f>$A$360</f>
        <v>0</v>
      </c>
      <c r="AY21">
        <f>$B$360</f>
        <v>0</v>
      </c>
      <c r="AZ21" t="str">
        <f>TEXT($E$360,"#,##0.00")</f>
        <v>0.00</v>
      </c>
      <c r="BA21" t="str">
        <f>$J$360&amp;""</f>
        <v/>
      </c>
    </row>
    <row r="22" spans="9:53" ht="14.25" customHeight="1">
      <c r="I22" s="1456"/>
      <c r="K22" s="1457"/>
      <c r="L22" s="3810"/>
      <c r="M22" s="3812"/>
      <c r="V22" t="s">
        <v>6296</v>
      </c>
      <c r="W22" t="s">
        <v>1279</v>
      </c>
      <c r="X22" t="str">
        <f t="shared" si="0"/>
        <v>销售费用-印花税</v>
      </c>
      <c r="AC22" t="s">
        <v>6251</v>
      </c>
      <c r="AI22" t="s">
        <v>1859</v>
      </c>
      <c r="AJ22">
        <v>20</v>
      </c>
      <c r="AK22" s="1316" t="s">
        <v>6187</v>
      </c>
      <c r="AL22" t="s">
        <v>6136</v>
      </c>
      <c r="AM22" t="s">
        <v>6136</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6297</v>
      </c>
      <c r="W23" t="s">
        <v>1277</v>
      </c>
      <c r="X23" t="str">
        <f t="shared" si="0"/>
        <v>销售费用-房产税</v>
      </c>
      <c r="AC23" t="s">
        <v>6252</v>
      </c>
      <c r="AI23" t="s">
        <v>1859</v>
      </c>
      <c r="AJ23" s="1327">
        <v>21</v>
      </c>
      <c r="AK23" s="1316" t="s">
        <v>2874</v>
      </c>
      <c r="AL23" t="s">
        <v>6137</v>
      </c>
      <c r="AM23" t="s">
        <v>6137</v>
      </c>
      <c r="AX23">
        <f>$A$362</f>
        <v>0</v>
      </c>
      <c r="AY23">
        <f>$B$362</f>
        <v>0</v>
      </c>
      <c r="AZ23" t="str">
        <f>TEXT($E$362,"#,##0.00")</f>
        <v>0.00</v>
      </c>
      <c r="BA23" t="str">
        <f>$J$362&amp;""</f>
        <v/>
      </c>
    </row>
    <row r="24" spans="9:53" ht="14.25" customHeight="1">
      <c r="I24" s="1456"/>
      <c r="K24" s="1457"/>
      <c r="N24" s="1475"/>
      <c r="O24" s="1475"/>
      <c r="P24" s="1475"/>
      <c r="Q24" s="1327"/>
      <c r="R24" s="1327"/>
      <c r="V24" t="s">
        <v>6517</v>
      </c>
      <c r="W24" t="s">
        <v>1278</v>
      </c>
      <c r="X24" t="str">
        <f>$X$2&amp;"-"&amp;W24</f>
        <v>销售费用-土地使用税</v>
      </c>
      <c r="AC24" t="s">
        <v>6253</v>
      </c>
      <c r="AI24" t="s">
        <v>1859</v>
      </c>
      <c r="AJ24" s="1327">
        <v>22</v>
      </c>
      <c r="AK24" s="1316" t="s">
        <v>6188</v>
      </c>
      <c r="AL24" t="s">
        <v>6138</v>
      </c>
      <c r="AM24" t="s">
        <v>6138</v>
      </c>
      <c r="AX24">
        <f>$A$363</f>
        <v>0</v>
      </c>
      <c r="AY24">
        <f>$B$363</f>
        <v>0</v>
      </c>
      <c r="AZ24" t="str">
        <f>TEXT($E$363,"#,##0.00")</f>
        <v>0.00</v>
      </c>
      <c r="BA24" t="str">
        <f>$J$363&amp;""</f>
        <v/>
      </c>
    </row>
    <row r="25" spans="9:53" ht="14.25" customHeight="1">
      <c r="I25" s="1456"/>
      <c r="K25" s="1457"/>
      <c r="N25" s="1475"/>
      <c r="O25" s="1475"/>
      <c r="P25" s="1475"/>
      <c r="Q25" s="1327"/>
      <c r="R25" s="1327"/>
      <c r="V25" t="s">
        <v>6518</v>
      </c>
      <c r="W25" t="s">
        <v>6515</v>
      </c>
      <c r="X25" t="str">
        <f t="shared" si="0"/>
        <v>销售费用-车船使用税</v>
      </c>
      <c r="AC25" t="s">
        <v>6254</v>
      </c>
      <c r="AE25" t="s">
        <v>1859</v>
      </c>
      <c r="AG25" t="s">
        <v>1859</v>
      </c>
      <c r="AJ25" s="1327">
        <v>23</v>
      </c>
      <c r="AK25" s="1316" t="s">
        <v>6189</v>
      </c>
      <c r="AL25" t="s">
        <v>6139</v>
      </c>
      <c r="AM25" t="s">
        <v>6139</v>
      </c>
      <c r="AX25">
        <f>$A$364</f>
        <v>0</v>
      </c>
      <c r="AY25">
        <f>$B$364</f>
        <v>0</v>
      </c>
      <c r="AZ25" t="str">
        <f>TEXT($E$364,"#,##0.00")</f>
        <v>0.00</v>
      </c>
      <c r="BA25" t="str">
        <f>$J$364&amp;""</f>
        <v/>
      </c>
    </row>
    <row r="26" spans="9:53" ht="14.25" customHeight="1">
      <c r="I26" s="1456"/>
      <c r="K26" s="1457"/>
      <c r="N26" s="1475"/>
      <c r="O26" s="1475"/>
      <c r="P26" s="1475"/>
      <c r="Q26" s="1327"/>
      <c r="R26" s="1327"/>
      <c r="V26" t="s">
        <v>6519</v>
      </c>
      <c r="W26" t="s">
        <v>6233</v>
      </c>
      <c r="X26" t="str">
        <f t="shared" si="0"/>
        <v>销售费用-劳务费</v>
      </c>
      <c r="AC26" t="s">
        <v>6255</v>
      </c>
      <c r="AE26" t="s">
        <v>1859</v>
      </c>
      <c r="AG26" t="s">
        <v>1859</v>
      </c>
      <c r="AJ26" s="1327">
        <v>24</v>
      </c>
      <c r="AK26" s="1316" t="s">
        <v>6190</v>
      </c>
      <c r="AL26" t="s">
        <v>1293</v>
      </c>
      <c r="AM26" t="s">
        <v>1293</v>
      </c>
      <c r="AX26">
        <f>$A$365</f>
        <v>0</v>
      </c>
      <c r="AY26">
        <f>$B$365</f>
        <v>0</v>
      </c>
      <c r="AZ26" t="str">
        <f>TEXT($E$365,"#,##0.00")</f>
        <v>0.00</v>
      </c>
      <c r="BA26" t="str">
        <f>$J$365&amp;""</f>
        <v/>
      </c>
    </row>
    <row r="27" spans="9:53" ht="14.25" customHeight="1">
      <c r="I27" s="1456"/>
      <c r="K27" s="1457"/>
      <c r="N27" s="1475"/>
      <c r="O27" s="1475"/>
      <c r="P27" s="1475"/>
      <c r="Q27" s="1327"/>
      <c r="R27" s="1327"/>
      <c r="V27" t="s">
        <v>6520</v>
      </c>
      <c r="W27" t="s">
        <v>6234</v>
      </c>
      <c r="X27" t="str">
        <f t="shared" si="0"/>
        <v>销售费用-咨询顾问费</v>
      </c>
      <c r="AC27" t="s">
        <v>6256</v>
      </c>
      <c r="AE27" t="s">
        <v>1859</v>
      </c>
      <c r="AG27" t="s">
        <v>1859</v>
      </c>
      <c r="AJ27" s="1327">
        <v>25</v>
      </c>
      <c r="AK27" s="1316" t="s">
        <v>6191</v>
      </c>
      <c r="AL27" t="s">
        <v>6140</v>
      </c>
      <c r="AM27" t="s">
        <v>6140</v>
      </c>
      <c r="AX27">
        <f>$A$335</f>
        <v>0</v>
      </c>
      <c r="AY27">
        <f>$B$335</f>
        <v>0</v>
      </c>
      <c r="AZ27" t="str">
        <f>TEXT($E$335,"#,##0.00")</f>
        <v>0.00</v>
      </c>
      <c r="BA27" t="str">
        <f>$J$335&amp;""</f>
        <v/>
      </c>
    </row>
    <row r="28" spans="9:53" ht="14.25" customHeight="1">
      <c r="I28" s="1456"/>
      <c r="K28" s="1457"/>
      <c r="M28" s="1475"/>
      <c r="N28" s="1475"/>
      <c r="O28" s="1475"/>
      <c r="P28" s="1475"/>
      <c r="Q28" s="1327"/>
      <c r="R28" s="1327"/>
      <c r="V28" t="s">
        <v>6521</v>
      </c>
      <c r="W28" t="s">
        <v>6237</v>
      </c>
      <c r="X28" t="str">
        <f t="shared" si="0"/>
        <v>销售费用-佣金和手续费</v>
      </c>
      <c r="AC28" t="s">
        <v>1295</v>
      </c>
      <c r="AJ28" s="1327">
        <v>26</v>
      </c>
      <c r="AK28" s="1316" t="s">
        <v>6192</v>
      </c>
      <c r="AL28" t="s">
        <v>6141</v>
      </c>
      <c r="AM28" t="s">
        <v>6141</v>
      </c>
      <c r="AX28">
        <f>$A$336</f>
        <v>0</v>
      </c>
      <c r="AY28">
        <f>$B$336</f>
        <v>0</v>
      </c>
      <c r="AZ28" t="str">
        <f>TEXT($E$336,"#,##0.00")</f>
        <v>0.00</v>
      </c>
      <c r="BA28" t="str">
        <f>$J$336&amp;""</f>
        <v/>
      </c>
    </row>
    <row r="29" spans="9:53" ht="14.25" customHeight="1">
      <c r="M29" s="1475"/>
      <c r="N29" s="1475"/>
      <c r="O29" s="1475"/>
      <c r="P29" s="1475"/>
      <c r="Q29" s="1327"/>
      <c r="R29" s="1327"/>
      <c r="V29" t="s">
        <v>6522</v>
      </c>
      <c r="W29" t="s">
        <v>6241</v>
      </c>
      <c r="X29" t="str">
        <f t="shared" si="0"/>
        <v>销售费用-办公费</v>
      </c>
      <c r="AJ29" s="1327">
        <v>27</v>
      </c>
      <c r="AK29" s="1316" t="s">
        <v>6193</v>
      </c>
      <c r="AL29" t="s">
        <v>6142</v>
      </c>
      <c r="AM29" t="s">
        <v>6142</v>
      </c>
      <c r="AX29">
        <f>$A$337</f>
        <v>0</v>
      </c>
      <c r="AY29">
        <f>$B$337</f>
        <v>0</v>
      </c>
      <c r="AZ29" t="str">
        <f>TEXT($E$337,"#,##0.00")</f>
        <v>0.00</v>
      </c>
      <c r="BA29" t="str">
        <f>$J$337&amp;""</f>
        <v/>
      </c>
    </row>
    <row r="30" spans="9:53" ht="14.25" customHeight="1">
      <c r="M30" s="1475"/>
      <c r="N30" s="1475"/>
      <c r="O30" s="1475"/>
      <c r="P30" s="1475"/>
      <c r="Q30" s="1327"/>
      <c r="R30" s="1327"/>
      <c r="V30" t="s">
        <v>6523</v>
      </c>
      <c r="W30" t="s">
        <v>6242</v>
      </c>
      <c r="X30" t="str">
        <f t="shared" si="0"/>
        <v>销售费用-董事会费</v>
      </c>
      <c r="AJ30" s="1327">
        <v>28</v>
      </c>
      <c r="AK30" s="1316" t="s">
        <v>6194</v>
      </c>
      <c r="AL30" t="s">
        <v>6143</v>
      </c>
      <c r="AM30" t="s">
        <v>6143</v>
      </c>
      <c r="AX30">
        <f>$A$338</f>
        <v>0</v>
      </c>
      <c r="AY30">
        <f>$B$338</f>
        <v>0</v>
      </c>
      <c r="AZ30" t="str">
        <f>TEXT($E$338,"#,##0.00")</f>
        <v>0.00</v>
      </c>
      <c r="BA30" t="str">
        <f>$J$338&amp;""</f>
        <v/>
      </c>
    </row>
    <row r="31" spans="9:53" ht="14.25" customHeight="1">
      <c r="M31" s="1475"/>
      <c r="N31" s="1475"/>
      <c r="O31" s="1475"/>
      <c r="P31" s="1475"/>
      <c r="Q31" s="1327"/>
      <c r="R31" s="1327"/>
      <c r="V31" t="s">
        <v>6524</v>
      </c>
      <c r="W31" t="s">
        <v>6244</v>
      </c>
      <c r="X31" t="str">
        <f t="shared" si="0"/>
        <v>销售费用-诉讼费</v>
      </c>
      <c r="AJ31" s="1327">
        <v>29</v>
      </c>
      <c r="AK31" s="1316" t="s">
        <v>6195</v>
      </c>
      <c r="AL31" t="s">
        <v>6144</v>
      </c>
      <c r="AM31" t="s">
        <v>6144</v>
      </c>
      <c r="AX31">
        <f>$A$339</f>
        <v>0</v>
      </c>
      <c r="AY31">
        <f>$B$339</f>
        <v>0</v>
      </c>
      <c r="AZ31" t="str">
        <f>TEXT($E$339,"#,##0.00")</f>
        <v>0.00</v>
      </c>
      <c r="BA31" t="str">
        <f>$J$339&amp;""</f>
        <v/>
      </c>
    </row>
    <row r="32" spans="9:53" ht="14.25" customHeight="1">
      <c r="M32" s="1475"/>
      <c r="N32" s="1475"/>
      <c r="O32" s="1475"/>
      <c r="P32" s="1475"/>
      <c r="Q32" s="1327"/>
      <c r="R32" s="1327"/>
      <c r="V32" t="s">
        <v>6525</v>
      </c>
      <c r="W32" t="s">
        <v>6245</v>
      </c>
      <c r="X32" t="str">
        <f t="shared" si="0"/>
        <v>销售费用-差旅费</v>
      </c>
      <c r="AJ32" s="1327">
        <v>30</v>
      </c>
      <c r="AK32" s="1316" t="s">
        <v>6196</v>
      </c>
      <c r="AL32" t="s">
        <v>6145</v>
      </c>
      <c r="AM32" t="s">
        <v>6145</v>
      </c>
      <c r="AX32">
        <f>$A$340</f>
        <v>0</v>
      </c>
      <c r="AY32">
        <f>$B$340</f>
        <v>0</v>
      </c>
      <c r="AZ32" t="str">
        <f>TEXT($E$340,"#,##0.00")</f>
        <v>0.00</v>
      </c>
      <c r="BA32" t="str">
        <f>$J$340&amp;""</f>
        <v/>
      </c>
    </row>
    <row r="33" spans="13:53" ht="14.25" customHeight="1">
      <c r="M33" s="1475"/>
      <c r="N33" s="1475"/>
      <c r="O33" s="1475"/>
      <c r="P33" s="1475"/>
      <c r="Q33" s="1327"/>
      <c r="R33" s="1327"/>
      <c r="V33" t="s">
        <v>6526</v>
      </c>
      <c r="W33" t="s">
        <v>6246</v>
      </c>
      <c r="X33" t="str">
        <f t="shared" si="0"/>
        <v>销售费用-保险费</v>
      </c>
      <c r="AJ33" s="1327">
        <v>31</v>
      </c>
      <c r="AK33" s="1316" t="s">
        <v>6197</v>
      </c>
      <c r="AL33" t="s">
        <v>6146</v>
      </c>
      <c r="AM33" t="s">
        <v>6146</v>
      </c>
      <c r="AX33">
        <f>$A$366</f>
        <v>0</v>
      </c>
      <c r="AY33">
        <f>$B$366</f>
        <v>0</v>
      </c>
      <c r="AZ33" t="str">
        <f>TEXT($E$366,"#,##0.00")</f>
        <v>0.00</v>
      </c>
      <c r="BA33" t="str">
        <f>$J$366&amp;""</f>
        <v/>
      </c>
    </row>
    <row r="34" spans="13:53" ht="14.25" customHeight="1">
      <c r="M34" s="1475"/>
      <c r="N34" s="1475"/>
      <c r="O34" s="1475"/>
      <c r="P34" s="1475"/>
      <c r="Q34" s="1327"/>
      <c r="R34" s="1327"/>
      <c r="V34" t="s">
        <v>6527</v>
      </c>
      <c r="W34" t="s">
        <v>6516</v>
      </c>
      <c r="X34" t="str">
        <f t="shared" si="0"/>
        <v>销售费用-运输、仓储费</v>
      </c>
      <c r="AJ34" s="1327">
        <v>32</v>
      </c>
      <c r="AK34" s="1316" t="s">
        <v>6198</v>
      </c>
      <c r="AL34" t="s">
        <v>6147</v>
      </c>
      <c r="AM34" t="s">
        <v>6147</v>
      </c>
      <c r="AX34">
        <f>$A$367</f>
        <v>0</v>
      </c>
      <c r="AY34">
        <f>$B$367</f>
        <v>0</v>
      </c>
      <c r="AZ34" t="str">
        <f>TEXT($E$367,"#,##0.00")</f>
        <v>0.00</v>
      </c>
      <c r="BA34" t="str">
        <f>$J$367&amp;""</f>
        <v/>
      </c>
    </row>
    <row r="35" spans="13:53" ht="14.25" customHeight="1">
      <c r="M35" s="1475"/>
      <c r="N35" s="1475"/>
      <c r="O35" s="1475"/>
      <c r="P35" s="1475"/>
      <c r="Q35" s="1327"/>
      <c r="R35" s="1327"/>
      <c r="V35" t="s">
        <v>6528</v>
      </c>
      <c r="W35" t="s">
        <v>6249</v>
      </c>
      <c r="X35" t="str">
        <f t="shared" si="0"/>
        <v>销售费用-修理费</v>
      </c>
      <c r="AK35" s="1316" t="s">
        <v>6199</v>
      </c>
      <c r="AL35" s="1327" t="s">
        <v>6115</v>
      </c>
      <c r="AX35">
        <f>$A$368</f>
        <v>0</v>
      </c>
      <c r="AY35">
        <f>$B$368</f>
        <v>0</v>
      </c>
      <c r="AZ35" t="str">
        <f>TEXT($E$368,"#,##0.00")</f>
        <v>0.00</v>
      </c>
      <c r="BA35" t="str">
        <f>$J$368&amp;""</f>
        <v/>
      </c>
    </row>
    <row r="36" spans="13:53" ht="14.25" customHeight="1">
      <c r="M36" s="1475"/>
      <c r="N36" s="1475"/>
      <c r="O36" s="1475"/>
      <c r="P36" s="1475"/>
      <c r="Q36" s="1327"/>
      <c r="R36" s="1327"/>
      <c r="V36" t="s">
        <v>6529</v>
      </c>
      <c r="W36" t="s">
        <v>6250</v>
      </c>
      <c r="X36" t="str">
        <f t="shared" si="0"/>
        <v>销售费用-包装费</v>
      </c>
      <c r="AJ36" s="1327">
        <v>33</v>
      </c>
      <c r="AK36" s="1316" t="s">
        <v>6200</v>
      </c>
      <c r="AL36" t="s">
        <v>6148</v>
      </c>
      <c r="AM36" t="s">
        <v>6148</v>
      </c>
      <c r="AX36">
        <f>$A$369</f>
        <v>0</v>
      </c>
      <c r="AY36">
        <f>$B$369</f>
        <v>0</v>
      </c>
      <c r="AZ36" t="str">
        <f>TEXT($E$369,"#,##0.00")</f>
        <v>0.00</v>
      </c>
      <c r="BA36" t="str">
        <f>$J$369&amp;""</f>
        <v/>
      </c>
    </row>
    <row r="37" spans="13:53" ht="14.25" customHeight="1">
      <c r="M37" s="1475"/>
      <c r="N37" s="1475"/>
      <c r="O37" s="1475"/>
      <c r="P37" s="1475"/>
      <c r="Q37" s="1327"/>
      <c r="R37" s="1327"/>
      <c r="V37" t="s">
        <v>6530</v>
      </c>
      <c r="W37" t="s">
        <v>6251</v>
      </c>
      <c r="X37" t="str">
        <f t="shared" si="0"/>
        <v>销售费用-技术转让费</v>
      </c>
      <c r="AJ37" s="1327">
        <v>34</v>
      </c>
      <c r="AK37" s="1316" t="s">
        <v>6201</v>
      </c>
      <c r="AL37" t="s">
        <v>6149</v>
      </c>
      <c r="AM37" t="s">
        <v>6149</v>
      </c>
      <c r="AX37">
        <f>$A$370</f>
        <v>0</v>
      </c>
      <c r="AY37">
        <f>$B$370</f>
        <v>0</v>
      </c>
      <c r="AZ37" t="str">
        <f>TEXT($E$370,"#,##0.00")</f>
        <v>0.00</v>
      </c>
      <c r="BA37" t="str">
        <f>$J$370&amp;""</f>
        <v/>
      </c>
    </row>
    <row r="38" spans="13:53" ht="14.25" customHeight="1">
      <c r="V38" t="s">
        <v>6531</v>
      </c>
      <c r="W38" t="s">
        <v>6252</v>
      </c>
      <c r="X38" t="str">
        <f t="shared" si="0"/>
        <v>销售费用-研究费用</v>
      </c>
      <c r="AJ38">
        <v>35</v>
      </c>
      <c r="AK38" s="1316" t="s">
        <v>6202</v>
      </c>
      <c r="AL38" t="s">
        <v>6150</v>
      </c>
      <c r="AM38" t="s">
        <v>6150</v>
      </c>
      <c r="AX38">
        <f>$A$371</f>
        <v>0</v>
      </c>
      <c r="AY38">
        <f>$B$371</f>
        <v>0</v>
      </c>
      <c r="AZ38" t="str">
        <f>TEXT($E$371,"#,##0.00")</f>
        <v>0.00</v>
      </c>
      <c r="BA38" t="str">
        <f>$J$371&amp;""</f>
        <v/>
      </c>
    </row>
    <row r="39" spans="13:53" ht="14.25" customHeight="1">
      <c r="V39" t="s">
        <v>6532</v>
      </c>
      <c r="W39" t="s">
        <v>1295</v>
      </c>
      <c r="X39" t="str">
        <f t="shared" si="0"/>
        <v>销售费用-其他</v>
      </c>
      <c r="AJ39">
        <v>36</v>
      </c>
      <c r="AK39" s="1316" t="s">
        <v>6203</v>
      </c>
      <c r="AL39" t="s">
        <v>6151</v>
      </c>
      <c r="AM39" t="s">
        <v>6151</v>
      </c>
    </row>
    <row r="40" spans="13:53" ht="14.25" customHeight="1">
      <c r="V40" t="s">
        <v>6229</v>
      </c>
      <c r="W40" t="s">
        <v>1292</v>
      </c>
      <c r="X40" t="s">
        <v>1292</v>
      </c>
      <c r="AJ40">
        <v>37</v>
      </c>
      <c r="AK40" s="1316" t="s">
        <v>3051</v>
      </c>
      <c r="AL40" t="s">
        <v>6152</v>
      </c>
      <c r="AM40" t="s">
        <v>6152</v>
      </c>
    </row>
    <row r="41" spans="13:53" ht="14.25" customHeight="1">
      <c r="V41" t="s">
        <v>6319</v>
      </c>
      <c r="W41" t="s">
        <v>907</v>
      </c>
      <c r="X41" t="str">
        <f>$X$40&amp;"-"&amp;W41</f>
        <v>管理费用-工资薪金支出</v>
      </c>
      <c r="AJ41">
        <v>38</v>
      </c>
      <c r="AK41" s="1316" t="s">
        <v>3055</v>
      </c>
      <c r="AL41" t="s">
        <v>6153</v>
      </c>
      <c r="AM41" t="s">
        <v>6153</v>
      </c>
    </row>
    <row r="42" spans="13:53" ht="14.25" customHeight="1">
      <c r="V42" t="s">
        <v>6321</v>
      </c>
      <c r="W42" t="s">
        <v>908</v>
      </c>
      <c r="X42" t="str">
        <f t="shared" ref="X42:X77" si="1">$X$40&amp;"-"&amp;W42</f>
        <v>管理费用-职工福利费支出</v>
      </c>
      <c r="AJ42">
        <v>39</v>
      </c>
      <c r="AK42" s="1316" t="s">
        <v>3061</v>
      </c>
      <c r="AL42" t="s">
        <v>6154</v>
      </c>
      <c r="AM42" t="s">
        <v>6154</v>
      </c>
    </row>
    <row r="43" spans="13:53" ht="14.25" customHeight="1">
      <c r="V43" t="s">
        <v>6323</v>
      </c>
      <c r="W43" t="s">
        <v>909</v>
      </c>
      <c r="X43" t="str">
        <f t="shared" si="1"/>
        <v>管理费用-职工教育经费支出</v>
      </c>
      <c r="AJ43">
        <v>40</v>
      </c>
      <c r="AK43" s="1316" t="s">
        <v>6204</v>
      </c>
      <c r="AL43" t="s">
        <v>6155</v>
      </c>
      <c r="AM43" t="s">
        <v>6155</v>
      </c>
    </row>
    <row r="44" spans="13:53" ht="14.25" customHeight="1">
      <c r="V44" t="s">
        <v>6325</v>
      </c>
      <c r="W44" t="s">
        <v>910</v>
      </c>
      <c r="X44" t="str">
        <f t="shared" si="1"/>
        <v>管理费用-工会经费支出</v>
      </c>
      <c r="AJ44">
        <v>41</v>
      </c>
      <c r="AK44" s="1316" t="s">
        <v>6205</v>
      </c>
      <c r="AL44" t="s">
        <v>6156</v>
      </c>
      <c r="AM44" t="s">
        <v>6156</v>
      </c>
    </row>
    <row r="45" spans="13:53" ht="14.25" customHeight="1">
      <c r="V45" t="s">
        <v>6327</v>
      </c>
      <c r="W45" t="s">
        <v>911</v>
      </c>
      <c r="X45" t="str">
        <f t="shared" si="1"/>
        <v>管理费用-业务招待费支出</v>
      </c>
      <c r="AJ45">
        <v>42</v>
      </c>
      <c r="AK45" s="1316" t="s">
        <v>6206</v>
      </c>
      <c r="AL45" t="s">
        <v>6157</v>
      </c>
      <c r="AM45" t="s">
        <v>6157</v>
      </c>
    </row>
    <row r="46" spans="13:53" ht="14.25" customHeight="1">
      <c r="V46" t="s">
        <v>6329</v>
      </c>
      <c r="W46" t="s">
        <v>912</v>
      </c>
      <c r="X46" t="str">
        <f t="shared" si="1"/>
        <v>管理费用-广告费和业务宣传费支出</v>
      </c>
      <c r="AJ46">
        <v>43</v>
      </c>
      <c r="AK46" s="1316" t="s">
        <v>6207</v>
      </c>
      <c r="AL46" t="s">
        <v>6158</v>
      </c>
      <c r="AM46" t="s">
        <v>6158</v>
      </c>
    </row>
    <row r="47" spans="13:53" ht="14.25" customHeight="1">
      <c r="V47" t="s">
        <v>6331</v>
      </c>
      <c r="W47" t="s">
        <v>913</v>
      </c>
      <c r="X47" t="str">
        <f t="shared" si="1"/>
        <v>管理费用-捐赠支出</v>
      </c>
      <c r="AJ47">
        <v>44</v>
      </c>
      <c r="AK47" s="1316" t="s">
        <v>6208</v>
      </c>
      <c r="AL47" t="s">
        <v>6159</v>
      </c>
      <c r="AM47" t="s">
        <v>6159</v>
      </c>
    </row>
    <row r="48" spans="13:53" ht="14.25" customHeight="1">
      <c r="V48" t="s">
        <v>6333</v>
      </c>
      <c r="W48" t="s">
        <v>1480</v>
      </c>
      <c r="X48" t="str">
        <f t="shared" si="1"/>
        <v>管理费用-住房公积金</v>
      </c>
      <c r="AK48" s="1316" t="s">
        <v>6209</v>
      </c>
      <c r="AL48" t="s">
        <v>6116</v>
      </c>
    </row>
    <row r="49" spans="22:39" ht="14.25" customHeight="1">
      <c r="V49" t="s">
        <v>6335</v>
      </c>
      <c r="W49" t="s">
        <v>914</v>
      </c>
      <c r="X49" t="str">
        <f t="shared" si="1"/>
        <v>管理费用-罚金、罚款和被没收财物的损失</v>
      </c>
      <c r="AJ49">
        <v>45</v>
      </c>
      <c r="AK49" s="1316" t="s">
        <v>6210</v>
      </c>
      <c r="AL49" t="s">
        <v>439</v>
      </c>
      <c r="AM49" t="s">
        <v>439</v>
      </c>
    </row>
    <row r="50" spans="22:39" ht="14.25" customHeight="1">
      <c r="V50" t="s">
        <v>6337</v>
      </c>
      <c r="W50" t="s">
        <v>571</v>
      </c>
      <c r="X50" t="str">
        <f t="shared" si="1"/>
        <v>管理费用-税收滞纳金</v>
      </c>
      <c r="AJ50">
        <v>46</v>
      </c>
      <c r="AK50" s="1316" t="s">
        <v>6211</v>
      </c>
      <c r="AL50" t="s">
        <v>843</v>
      </c>
      <c r="AM50" t="s">
        <v>843</v>
      </c>
    </row>
    <row r="51" spans="22:39" ht="14.25" customHeight="1">
      <c r="V51" t="s">
        <v>6339</v>
      </c>
      <c r="W51" t="s">
        <v>917</v>
      </c>
      <c r="X51" t="str">
        <f t="shared" si="1"/>
        <v>管理费用-赞助支出</v>
      </c>
      <c r="AJ51">
        <v>47</v>
      </c>
      <c r="AK51" s="1316" t="s">
        <v>6212</v>
      </c>
      <c r="AL51" t="s">
        <v>1132</v>
      </c>
      <c r="AM51" t="s">
        <v>1132</v>
      </c>
    </row>
    <row r="52" spans="22:39" ht="14.25" customHeight="1">
      <c r="V52" t="s">
        <v>6341</v>
      </c>
      <c r="W52" t="s">
        <v>919</v>
      </c>
      <c r="X52" t="str">
        <f t="shared" si="1"/>
        <v>管理费用-各类基本社会保障性缴款</v>
      </c>
      <c r="AJ52">
        <v>48</v>
      </c>
      <c r="AK52" s="1316" t="s">
        <v>6213</v>
      </c>
      <c r="AL52" t="s">
        <v>6160</v>
      </c>
      <c r="AM52" t="s">
        <v>6160</v>
      </c>
    </row>
    <row r="53" spans="22:39" ht="14.25" customHeight="1">
      <c r="V53" t="s">
        <v>6343</v>
      </c>
      <c r="W53" t="s">
        <v>920</v>
      </c>
      <c r="X53" t="str">
        <f t="shared" si="1"/>
        <v>管理费用-补充养老险、补充医疗保险</v>
      </c>
      <c r="AJ53">
        <v>49</v>
      </c>
      <c r="AK53" s="1316" t="s">
        <v>6214</v>
      </c>
      <c r="AL53" t="s">
        <v>6161</v>
      </c>
      <c r="AM53" t="s">
        <v>6161</v>
      </c>
    </row>
    <row r="54" spans="22:39" ht="14.25" customHeight="1">
      <c r="V54" t="s">
        <v>6345</v>
      </c>
      <c r="W54" t="s">
        <v>36</v>
      </c>
      <c r="X54" t="str">
        <f t="shared" si="1"/>
        <v>管理费用-财产损失</v>
      </c>
      <c r="AK54" s="1316" t="s">
        <v>6215</v>
      </c>
      <c r="AL54" t="s">
        <v>6117</v>
      </c>
    </row>
    <row r="55" spans="22:39" ht="14.25" customHeight="1">
      <c r="V55" t="s">
        <v>6347</v>
      </c>
      <c r="W55" t="s">
        <v>471</v>
      </c>
      <c r="X55" t="str">
        <f t="shared" si="1"/>
        <v>管理费用-折旧</v>
      </c>
      <c r="AJ55">
        <v>50</v>
      </c>
      <c r="AK55" s="1316" t="s">
        <v>6216</v>
      </c>
      <c r="AL55" t="s">
        <v>1287</v>
      </c>
      <c r="AM55" t="s">
        <v>1287</v>
      </c>
    </row>
    <row r="56" spans="22:39" ht="14.25" customHeight="1">
      <c r="V56" t="s">
        <v>6349</v>
      </c>
      <c r="W56" t="s">
        <v>472</v>
      </c>
      <c r="X56" t="str">
        <f t="shared" si="1"/>
        <v>管理费用-租金</v>
      </c>
      <c r="AJ56">
        <v>51</v>
      </c>
      <c r="AK56" s="1316" t="s">
        <v>6217</v>
      </c>
      <c r="AL56" t="s">
        <v>1289</v>
      </c>
      <c r="AM56" t="s">
        <v>1289</v>
      </c>
    </row>
    <row r="57" spans="22:39" ht="14.25" customHeight="1">
      <c r="V57" t="s">
        <v>6351</v>
      </c>
      <c r="W57" t="s">
        <v>6513</v>
      </c>
      <c r="X57" t="str">
        <f t="shared" si="1"/>
        <v>管理费用-辞退福利</v>
      </c>
      <c r="AJ57">
        <v>52</v>
      </c>
      <c r="AK57" s="1316" t="s">
        <v>6218</v>
      </c>
      <c r="AL57" t="s">
        <v>6162</v>
      </c>
      <c r="AM57" t="s">
        <v>6162</v>
      </c>
    </row>
    <row r="58" spans="22:39" ht="14.25" customHeight="1">
      <c r="V58" t="s">
        <v>6353</v>
      </c>
      <c r="W58" t="s">
        <v>1630</v>
      </c>
      <c r="X58" t="str">
        <f t="shared" si="1"/>
        <v>管理费用-无形资产摊销</v>
      </c>
      <c r="AJ58">
        <v>53</v>
      </c>
      <c r="AK58" s="1316" t="s">
        <v>6219</v>
      </c>
      <c r="AL58" t="s">
        <v>6163</v>
      </c>
      <c r="AM58" t="s">
        <v>6163</v>
      </c>
    </row>
    <row r="59" spans="22:39" ht="14.25" customHeight="1">
      <c r="V59" t="s">
        <v>6355</v>
      </c>
      <c r="W59" t="s">
        <v>6514</v>
      </c>
      <c r="X59" t="str">
        <f t="shared" si="1"/>
        <v>管理费用-长期待摊费用摊销</v>
      </c>
      <c r="AJ59">
        <v>54</v>
      </c>
      <c r="AK59" s="1316" t="s">
        <v>6220</v>
      </c>
      <c r="AL59" t="s">
        <v>6164</v>
      </c>
      <c r="AM59" t="s">
        <v>6164</v>
      </c>
    </row>
    <row r="60" spans="22:39" ht="14.25" customHeight="1">
      <c r="V60" t="s">
        <v>6357</v>
      </c>
      <c r="W60" t="s">
        <v>1279</v>
      </c>
      <c r="X60" t="str">
        <f t="shared" si="1"/>
        <v>管理费用-印花税</v>
      </c>
      <c r="AK60" s="1316" t="s">
        <v>6221</v>
      </c>
      <c r="AL60" t="s">
        <v>6118</v>
      </c>
    </row>
    <row r="61" spans="22:39" ht="14.25" customHeight="1">
      <c r="V61" t="s">
        <v>6359</v>
      </c>
      <c r="W61" t="s">
        <v>1277</v>
      </c>
      <c r="X61" t="str">
        <f t="shared" si="1"/>
        <v>管理费用-房产税</v>
      </c>
      <c r="AJ61">
        <v>55</v>
      </c>
      <c r="AK61" s="1316" t="s">
        <v>6222</v>
      </c>
      <c r="AL61" t="s">
        <v>245</v>
      </c>
      <c r="AM61" t="s">
        <v>245</v>
      </c>
    </row>
    <row r="62" spans="22:39" ht="14.25" customHeight="1">
      <c r="V62" t="s">
        <v>6533</v>
      </c>
      <c r="W62" t="s">
        <v>1278</v>
      </c>
      <c r="X62" t="str">
        <f>$X$40&amp;"-"&amp;W62</f>
        <v>管理费用-土地使用税</v>
      </c>
      <c r="AJ62">
        <v>56</v>
      </c>
      <c r="AK62" s="1316" t="s">
        <v>6223</v>
      </c>
      <c r="AL62" t="s">
        <v>246</v>
      </c>
      <c r="AM62" t="s">
        <v>246</v>
      </c>
    </row>
    <row r="63" spans="22:39" ht="14.25" customHeight="1">
      <c r="V63" t="s">
        <v>6534</v>
      </c>
      <c r="W63" t="s">
        <v>6515</v>
      </c>
      <c r="X63" t="str">
        <f t="shared" si="1"/>
        <v>管理费用-车船使用税</v>
      </c>
      <c r="AJ63">
        <v>57</v>
      </c>
      <c r="AK63" s="1316" t="s">
        <v>3943</v>
      </c>
      <c r="AL63" t="s">
        <v>6165</v>
      </c>
      <c r="AM63" t="s">
        <v>6165</v>
      </c>
    </row>
    <row r="64" spans="22:39" ht="14.25" customHeight="1">
      <c r="V64" t="s">
        <v>6535</v>
      </c>
      <c r="W64" t="s">
        <v>6233</v>
      </c>
      <c r="X64" t="str">
        <f t="shared" si="1"/>
        <v>管理费用-劳务费</v>
      </c>
      <c r="AJ64">
        <v>58</v>
      </c>
      <c r="AK64" s="1316" t="s">
        <v>6224</v>
      </c>
      <c r="AL64" t="s">
        <v>6166</v>
      </c>
      <c r="AM64" t="s">
        <v>6166</v>
      </c>
    </row>
    <row r="65" spans="21:39" ht="14.25" customHeight="1">
      <c r="V65" t="s">
        <v>6536</v>
      </c>
      <c r="W65" t="s">
        <v>6234</v>
      </c>
      <c r="X65" t="str">
        <f t="shared" si="1"/>
        <v>管理费用-咨询顾问费</v>
      </c>
      <c r="AJ65">
        <v>59</v>
      </c>
      <c r="AK65" s="1316" t="s">
        <v>6225</v>
      </c>
      <c r="AL65" t="s">
        <v>1230</v>
      </c>
      <c r="AM65" t="s">
        <v>1230</v>
      </c>
    </row>
    <row r="66" spans="21:39" ht="14.25" customHeight="1">
      <c r="V66" t="s">
        <v>6537</v>
      </c>
      <c r="W66" t="s">
        <v>6237</v>
      </c>
      <c r="X66" t="str">
        <f t="shared" si="1"/>
        <v>管理费用-佣金和手续费</v>
      </c>
      <c r="AJ66">
        <v>60</v>
      </c>
      <c r="AK66" s="1316" t="s">
        <v>6226</v>
      </c>
      <c r="AL66" t="s">
        <v>6167</v>
      </c>
      <c r="AM66" t="s">
        <v>6167</v>
      </c>
    </row>
    <row r="67" spans="21:39" ht="14.25" customHeight="1">
      <c r="V67" t="s">
        <v>6538</v>
      </c>
      <c r="W67" t="s">
        <v>6241</v>
      </c>
      <c r="X67" t="str">
        <f t="shared" si="1"/>
        <v>管理费用-办公费</v>
      </c>
      <c r="AJ67">
        <v>61</v>
      </c>
      <c r="AK67" s="1316" t="s">
        <v>6227</v>
      </c>
      <c r="AL67" t="s">
        <v>6168</v>
      </c>
      <c r="AM67" t="s">
        <v>6168</v>
      </c>
    </row>
    <row r="68" spans="21:39" ht="14.25" customHeight="1">
      <c r="U68" s="1702"/>
      <c r="V68" t="s">
        <v>6539</v>
      </c>
      <c r="W68" t="s">
        <v>6242</v>
      </c>
      <c r="X68" t="str">
        <f t="shared" si="1"/>
        <v>管理费用-董事会费</v>
      </c>
      <c r="AJ68" s="1702" t="s">
        <v>6257</v>
      </c>
      <c r="AK68" s="1324" t="s">
        <v>6364</v>
      </c>
      <c r="AL68" t="s">
        <v>224</v>
      </c>
      <c r="AM68" s="1324" t="s">
        <v>6365</v>
      </c>
    </row>
    <row r="69" spans="21:39" ht="14.25" customHeight="1">
      <c r="U69" s="1702"/>
      <c r="V69" t="s">
        <v>6540</v>
      </c>
      <c r="W69" t="s">
        <v>6244</v>
      </c>
      <c r="X69" t="str">
        <f t="shared" si="1"/>
        <v>管理费用-诉讼费</v>
      </c>
      <c r="AJ69" s="1702" t="s">
        <v>1868</v>
      </c>
      <c r="AK69" s="1324" t="s">
        <v>6366</v>
      </c>
      <c r="AL69" t="s">
        <v>1270</v>
      </c>
      <c r="AM69" s="1324" t="s">
        <v>6367</v>
      </c>
    </row>
    <row r="70" spans="21:39" ht="14.25" customHeight="1">
      <c r="U70" s="1702"/>
      <c r="V70" t="s">
        <v>6541</v>
      </c>
      <c r="W70" t="s">
        <v>6245</v>
      </c>
      <c r="X70" t="str">
        <f t="shared" si="1"/>
        <v>管理费用-差旅费</v>
      </c>
      <c r="AJ70" s="1702" t="s">
        <v>6258</v>
      </c>
      <c r="AK70" s="1324" t="s">
        <v>6368</v>
      </c>
      <c r="AL70" t="s">
        <v>710</v>
      </c>
      <c r="AM70" s="1324" t="s">
        <v>6369</v>
      </c>
    </row>
    <row r="71" spans="21:39" ht="14.25" customHeight="1">
      <c r="U71" s="1702"/>
      <c r="V71" t="s">
        <v>6542</v>
      </c>
      <c r="W71" t="s">
        <v>6246</v>
      </c>
      <c r="X71" t="str">
        <f t="shared" si="1"/>
        <v>管理费用-保险费</v>
      </c>
      <c r="AJ71" s="1702" t="s">
        <v>6259</v>
      </c>
      <c r="AK71" s="1324" t="s">
        <v>6370</v>
      </c>
      <c r="AL71" t="s">
        <v>226</v>
      </c>
      <c r="AM71" s="1324" t="s">
        <v>6371</v>
      </c>
    </row>
    <row r="72" spans="21:39" ht="14.25" customHeight="1">
      <c r="U72" s="1702"/>
      <c r="V72" t="s">
        <v>6543</v>
      </c>
      <c r="W72" t="s">
        <v>6516</v>
      </c>
      <c r="X72" t="str">
        <f t="shared" si="1"/>
        <v>管理费用-运输、仓储费</v>
      </c>
      <c r="AJ72" s="1702" t="s">
        <v>6260</v>
      </c>
      <c r="AK72" s="1324" t="s">
        <v>6372</v>
      </c>
      <c r="AL72" t="s">
        <v>230</v>
      </c>
      <c r="AM72" s="1324" t="s">
        <v>6373</v>
      </c>
    </row>
    <row r="73" spans="21:39" ht="14.25" customHeight="1">
      <c r="U73" s="1702"/>
      <c r="V73" t="s">
        <v>6544</v>
      </c>
      <c r="W73" t="s">
        <v>6249</v>
      </c>
      <c r="X73" t="str">
        <f t="shared" si="1"/>
        <v>管理费用-修理费</v>
      </c>
      <c r="AJ73" s="1702" t="s">
        <v>6261</v>
      </c>
      <c r="AK73" s="1324" t="s">
        <v>6374</v>
      </c>
      <c r="AL73" t="s">
        <v>2362</v>
      </c>
      <c r="AM73" s="1324" t="s">
        <v>6375</v>
      </c>
    </row>
    <row r="74" spans="21:39" ht="14.25" customHeight="1">
      <c r="U74" s="1702"/>
      <c r="V74" t="s">
        <v>6545</v>
      </c>
      <c r="W74" t="s">
        <v>6250</v>
      </c>
      <c r="X74" t="str">
        <f t="shared" si="1"/>
        <v>管理费用-包装费</v>
      </c>
      <c r="AJ74" s="1702" t="s">
        <v>6262</v>
      </c>
      <c r="AK74" s="1324" t="s">
        <v>6376</v>
      </c>
      <c r="AL74" t="s">
        <v>1277</v>
      </c>
      <c r="AM74" s="1324" t="s">
        <v>6377</v>
      </c>
    </row>
    <row r="75" spans="21:39" ht="14.25" customHeight="1">
      <c r="U75" s="1702"/>
      <c r="V75" t="s">
        <v>6546</v>
      </c>
      <c r="W75" t="s">
        <v>6251</v>
      </c>
      <c r="X75" t="str">
        <f t="shared" si="1"/>
        <v>管理费用-技术转让费</v>
      </c>
      <c r="AJ75" s="1702" t="s">
        <v>6263</v>
      </c>
      <c r="AK75" s="1324" t="s">
        <v>6378</v>
      </c>
      <c r="AL75" t="s">
        <v>184</v>
      </c>
      <c r="AM75" s="1324" t="s">
        <v>6379</v>
      </c>
    </row>
    <row r="76" spans="21:39" ht="14.25" customHeight="1">
      <c r="U76" s="1702"/>
      <c r="V76" t="s">
        <v>6547</v>
      </c>
      <c r="W76" s="1326" t="s">
        <v>6252</v>
      </c>
      <c r="X76" t="str">
        <f t="shared" si="1"/>
        <v>管理费用-研究费用</v>
      </c>
      <c r="AJ76" s="1702" t="s">
        <v>6264</v>
      </c>
      <c r="AK76" s="1324" t="s">
        <v>6380</v>
      </c>
      <c r="AL76" s="1326" t="s">
        <v>6363</v>
      </c>
      <c r="AM76" s="1324" t="s">
        <v>6381</v>
      </c>
    </row>
    <row r="77" spans="21:39" ht="14.25" customHeight="1">
      <c r="U77" s="1702"/>
      <c r="V77" t="s">
        <v>6548</v>
      </c>
      <c r="W77" t="s">
        <v>1295</v>
      </c>
      <c r="X77" t="str">
        <f t="shared" si="1"/>
        <v>管理费用-其他</v>
      </c>
      <c r="AJ77" s="1702" t="s">
        <v>6265</v>
      </c>
      <c r="AK77" s="1324" t="s">
        <v>6382</v>
      </c>
      <c r="AL77" t="s">
        <v>1272</v>
      </c>
      <c r="AM77" s="1324" t="s">
        <v>6383</v>
      </c>
    </row>
    <row r="78" spans="21:39" ht="14.25" customHeight="1">
      <c r="U78" s="1702"/>
      <c r="V78" t="s">
        <v>6230</v>
      </c>
      <c r="W78" t="s">
        <v>966</v>
      </c>
      <c r="X78" t="s">
        <v>966</v>
      </c>
      <c r="AJ78" s="1702" t="s">
        <v>6266</v>
      </c>
      <c r="AK78" s="1324" t="s">
        <v>6384</v>
      </c>
      <c r="AL78" t="s">
        <v>6361</v>
      </c>
      <c r="AM78" s="1324" t="s">
        <v>6385</v>
      </c>
    </row>
    <row r="79" spans="21:39" ht="14.25" customHeight="1">
      <c r="U79" s="1702"/>
      <c r="V79" t="s">
        <v>6390</v>
      </c>
      <c r="W79" t="s">
        <v>482</v>
      </c>
      <c r="X79" t="str">
        <f>$X$78&amp;"-"&amp;W79</f>
        <v>财务费用-金融机构手续费</v>
      </c>
      <c r="AJ79" s="1702" t="s">
        <v>6267</v>
      </c>
      <c r="AK79" s="1324" t="s">
        <v>6386</v>
      </c>
      <c r="AL79" t="s">
        <v>6362</v>
      </c>
      <c r="AM79" s="1324" t="s">
        <v>6387</v>
      </c>
    </row>
    <row r="80" spans="21:39" ht="14.25" customHeight="1">
      <c r="U80" s="1702"/>
      <c r="V80" t="s">
        <v>6392</v>
      </c>
      <c r="W80" s="1326" t="s">
        <v>6551</v>
      </c>
      <c r="X80" t="str">
        <f t="shared" ref="X80:X85" si="2">$X$78&amp;"-"&amp;W80</f>
        <v>财务费用-利息收入</v>
      </c>
      <c r="AJ80" s="1702" t="s">
        <v>6268</v>
      </c>
      <c r="AK80" s="1324" t="s">
        <v>6388</v>
      </c>
      <c r="AL80" s="1326" t="s">
        <v>5911</v>
      </c>
      <c r="AM80" s="1324" t="s">
        <v>6389</v>
      </c>
    </row>
    <row r="81" spans="21:39" ht="14.25" customHeight="1">
      <c r="V81" t="s">
        <v>6394</v>
      </c>
      <c r="W81" s="1326" t="s">
        <v>6552</v>
      </c>
      <c r="X81" t="str">
        <f t="shared" si="2"/>
        <v>财务费用-利息支出</v>
      </c>
      <c r="AJ81">
        <v>62</v>
      </c>
      <c r="AK81" s="1316" t="s">
        <v>6228</v>
      </c>
      <c r="AL81" t="s">
        <v>5050</v>
      </c>
      <c r="AM81" t="s">
        <v>5050</v>
      </c>
    </row>
    <row r="82" spans="21:39" ht="14.25" customHeight="1">
      <c r="U82" s="1702"/>
      <c r="V82" t="s">
        <v>6396</v>
      </c>
      <c r="W82" s="1326" t="s">
        <v>6553</v>
      </c>
      <c r="X82" t="str">
        <f t="shared" si="2"/>
        <v>财务费用-汇兑收益</v>
      </c>
      <c r="AJ82" s="1702" t="s">
        <v>6257</v>
      </c>
      <c r="AK82" s="1324" t="s">
        <v>6277</v>
      </c>
      <c r="AL82" t="s">
        <v>5909</v>
      </c>
      <c r="AM82" t="s">
        <v>6298</v>
      </c>
    </row>
    <row r="83" spans="21:39" ht="14.25" customHeight="1">
      <c r="U83" s="1702"/>
      <c r="V83" t="s">
        <v>6398</v>
      </c>
      <c r="W83" s="1326" t="s">
        <v>6554</v>
      </c>
      <c r="X83" t="str">
        <f t="shared" si="2"/>
        <v>财务费用-汇兑损失</v>
      </c>
      <c r="AJ83" s="1702" t="s">
        <v>1868</v>
      </c>
      <c r="AK83" s="1324" t="s">
        <v>6278</v>
      </c>
      <c r="AL83" t="s">
        <v>6233</v>
      </c>
      <c r="AM83" t="s">
        <v>6299</v>
      </c>
    </row>
    <row r="84" spans="21:39" ht="14.25" customHeight="1">
      <c r="U84" s="1702"/>
      <c r="V84" t="s">
        <v>6555</v>
      </c>
      <c r="W84" t="s">
        <v>6256</v>
      </c>
      <c r="X84" t="str">
        <f t="shared" si="2"/>
        <v>财务费用-现金折扣</v>
      </c>
      <c r="AJ84" s="1702" t="s">
        <v>6258</v>
      </c>
      <c r="AK84" s="1324" t="s">
        <v>6279</v>
      </c>
      <c r="AL84" t="s">
        <v>6234</v>
      </c>
      <c r="AM84" t="s">
        <v>6300</v>
      </c>
    </row>
    <row r="85" spans="21:39" ht="14.25" customHeight="1">
      <c r="U85" s="1702"/>
      <c r="V85" t="s">
        <v>6556</v>
      </c>
      <c r="W85" t="s">
        <v>1295</v>
      </c>
      <c r="X85" t="str">
        <f t="shared" si="2"/>
        <v>财务费用-其他</v>
      </c>
      <c r="AJ85" s="1702" t="s">
        <v>6259</v>
      </c>
      <c r="AK85" s="1324" t="s">
        <v>6280</v>
      </c>
      <c r="AL85" t="s">
        <v>6235</v>
      </c>
      <c r="AM85" t="s">
        <v>6301</v>
      </c>
    </row>
    <row r="86" spans="21:39" ht="14.25" customHeight="1">
      <c r="U86" s="1702"/>
      <c r="V86" s="1324"/>
      <c r="AJ86" s="1702" t="s">
        <v>6260</v>
      </c>
      <c r="AK86" s="1324" t="s">
        <v>6281</v>
      </c>
      <c r="AL86" t="s">
        <v>6236</v>
      </c>
      <c r="AM86" t="s">
        <v>6302</v>
      </c>
    </row>
    <row r="87" spans="21:39" ht="14.25" customHeight="1">
      <c r="U87" s="1702"/>
      <c r="V87" s="1324"/>
      <c r="AJ87" s="1702" t="s">
        <v>6261</v>
      </c>
      <c r="AK87" s="1324" t="s">
        <v>6282</v>
      </c>
      <c r="AL87" t="s">
        <v>6237</v>
      </c>
      <c r="AM87" t="s">
        <v>6303</v>
      </c>
    </row>
    <row r="88" spans="21:39" ht="14.25" customHeight="1">
      <c r="U88" s="1702"/>
      <c r="V88" s="1324"/>
      <c r="AJ88" s="1702" t="s">
        <v>6262</v>
      </c>
      <c r="AK88" s="1324" t="s">
        <v>6283</v>
      </c>
      <c r="AL88" t="s">
        <v>6238</v>
      </c>
      <c r="AM88" t="s">
        <v>6304</v>
      </c>
    </row>
    <row r="89" spans="21:39" ht="14.25" customHeight="1">
      <c r="U89" s="1702"/>
      <c r="V89" s="1324"/>
      <c r="AJ89" s="1702" t="s">
        <v>6263</v>
      </c>
      <c r="AK89" s="1324" t="s">
        <v>6284</v>
      </c>
      <c r="AL89" t="s">
        <v>6239</v>
      </c>
      <c r="AM89" t="s">
        <v>6305</v>
      </c>
    </row>
    <row r="90" spans="21:39" ht="14.25" customHeight="1">
      <c r="U90" s="1702"/>
      <c r="V90" s="1324"/>
      <c r="AJ90" s="1702" t="s">
        <v>6264</v>
      </c>
      <c r="AK90" s="1324" t="s">
        <v>6285</v>
      </c>
      <c r="AL90" t="s">
        <v>6241</v>
      </c>
      <c r="AM90" t="s">
        <v>6306</v>
      </c>
    </row>
    <row r="91" spans="21:39" ht="14.25" customHeight="1">
      <c r="U91" s="1702"/>
      <c r="V91" s="1324"/>
      <c r="AJ91" s="1702" t="s">
        <v>6265</v>
      </c>
      <c r="AK91" s="1324" t="s">
        <v>6286</v>
      </c>
      <c r="AL91" t="s">
        <v>6242</v>
      </c>
      <c r="AM91" t="s">
        <v>6307</v>
      </c>
    </row>
    <row r="92" spans="21:39" ht="14.25" customHeight="1">
      <c r="U92" s="1702"/>
      <c r="V92" s="1324"/>
      <c r="AJ92" s="1702" t="s">
        <v>6266</v>
      </c>
      <c r="AK92" s="1324" t="s">
        <v>6287</v>
      </c>
      <c r="AL92" t="s">
        <v>6243</v>
      </c>
      <c r="AM92" t="s">
        <v>6308</v>
      </c>
    </row>
    <row r="93" spans="21:39" ht="14.25" customHeight="1">
      <c r="U93" s="1702"/>
      <c r="V93" s="1324"/>
      <c r="AJ93" s="1702" t="s">
        <v>6267</v>
      </c>
      <c r="AK93" s="1324" t="s">
        <v>6288</v>
      </c>
      <c r="AL93" t="s">
        <v>6244</v>
      </c>
      <c r="AM93" t="s">
        <v>6309</v>
      </c>
    </row>
    <row r="94" spans="21:39" ht="14.25" customHeight="1">
      <c r="U94" s="1702"/>
      <c r="V94" s="1324"/>
      <c r="AJ94" s="1702" t="s">
        <v>6268</v>
      </c>
      <c r="AK94" s="1324" t="s">
        <v>6289</v>
      </c>
      <c r="AL94" t="s">
        <v>6245</v>
      </c>
      <c r="AM94" t="s">
        <v>6310</v>
      </c>
    </row>
    <row r="95" spans="21:39" ht="14.25" customHeight="1">
      <c r="U95" s="1702"/>
      <c r="V95" s="1324"/>
      <c r="AJ95" s="1702" t="s">
        <v>6269</v>
      </c>
      <c r="AK95" s="1324" t="s">
        <v>6290</v>
      </c>
      <c r="AL95" t="s">
        <v>6246</v>
      </c>
      <c r="AM95" t="s">
        <v>6311</v>
      </c>
    </row>
    <row r="96" spans="21:39" ht="14.25" customHeight="1">
      <c r="U96" s="1702"/>
      <c r="V96" s="1324"/>
      <c r="AJ96" s="1702" t="s">
        <v>6270</v>
      </c>
      <c r="AK96" s="1324" t="s">
        <v>6291</v>
      </c>
      <c r="AL96" t="s">
        <v>6247</v>
      </c>
      <c r="AM96" t="s">
        <v>6312</v>
      </c>
    </row>
    <row r="97" spans="21:39" ht="14.25" customHeight="1">
      <c r="U97" s="1702"/>
      <c r="V97" s="1324"/>
      <c r="AJ97" s="1702" t="s">
        <v>6271</v>
      </c>
      <c r="AK97" s="1324" t="s">
        <v>6292</v>
      </c>
      <c r="AL97" t="s">
        <v>6249</v>
      </c>
      <c r="AM97" t="s">
        <v>6313</v>
      </c>
    </row>
    <row r="98" spans="21:39" ht="14.25" customHeight="1">
      <c r="U98" s="1702"/>
      <c r="V98" s="1324"/>
      <c r="AJ98" s="1702" t="s">
        <v>6272</v>
      </c>
      <c r="AK98" s="1324" t="s">
        <v>6293</v>
      </c>
      <c r="AL98" t="s">
        <v>6250</v>
      </c>
      <c r="AM98" t="s">
        <v>6314</v>
      </c>
    </row>
    <row r="99" spans="21:39" ht="14.25" customHeight="1">
      <c r="U99" s="1702"/>
      <c r="V99" s="1324"/>
      <c r="AJ99" s="1702" t="s">
        <v>6273</v>
      </c>
      <c r="AK99" s="1324" t="s">
        <v>6294</v>
      </c>
      <c r="AL99" t="s">
        <v>6251</v>
      </c>
      <c r="AM99" t="s">
        <v>6315</v>
      </c>
    </row>
    <row r="100" spans="21:39" ht="14.25" customHeight="1">
      <c r="U100" s="1702"/>
      <c r="V100" s="1324"/>
      <c r="AJ100" s="1702" t="s">
        <v>6274</v>
      </c>
      <c r="AK100" s="1324" t="s">
        <v>6295</v>
      </c>
      <c r="AL100" t="s">
        <v>6252</v>
      </c>
      <c r="AM100" t="s">
        <v>6316</v>
      </c>
    </row>
    <row r="101" spans="21:39" ht="14.25" customHeight="1">
      <c r="U101" s="1702"/>
      <c r="V101" s="1324"/>
      <c r="AJ101" s="1702" t="s">
        <v>6275</v>
      </c>
      <c r="AK101" s="1324" t="s">
        <v>6296</v>
      </c>
      <c r="AL101" t="s">
        <v>6253</v>
      </c>
      <c r="AM101" t="s">
        <v>6317</v>
      </c>
    </row>
    <row r="102" spans="21:39" ht="14.25" customHeight="1">
      <c r="U102" s="1702"/>
      <c r="V102" s="1324"/>
      <c r="AJ102" s="1702" t="s">
        <v>6276</v>
      </c>
      <c r="AK102" s="1324" t="s">
        <v>6297</v>
      </c>
      <c r="AL102" t="s">
        <v>1295</v>
      </c>
      <c r="AM102" t="s">
        <v>6318</v>
      </c>
    </row>
    <row r="103" spans="21:39" ht="14.25" customHeight="1">
      <c r="V103" s="1316"/>
      <c r="AJ103">
        <v>63</v>
      </c>
      <c r="AK103" s="1316" t="s">
        <v>6229</v>
      </c>
      <c r="AL103" t="s">
        <v>1292</v>
      </c>
      <c r="AM103" t="s">
        <v>1292</v>
      </c>
    </row>
    <row r="104" spans="21:39" ht="14.25" customHeight="1">
      <c r="V104" s="1324"/>
      <c r="AJ104" t="s">
        <v>1867</v>
      </c>
      <c r="AK104" s="1324" t="s">
        <v>6319</v>
      </c>
      <c r="AL104" t="s">
        <v>5909</v>
      </c>
      <c r="AM104" t="s">
        <v>6320</v>
      </c>
    </row>
    <row r="105" spans="21:39" ht="14.25" customHeight="1">
      <c r="V105" s="1324"/>
      <c r="AJ105" t="s">
        <v>1868</v>
      </c>
      <c r="AK105" s="1324" t="s">
        <v>6321</v>
      </c>
      <c r="AL105" t="s">
        <v>6233</v>
      </c>
      <c r="AM105" t="s">
        <v>6322</v>
      </c>
    </row>
    <row r="106" spans="21:39" ht="14.25" customHeight="1">
      <c r="V106" s="1324"/>
      <c r="AJ106" t="s">
        <v>6258</v>
      </c>
      <c r="AK106" s="1324" t="s">
        <v>6323</v>
      </c>
      <c r="AL106" t="s">
        <v>6234</v>
      </c>
      <c r="AM106" t="s">
        <v>6324</v>
      </c>
    </row>
    <row r="107" spans="21:39" ht="14.25" customHeight="1">
      <c r="V107" s="1324"/>
      <c r="AJ107" t="s">
        <v>6259</v>
      </c>
      <c r="AK107" s="1324" t="s">
        <v>6325</v>
      </c>
      <c r="AL107" t="s">
        <v>6235</v>
      </c>
      <c r="AM107" t="s">
        <v>6326</v>
      </c>
    </row>
    <row r="108" spans="21:39" ht="14.25" customHeight="1">
      <c r="V108" s="1324"/>
      <c r="AJ108" t="s">
        <v>6260</v>
      </c>
      <c r="AK108" s="1324" t="s">
        <v>6327</v>
      </c>
      <c r="AL108" t="s">
        <v>6236</v>
      </c>
      <c r="AM108" t="s">
        <v>6328</v>
      </c>
    </row>
    <row r="109" spans="21:39" ht="14.25" customHeight="1">
      <c r="V109" s="1324"/>
      <c r="AJ109" t="s">
        <v>6261</v>
      </c>
      <c r="AK109" s="1324" t="s">
        <v>6329</v>
      </c>
      <c r="AL109" t="s">
        <v>6237</v>
      </c>
      <c r="AM109" t="s">
        <v>6330</v>
      </c>
    </row>
    <row r="110" spans="21:39" ht="14.25" customHeight="1">
      <c r="V110" s="1324"/>
      <c r="AJ110" t="s">
        <v>6262</v>
      </c>
      <c r="AK110" s="1324" t="s">
        <v>6331</v>
      </c>
      <c r="AL110" t="s">
        <v>6238</v>
      </c>
      <c r="AM110" t="s">
        <v>6332</v>
      </c>
    </row>
    <row r="111" spans="21:39" ht="14.25" customHeight="1">
      <c r="V111" s="1324"/>
      <c r="AJ111" t="s">
        <v>6263</v>
      </c>
      <c r="AK111" s="1324" t="s">
        <v>6333</v>
      </c>
      <c r="AL111" t="s">
        <v>6239</v>
      </c>
      <c r="AM111" t="s">
        <v>6334</v>
      </c>
    </row>
    <row r="112" spans="21:39" ht="14.25" customHeight="1">
      <c r="V112" s="1324"/>
      <c r="AJ112" t="s">
        <v>6264</v>
      </c>
      <c r="AK112" s="1324" t="s">
        <v>6335</v>
      </c>
      <c r="AL112" t="s">
        <v>6241</v>
      </c>
      <c r="AM112" t="s">
        <v>6336</v>
      </c>
    </row>
    <row r="113" spans="22:39" ht="14.25" customHeight="1">
      <c r="V113" s="1324"/>
      <c r="AJ113" t="s">
        <v>6265</v>
      </c>
      <c r="AK113" s="1324" t="s">
        <v>6337</v>
      </c>
      <c r="AL113" t="s">
        <v>6242</v>
      </c>
      <c r="AM113" t="s">
        <v>6338</v>
      </c>
    </row>
    <row r="114" spans="22:39" ht="14.25" customHeight="1">
      <c r="V114" s="1324"/>
      <c r="AJ114" t="s">
        <v>6266</v>
      </c>
      <c r="AK114" s="1324" t="s">
        <v>6339</v>
      </c>
      <c r="AL114" t="s">
        <v>6243</v>
      </c>
      <c r="AM114" t="s">
        <v>6340</v>
      </c>
    </row>
    <row r="115" spans="22:39" ht="14.25" customHeight="1">
      <c r="V115" s="1324"/>
      <c r="AJ115" t="s">
        <v>6267</v>
      </c>
      <c r="AK115" s="1324" t="s">
        <v>6341</v>
      </c>
      <c r="AL115" t="s">
        <v>6244</v>
      </c>
      <c r="AM115" t="s">
        <v>6342</v>
      </c>
    </row>
    <row r="116" spans="22:39" ht="14.25" customHeight="1">
      <c r="V116" s="1324"/>
      <c r="AJ116" t="s">
        <v>6268</v>
      </c>
      <c r="AK116" s="1324" t="s">
        <v>6343</v>
      </c>
      <c r="AL116" t="s">
        <v>6245</v>
      </c>
      <c r="AM116" t="s">
        <v>6344</v>
      </c>
    </row>
    <row r="117" spans="22:39" ht="14.25" customHeight="1">
      <c r="V117" s="1324"/>
      <c r="AJ117" t="s">
        <v>6269</v>
      </c>
      <c r="AK117" s="1324" t="s">
        <v>6345</v>
      </c>
      <c r="AL117" t="s">
        <v>6246</v>
      </c>
      <c r="AM117" t="s">
        <v>6346</v>
      </c>
    </row>
    <row r="118" spans="22:39" ht="14.25" customHeight="1">
      <c r="V118" s="1324"/>
      <c r="AJ118" t="s">
        <v>6270</v>
      </c>
      <c r="AK118" s="1324" t="s">
        <v>6347</v>
      </c>
      <c r="AL118" t="s">
        <v>6247</v>
      </c>
      <c r="AM118" t="s">
        <v>6348</v>
      </c>
    </row>
    <row r="119" spans="22:39" ht="14.25" customHeight="1">
      <c r="V119" s="1324"/>
      <c r="AJ119" t="s">
        <v>6271</v>
      </c>
      <c r="AK119" s="1324" t="s">
        <v>6349</v>
      </c>
      <c r="AL119" t="s">
        <v>6249</v>
      </c>
      <c r="AM119" t="s">
        <v>6350</v>
      </c>
    </row>
    <row r="120" spans="22:39" ht="14.25" customHeight="1">
      <c r="V120" s="1324"/>
      <c r="AJ120" t="s">
        <v>6272</v>
      </c>
      <c r="AK120" s="1324" t="s">
        <v>6351</v>
      </c>
      <c r="AL120" t="s">
        <v>6250</v>
      </c>
      <c r="AM120" t="s">
        <v>6352</v>
      </c>
    </row>
    <row r="121" spans="22:39" ht="14.25" customHeight="1">
      <c r="V121" s="1324"/>
      <c r="AJ121" t="s">
        <v>6273</v>
      </c>
      <c r="AK121" s="1324" t="s">
        <v>6353</v>
      </c>
      <c r="AL121" t="s">
        <v>6251</v>
      </c>
      <c r="AM121" t="s">
        <v>6354</v>
      </c>
    </row>
    <row r="122" spans="22:39" ht="14.25" customHeight="1">
      <c r="V122" s="1324"/>
      <c r="AJ122" t="s">
        <v>6274</v>
      </c>
      <c r="AK122" s="1324" t="s">
        <v>6355</v>
      </c>
      <c r="AL122" t="s">
        <v>6252</v>
      </c>
      <c r="AM122" t="s">
        <v>6356</v>
      </c>
    </row>
    <row r="123" spans="22:39" ht="14.25" customHeight="1">
      <c r="V123" s="1324"/>
      <c r="AJ123" t="s">
        <v>6275</v>
      </c>
      <c r="AK123" s="1324" t="s">
        <v>6357</v>
      </c>
      <c r="AL123" t="s">
        <v>6253</v>
      </c>
      <c r="AM123" t="s">
        <v>6358</v>
      </c>
    </row>
    <row r="124" spans="22:39" ht="14.25" customHeight="1">
      <c r="V124" s="1324"/>
      <c r="AJ124" t="s">
        <v>6276</v>
      </c>
      <c r="AK124" s="1324" t="s">
        <v>6359</v>
      </c>
      <c r="AL124" t="s">
        <v>1295</v>
      </c>
      <c r="AM124" t="s">
        <v>6360</v>
      </c>
    </row>
    <row r="125" spans="22:39" ht="14.25" customHeight="1">
      <c r="V125" s="1316"/>
      <c r="AJ125">
        <v>64</v>
      </c>
      <c r="AK125" s="1316" t="s">
        <v>6230</v>
      </c>
      <c r="AL125" t="s">
        <v>966</v>
      </c>
      <c r="AM125" t="s">
        <v>966</v>
      </c>
    </row>
    <row r="126" spans="22:39" ht="14.25" customHeight="1">
      <c r="V126" s="1324"/>
      <c r="AJ126" t="s">
        <v>1867</v>
      </c>
      <c r="AK126" s="1324" t="s">
        <v>6390</v>
      </c>
      <c r="AL126" t="s">
        <v>6237</v>
      </c>
      <c r="AM126" t="s">
        <v>6391</v>
      </c>
    </row>
    <row r="127" spans="22:39" ht="14.25" customHeight="1">
      <c r="V127" s="1324"/>
      <c r="AJ127" t="s">
        <v>1868</v>
      </c>
      <c r="AK127" s="1324" t="s">
        <v>6392</v>
      </c>
      <c r="AL127" t="s">
        <v>6254</v>
      </c>
      <c r="AM127" t="s">
        <v>6393</v>
      </c>
    </row>
    <row r="128" spans="22:39" ht="14.25" customHeight="1">
      <c r="V128" s="1324"/>
      <c r="AJ128" t="s">
        <v>6258</v>
      </c>
      <c r="AK128" s="1324" t="s">
        <v>6394</v>
      </c>
      <c r="AL128" t="s">
        <v>6255</v>
      </c>
      <c r="AM128" t="s">
        <v>6395</v>
      </c>
    </row>
    <row r="129" spans="22:39" ht="14.25" customHeight="1">
      <c r="V129" s="1324"/>
      <c r="AJ129" t="s">
        <v>6259</v>
      </c>
      <c r="AK129" s="1324" t="s">
        <v>6396</v>
      </c>
      <c r="AL129" t="s">
        <v>6256</v>
      </c>
      <c r="AM129" t="s">
        <v>6397</v>
      </c>
    </row>
    <row r="130" spans="22:39" ht="14.25" customHeight="1">
      <c r="V130" s="1324"/>
      <c r="AJ130" t="s">
        <v>6260</v>
      </c>
      <c r="AK130" s="1324" t="s">
        <v>6398</v>
      </c>
      <c r="AL130" t="s">
        <v>1295</v>
      </c>
      <c r="AM130" t="s">
        <v>6399</v>
      </c>
    </row>
    <row r="131" spans="22:39" ht="14.25" customHeight="1">
      <c r="V131" s="1316"/>
      <c r="AJ131">
        <v>65</v>
      </c>
      <c r="AK131" s="1316" t="s">
        <v>6231</v>
      </c>
      <c r="AL131" t="s">
        <v>494</v>
      </c>
      <c r="AM131" t="s">
        <v>494</v>
      </c>
    </row>
    <row r="132" spans="22:39" ht="14.25" customHeight="1">
      <c r="V132" s="1316"/>
      <c r="AJ132">
        <v>66</v>
      </c>
      <c r="AK132" s="1316" t="s">
        <v>6232</v>
      </c>
      <c r="AL132" t="s">
        <v>6169</v>
      </c>
      <c r="AM132" t="s">
        <v>6169</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19921875" defaultRowHeight="15.6"/>
  <cols>
    <col min="1" max="4" width="11.3984375" style="1327" bestFit="1" customWidth="1"/>
    <col min="5" max="5" width="13.5" style="1327" bestFit="1" customWidth="1"/>
    <col min="6" max="6" width="11.3984375" style="1327" bestFit="1" customWidth="1"/>
    <col min="7" max="7" width="7.3984375" style="1327" bestFit="1" customWidth="1"/>
    <col min="8" max="9" width="11.3984375" style="1327" bestFit="1" customWidth="1"/>
    <col min="10" max="10" width="11.3984375" bestFit="1" customWidth="1"/>
    <col min="11" max="11" width="15.69921875" bestFit="1" customWidth="1"/>
    <col min="12" max="12" width="11.3984375" bestFit="1" customWidth="1"/>
    <col min="13" max="13" width="13" customWidth="1"/>
    <col min="14" max="14" width="9" customWidth="1"/>
    <col min="15" max="15" width="13.69921875" customWidth="1"/>
    <col min="16" max="16" width="11.09765625" customWidth="1"/>
    <col min="17" max="17" width="9" customWidth="1"/>
    <col min="18" max="18" width="17.69921875" customWidth="1"/>
  </cols>
  <sheetData>
    <row r="1" spans="1:18">
      <c r="A1" s="2573" t="s">
        <v>7743</v>
      </c>
      <c r="B1" s="2573" t="s">
        <v>7744</v>
      </c>
      <c r="C1" s="2573" t="s">
        <v>7745</v>
      </c>
      <c r="D1" s="2573" t="s">
        <v>7746</v>
      </c>
      <c r="E1" s="2573" t="s">
        <v>7747</v>
      </c>
      <c r="F1" s="2573" t="s">
        <v>7748</v>
      </c>
      <c r="G1" s="2573" t="s">
        <v>7749</v>
      </c>
      <c r="H1" s="1467" t="s">
        <v>7750</v>
      </c>
      <c r="I1" s="2573" t="s">
        <v>7751</v>
      </c>
      <c r="J1" s="2573" t="s">
        <v>7752</v>
      </c>
      <c r="K1" s="2573" t="s">
        <v>7753</v>
      </c>
      <c r="L1" s="2573" t="s">
        <v>7754</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818" t="s">
        <v>9969</v>
      </c>
      <c r="P4" s="3818"/>
      <c r="Q4" s="3817" t="s">
        <v>2402</v>
      </c>
      <c r="R4" s="1326" t="s">
        <v>2400</v>
      </c>
    </row>
    <row r="5" spans="1:18">
      <c r="A5"/>
      <c r="B5"/>
      <c r="C5"/>
      <c r="D5"/>
      <c r="E5"/>
      <c r="F5"/>
      <c r="G5"/>
      <c r="H5"/>
      <c r="I5"/>
      <c r="O5" s="3818"/>
      <c r="P5" s="3818"/>
      <c r="Q5" s="3817"/>
      <c r="R5" s="1469" t="s">
        <v>2401</v>
      </c>
    </row>
    <row r="6" spans="1:18">
      <c r="A6"/>
      <c r="B6"/>
      <c r="C6"/>
      <c r="D6"/>
      <c r="E6"/>
      <c r="F6"/>
      <c r="G6"/>
      <c r="H6"/>
      <c r="I6"/>
      <c r="O6" s="3818"/>
      <c r="P6" s="3818"/>
      <c r="Q6" s="3817"/>
    </row>
    <row r="7" spans="1:18">
      <c r="A7"/>
      <c r="B7"/>
      <c r="C7"/>
      <c r="D7"/>
      <c r="E7"/>
      <c r="F7"/>
      <c r="G7"/>
      <c r="H7"/>
      <c r="I7"/>
      <c r="O7" s="3818"/>
      <c r="P7" s="3818"/>
      <c r="Q7" s="1468"/>
    </row>
    <row r="8" spans="1:18">
      <c r="A8"/>
      <c r="B8"/>
      <c r="C8"/>
      <c r="D8"/>
      <c r="E8"/>
      <c r="F8"/>
      <c r="G8"/>
      <c r="H8"/>
      <c r="I8"/>
      <c r="O8" s="3818"/>
      <c r="P8" s="3818"/>
    </row>
    <row r="9" spans="1:18">
      <c r="A9"/>
      <c r="B9"/>
      <c r="C9"/>
      <c r="D9"/>
      <c r="E9"/>
      <c r="F9"/>
      <c r="G9"/>
      <c r="H9"/>
      <c r="I9"/>
      <c r="O9" s="3818"/>
      <c r="P9" s="3818"/>
    </row>
    <row r="10" spans="1:18">
      <c r="A10"/>
      <c r="B10"/>
      <c r="C10"/>
      <c r="D10"/>
      <c r="E10"/>
      <c r="F10"/>
      <c r="G10"/>
      <c r="H10"/>
      <c r="I10"/>
      <c r="O10" s="3818"/>
      <c r="P10" s="3818"/>
    </row>
    <row r="11" spans="1:18">
      <c r="A11"/>
      <c r="B11"/>
      <c r="C11"/>
      <c r="D11"/>
      <c r="E11"/>
      <c r="F11"/>
      <c r="G11"/>
      <c r="H11"/>
      <c r="I11"/>
      <c r="O11" s="3818"/>
      <c r="P11" s="3818"/>
    </row>
    <row r="12" spans="1:18">
      <c r="A12"/>
      <c r="B12"/>
      <c r="C12"/>
      <c r="D12"/>
      <c r="E12"/>
      <c r="F12"/>
      <c r="G12"/>
      <c r="H12"/>
      <c r="I12"/>
      <c r="O12" s="3818"/>
      <c r="P12" s="3818"/>
    </row>
    <row r="13" spans="1:18">
      <c r="A13"/>
      <c r="B13"/>
      <c r="C13"/>
      <c r="D13"/>
      <c r="E13"/>
      <c r="F13"/>
      <c r="G13"/>
      <c r="H13"/>
      <c r="I13"/>
      <c r="O13" s="3818"/>
      <c r="P13" s="3818"/>
    </row>
    <row r="14" spans="1:18">
      <c r="A14"/>
      <c r="B14"/>
      <c r="C14"/>
      <c r="D14"/>
      <c r="E14"/>
      <c r="F14"/>
      <c r="G14"/>
      <c r="H14"/>
      <c r="I14"/>
      <c r="O14" s="3818"/>
      <c r="P14" s="3818"/>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5.6"/>
  <cols>
    <col min="1" max="1" width="6.09765625" style="1381" customWidth="1"/>
    <col min="2" max="2" width="19.8984375" style="1381" customWidth="1"/>
    <col min="3" max="3" width="20.69921875" style="1381" customWidth="1"/>
    <col min="4" max="4" width="18.5" style="1381" customWidth="1"/>
    <col min="5" max="5" width="15.69921875" style="1381" customWidth="1"/>
    <col min="6" max="6" width="16.09765625" style="1381" customWidth="1"/>
    <col min="7" max="7" width="18.09765625" style="1381" customWidth="1"/>
    <col min="8" max="8" width="9.19921875" style="1381" customWidth="1"/>
    <col min="9" max="9" width="18.09765625" style="1381" customWidth="1"/>
    <col min="10" max="10" width="15.19921875" style="1381" customWidth="1"/>
    <col min="11" max="256" width="9" style="1381"/>
    <col min="257" max="257" width="6.09765625" style="1381" customWidth="1"/>
    <col min="258" max="258" width="19.8984375" style="1381" customWidth="1"/>
    <col min="259" max="259" width="20.69921875" style="1381" customWidth="1"/>
    <col min="260" max="260" width="18.5" style="1381" customWidth="1"/>
    <col min="261" max="261" width="15.69921875" style="1381" customWidth="1"/>
    <col min="262" max="262" width="16.09765625" style="1381" customWidth="1"/>
    <col min="263" max="263" width="18.09765625" style="1381" customWidth="1"/>
    <col min="264" max="264" width="9.19921875" style="1381" customWidth="1"/>
    <col min="265" max="265" width="18.09765625" style="1381" customWidth="1"/>
    <col min="266" max="266" width="15.19921875" style="1381" customWidth="1"/>
    <col min="267" max="512" width="9" style="1381"/>
    <col min="513" max="513" width="6.09765625" style="1381" customWidth="1"/>
    <col min="514" max="514" width="19.8984375" style="1381" customWidth="1"/>
    <col min="515" max="515" width="20.69921875" style="1381" customWidth="1"/>
    <col min="516" max="516" width="18.5" style="1381" customWidth="1"/>
    <col min="517" max="517" width="15.69921875" style="1381" customWidth="1"/>
    <col min="518" max="518" width="16.09765625" style="1381" customWidth="1"/>
    <col min="519" max="519" width="18.09765625" style="1381" customWidth="1"/>
    <col min="520" max="520" width="9.19921875" style="1381" customWidth="1"/>
    <col min="521" max="521" width="18.09765625" style="1381" customWidth="1"/>
    <col min="522" max="522" width="15.19921875" style="1381" customWidth="1"/>
    <col min="523" max="768" width="9" style="1381"/>
    <col min="769" max="769" width="6.09765625" style="1381" customWidth="1"/>
    <col min="770" max="770" width="19.8984375" style="1381" customWidth="1"/>
    <col min="771" max="771" width="20.69921875" style="1381" customWidth="1"/>
    <col min="772" max="772" width="18.5" style="1381" customWidth="1"/>
    <col min="773" max="773" width="15.69921875" style="1381" customWidth="1"/>
    <col min="774" max="774" width="16.09765625" style="1381" customWidth="1"/>
    <col min="775" max="775" width="18.09765625" style="1381" customWidth="1"/>
    <col min="776" max="776" width="9.19921875" style="1381" customWidth="1"/>
    <col min="777" max="777" width="18.09765625" style="1381" customWidth="1"/>
    <col min="778" max="778" width="15.19921875" style="1381" customWidth="1"/>
    <col min="779" max="1024" width="9" style="1381"/>
    <col min="1025" max="1025" width="6.09765625" style="1381" customWidth="1"/>
    <col min="1026" max="1026" width="19.8984375" style="1381" customWidth="1"/>
    <col min="1027" max="1027" width="20.69921875" style="1381" customWidth="1"/>
    <col min="1028" max="1028" width="18.5" style="1381" customWidth="1"/>
    <col min="1029" max="1029" width="15.69921875" style="1381" customWidth="1"/>
    <col min="1030" max="1030" width="16.09765625" style="1381" customWidth="1"/>
    <col min="1031" max="1031" width="18.09765625" style="1381" customWidth="1"/>
    <col min="1032" max="1032" width="9.19921875" style="1381" customWidth="1"/>
    <col min="1033" max="1033" width="18.09765625" style="1381" customWidth="1"/>
    <col min="1034" max="1034" width="15.19921875" style="1381" customWidth="1"/>
    <col min="1035" max="1280" width="9" style="1381"/>
    <col min="1281" max="1281" width="6.09765625" style="1381" customWidth="1"/>
    <col min="1282" max="1282" width="19.8984375" style="1381" customWidth="1"/>
    <col min="1283" max="1283" width="20.69921875" style="1381" customWidth="1"/>
    <col min="1284" max="1284" width="18.5" style="1381" customWidth="1"/>
    <col min="1285" max="1285" width="15.69921875" style="1381" customWidth="1"/>
    <col min="1286" max="1286" width="16.09765625" style="1381" customWidth="1"/>
    <col min="1287" max="1287" width="18.09765625" style="1381" customWidth="1"/>
    <col min="1288" max="1288" width="9.19921875" style="1381" customWidth="1"/>
    <col min="1289" max="1289" width="18.09765625" style="1381" customWidth="1"/>
    <col min="1290" max="1290" width="15.19921875" style="1381" customWidth="1"/>
    <col min="1291" max="1536" width="9" style="1381"/>
    <col min="1537" max="1537" width="6.09765625" style="1381" customWidth="1"/>
    <col min="1538" max="1538" width="19.8984375" style="1381" customWidth="1"/>
    <col min="1539" max="1539" width="20.69921875" style="1381" customWidth="1"/>
    <col min="1540" max="1540" width="18.5" style="1381" customWidth="1"/>
    <col min="1541" max="1541" width="15.69921875" style="1381" customWidth="1"/>
    <col min="1542" max="1542" width="16.09765625" style="1381" customWidth="1"/>
    <col min="1543" max="1543" width="18.09765625" style="1381" customWidth="1"/>
    <col min="1544" max="1544" width="9.19921875" style="1381" customWidth="1"/>
    <col min="1545" max="1545" width="18.09765625" style="1381" customWidth="1"/>
    <col min="1546" max="1546" width="15.19921875" style="1381" customWidth="1"/>
    <col min="1547" max="1792" width="9" style="1381"/>
    <col min="1793" max="1793" width="6.09765625" style="1381" customWidth="1"/>
    <col min="1794" max="1794" width="19.8984375" style="1381" customWidth="1"/>
    <col min="1795" max="1795" width="20.69921875" style="1381" customWidth="1"/>
    <col min="1796" max="1796" width="18.5" style="1381" customWidth="1"/>
    <col min="1797" max="1797" width="15.69921875" style="1381" customWidth="1"/>
    <col min="1798" max="1798" width="16.09765625" style="1381" customWidth="1"/>
    <col min="1799" max="1799" width="18.09765625" style="1381" customWidth="1"/>
    <col min="1800" max="1800" width="9.19921875" style="1381" customWidth="1"/>
    <col min="1801" max="1801" width="18.09765625" style="1381" customWidth="1"/>
    <col min="1802" max="1802" width="15.19921875" style="1381" customWidth="1"/>
    <col min="1803" max="2048" width="9" style="1381"/>
    <col min="2049" max="2049" width="6.09765625" style="1381" customWidth="1"/>
    <col min="2050" max="2050" width="19.8984375" style="1381" customWidth="1"/>
    <col min="2051" max="2051" width="20.69921875" style="1381" customWidth="1"/>
    <col min="2052" max="2052" width="18.5" style="1381" customWidth="1"/>
    <col min="2053" max="2053" width="15.69921875" style="1381" customWidth="1"/>
    <col min="2054" max="2054" width="16.09765625" style="1381" customWidth="1"/>
    <col min="2055" max="2055" width="18.09765625" style="1381" customWidth="1"/>
    <col min="2056" max="2056" width="9.19921875" style="1381" customWidth="1"/>
    <col min="2057" max="2057" width="18.09765625" style="1381" customWidth="1"/>
    <col min="2058" max="2058" width="15.19921875" style="1381" customWidth="1"/>
    <col min="2059" max="2304" width="9" style="1381"/>
    <col min="2305" max="2305" width="6.09765625" style="1381" customWidth="1"/>
    <col min="2306" max="2306" width="19.8984375" style="1381" customWidth="1"/>
    <col min="2307" max="2307" width="20.69921875" style="1381" customWidth="1"/>
    <col min="2308" max="2308" width="18.5" style="1381" customWidth="1"/>
    <col min="2309" max="2309" width="15.69921875" style="1381" customWidth="1"/>
    <col min="2310" max="2310" width="16.09765625" style="1381" customWidth="1"/>
    <col min="2311" max="2311" width="18.09765625" style="1381" customWidth="1"/>
    <col min="2312" max="2312" width="9.19921875" style="1381" customWidth="1"/>
    <col min="2313" max="2313" width="18.09765625" style="1381" customWidth="1"/>
    <col min="2314" max="2314" width="15.19921875" style="1381" customWidth="1"/>
    <col min="2315" max="2560" width="9" style="1381"/>
    <col min="2561" max="2561" width="6.09765625" style="1381" customWidth="1"/>
    <col min="2562" max="2562" width="19.8984375" style="1381" customWidth="1"/>
    <col min="2563" max="2563" width="20.69921875" style="1381" customWidth="1"/>
    <col min="2564" max="2564" width="18.5" style="1381" customWidth="1"/>
    <col min="2565" max="2565" width="15.69921875" style="1381" customWidth="1"/>
    <col min="2566" max="2566" width="16.09765625" style="1381" customWidth="1"/>
    <col min="2567" max="2567" width="18.09765625" style="1381" customWidth="1"/>
    <col min="2568" max="2568" width="9.19921875" style="1381" customWidth="1"/>
    <col min="2569" max="2569" width="18.09765625" style="1381" customWidth="1"/>
    <col min="2570" max="2570" width="15.19921875" style="1381" customWidth="1"/>
    <col min="2571" max="2816" width="9" style="1381"/>
    <col min="2817" max="2817" width="6.09765625" style="1381" customWidth="1"/>
    <col min="2818" max="2818" width="19.8984375" style="1381" customWidth="1"/>
    <col min="2819" max="2819" width="20.69921875" style="1381" customWidth="1"/>
    <col min="2820" max="2820" width="18.5" style="1381" customWidth="1"/>
    <col min="2821" max="2821" width="15.69921875" style="1381" customWidth="1"/>
    <col min="2822" max="2822" width="16.09765625" style="1381" customWidth="1"/>
    <col min="2823" max="2823" width="18.09765625" style="1381" customWidth="1"/>
    <col min="2824" max="2824" width="9.19921875" style="1381" customWidth="1"/>
    <col min="2825" max="2825" width="18.09765625" style="1381" customWidth="1"/>
    <col min="2826" max="2826" width="15.19921875" style="1381" customWidth="1"/>
    <col min="2827" max="3072" width="9" style="1381"/>
    <col min="3073" max="3073" width="6.09765625" style="1381" customWidth="1"/>
    <col min="3074" max="3074" width="19.8984375" style="1381" customWidth="1"/>
    <col min="3075" max="3075" width="20.69921875" style="1381" customWidth="1"/>
    <col min="3076" max="3076" width="18.5" style="1381" customWidth="1"/>
    <col min="3077" max="3077" width="15.69921875" style="1381" customWidth="1"/>
    <col min="3078" max="3078" width="16.09765625" style="1381" customWidth="1"/>
    <col min="3079" max="3079" width="18.09765625" style="1381" customWidth="1"/>
    <col min="3080" max="3080" width="9.19921875" style="1381" customWidth="1"/>
    <col min="3081" max="3081" width="18.09765625" style="1381" customWidth="1"/>
    <col min="3082" max="3082" width="15.19921875" style="1381" customWidth="1"/>
    <col min="3083" max="3328" width="9" style="1381"/>
    <col min="3329" max="3329" width="6.09765625" style="1381" customWidth="1"/>
    <col min="3330" max="3330" width="19.8984375" style="1381" customWidth="1"/>
    <col min="3331" max="3331" width="20.69921875" style="1381" customWidth="1"/>
    <col min="3332" max="3332" width="18.5" style="1381" customWidth="1"/>
    <col min="3333" max="3333" width="15.69921875" style="1381" customWidth="1"/>
    <col min="3334" max="3334" width="16.09765625" style="1381" customWidth="1"/>
    <col min="3335" max="3335" width="18.09765625" style="1381" customWidth="1"/>
    <col min="3336" max="3336" width="9.19921875" style="1381" customWidth="1"/>
    <col min="3337" max="3337" width="18.09765625" style="1381" customWidth="1"/>
    <col min="3338" max="3338" width="15.19921875" style="1381" customWidth="1"/>
    <col min="3339" max="3584" width="9" style="1381"/>
    <col min="3585" max="3585" width="6.09765625" style="1381" customWidth="1"/>
    <col min="3586" max="3586" width="19.8984375" style="1381" customWidth="1"/>
    <col min="3587" max="3587" width="20.69921875" style="1381" customWidth="1"/>
    <col min="3588" max="3588" width="18.5" style="1381" customWidth="1"/>
    <col min="3589" max="3589" width="15.69921875" style="1381" customWidth="1"/>
    <col min="3590" max="3590" width="16.09765625" style="1381" customWidth="1"/>
    <col min="3591" max="3591" width="18.09765625" style="1381" customWidth="1"/>
    <col min="3592" max="3592" width="9.19921875" style="1381" customWidth="1"/>
    <col min="3593" max="3593" width="18.09765625" style="1381" customWidth="1"/>
    <col min="3594" max="3594" width="15.19921875" style="1381" customWidth="1"/>
    <col min="3595" max="3840" width="9" style="1381"/>
    <col min="3841" max="3841" width="6.09765625" style="1381" customWidth="1"/>
    <col min="3842" max="3842" width="19.8984375" style="1381" customWidth="1"/>
    <col min="3843" max="3843" width="20.69921875" style="1381" customWidth="1"/>
    <col min="3844" max="3844" width="18.5" style="1381" customWidth="1"/>
    <col min="3845" max="3845" width="15.69921875" style="1381" customWidth="1"/>
    <col min="3846" max="3846" width="16.09765625" style="1381" customWidth="1"/>
    <col min="3847" max="3847" width="18.09765625" style="1381" customWidth="1"/>
    <col min="3848" max="3848" width="9.19921875" style="1381" customWidth="1"/>
    <col min="3849" max="3849" width="18.09765625" style="1381" customWidth="1"/>
    <col min="3850" max="3850" width="15.19921875" style="1381" customWidth="1"/>
    <col min="3851" max="4096" width="9" style="1381"/>
    <col min="4097" max="4097" width="6.09765625" style="1381" customWidth="1"/>
    <col min="4098" max="4098" width="19.8984375" style="1381" customWidth="1"/>
    <col min="4099" max="4099" width="20.69921875" style="1381" customWidth="1"/>
    <col min="4100" max="4100" width="18.5" style="1381" customWidth="1"/>
    <col min="4101" max="4101" width="15.69921875" style="1381" customWidth="1"/>
    <col min="4102" max="4102" width="16.09765625" style="1381" customWidth="1"/>
    <col min="4103" max="4103" width="18.09765625" style="1381" customWidth="1"/>
    <col min="4104" max="4104" width="9.19921875" style="1381" customWidth="1"/>
    <col min="4105" max="4105" width="18.09765625" style="1381" customWidth="1"/>
    <col min="4106" max="4106" width="15.19921875" style="1381" customWidth="1"/>
    <col min="4107" max="4352" width="9" style="1381"/>
    <col min="4353" max="4353" width="6.09765625" style="1381" customWidth="1"/>
    <col min="4354" max="4354" width="19.8984375" style="1381" customWidth="1"/>
    <col min="4355" max="4355" width="20.69921875" style="1381" customWidth="1"/>
    <col min="4356" max="4356" width="18.5" style="1381" customWidth="1"/>
    <col min="4357" max="4357" width="15.69921875" style="1381" customWidth="1"/>
    <col min="4358" max="4358" width="16.09765625" style="1381" customWidth="1"/>
    <col min="4359" max="4359" width="18.09765625" style="1381" customWidth="1"/>
    <col min="4360" max="4360" width="9.19921875" style="1381" customWidth="1"/>
    <col min="4361" max="4361" width="18.09765625" style="1381" customWidth="1"/>
    <col min="4362" max="4362" width="15.19921875" style="1381" customWidth="1"/>
    <col min="4363" max="4608" width="9" style="1381"/>
    <col min="4609" max="4609" width="6.09765625" style="1381" customWidth="1"/>
    <col min="4610" max="4610" width="19.8984375" style="1381" customWidth="1"/>
    <col min="4611" max="4611" width="20.69921875" style="1381" customWidth="1"/>
    <col min="4612" max="4612" width="18.5" style="1381" customWidth="1"/>
    <col min="4613" max="4613" width="15.69921875" style="1381" customWidth="1"/>
    <col min="4614" max="4614" width="16.09765625" style="1381" customWidth="1"/>
    <col min="4615" max="4615" width="18.09765625" style="1381" customWidth="1"/>
    <col min="4616" max="4616" width="9.19921875" style="1381" customWidth="1"/>
    <col min="4617" max="4617" width="18.09765625" style="1381" customWidth="1"/>
    <col min="4618" max="4618" width="15.19921875" style="1381" customWidth="1"/>
    <col min="4619" max="4864" width="9" style="1381"/>
    <col min="4865" max="4865" width="6.09765625" style="1381" customWidth="1"/>
    <col min="4866" max="4866" width="19.8984375" style="1381" customWidth="1"/>
    <col min="4867" max="4867" width="20.69921875" style="1381" customWidth="1"/>
    <col min="4868" max="4868" width="18.5" style="1381" customWidth="1"/>
    <col min="4869" max="4869" width="15.69921875" style="1381" customWidth="1"/>
    <col min="4870" max="4870" width="16.09765625" style="1381" customWidth="1"/>
    <col min="4871" max="4871" width="18.09765625" style="1381" customWidth="1"/>
    <col min="4872" max="4872" width="9.19921875" style="1381" customWidth="1"/>
    <col min="4873" max="4873" width="18.09765625" style="1381" customWidth="1"/>
    <col min="4874" max="4874" width="15.19921875" style="1381" customWidth="1"/>
    <col min="4875" max="5120" width="9" style="1381"/>
    <col min="5121" max="5121" width="6.09765625" style="1381" customWidth="1"/>
    <col min="5122" max="5122" width="19.8984375" style="1381" customWidth="1"/>
    <col min="5123" max="5123" width="20.69921875" style="1381" customWidth="1"/>
    <col min="5124" max="5124" width="18.5" style="1381" customWidth="1"/>
    <col min="5125" max="5125" width="15.69921875" style="1381" customWidth="1"/>
    <col min="5126" max="5126" width="16.09765625" style="1381" customWidth="1"/>
    <col min="5127" max="5127" width="18.09765625" style="1381" customWidth="1"/>
    <col min="5128" max="5128" width="9.19921875" style="1381" customWidth="1"/>
    <col min="5129" max="5129" width="18.09765625" style="1381" customWidth="1"/>
    <col min="5130" max="5130" width="15.19921875" style="1381" customWidth="1"/>
    <col min="5131" max="5376" width="9" style="1381"/>
    <col min="5377" max="5377" width="6.09765625" style="1381" customWidth="1"/>
    <col min="5378" max="5378" width="19.8984375" style="1381" customWidth="1"/>
    <col min="5379" max="5379" width="20.69921875" style="1381" customWidth="1"/>
    <col min="5380" max="5380" width="18.5" style="1381" customWidth="1"/>
    <col min="5381" max="5381" width="15.69921875" style="1381" customWidth="1"/>
    <col min="5382" max="5382" width="16.09765625" style="1381" customWidth="1"/>
    <col min="5383" max="5383" width="18.09765625" style="1381" customWidth="1"/>
    <col min="5384" max="5384" width="9.19921875" style="1381" customWidth="1"/>
    <col min="5385" max="5385" width="18.09765625" style="1381" customWidth="1"/>
    <col min="5386" max="5386" width="15.19921875" style="1381" customWidth="1"/>
    <col min="5387" max="5632" width="9" style="1381"/>
    <col min="5633" max="5633" width="6.09765625" style="1381" customWidth="1"/>
    <col min="5634" max="5634" width="19.8984375" style="1381" customWidth="1"/>
    <col min="5635" max="5635" width="20.69921875" style="1381" customWidth="1"/>
    <col min="5636" max="5636" width="18.5" style="1381" customWidth="1"/>
    <col min="5637" max="5637" width="15.69921875" style="1381" customWidth="1"/>
    <col min="5638" max="5638" width="16.09765625" style="1381" customWidth="1"/>
    <col min="5639" max="5639" width="18.09765625" style="1381" customWidth="1"/>
    <col min="5640" max="5640" width="9.19921875" style="1381" customWidth="1"/>
    <col min="5641" max="5641" width="18.09765625" style="1381" customWidth="1"/>
    <col min="5642" max="5642" width="15.19921875" style="1381" customWidth="1"/>
    <col min="5643" max="5888" width="9" style="1381"/>
    <col min="5889" max="5889" width="6.09765625" style="1381" customWidth="1"/>
    <col min="5890" max="5890" width="19.8984375" style="1381" customWidth="1"/>
    <col min="5891" max="5891" width="20.69921875" style="1381" customWidth="1"/>
    <col min="5892" max="5892" width="18.5" style="1381" customWidth="1"/>
    <col min="5893" max="5893" width="15.69921875" style="1381" customWidth="1"/>
    <col min="5894" max="5894" width="16.09765625" style="1381" customWidth="1"/>
    <col min="5895" max="5895" width="18.09765625" style="1381" customWidth="1"/>
    <col min="5896" max="5896" width="9.19921875" style="1381" customWidth="1"/>
    <col min="5897" max="5897" width="18.09765625" style="1381" customWidth="1"/>
    <col min="5898" max="5898" width="15.19921875" style="1381" customWidth="1"/>
    <col min="5899" max="6144" width="9" style="1381"/>
    <col min="6145" max="6145" width="6.09765625" style="1381" customWidth="1"/>
    <col min="6146" max="6146" width="19.8984375" style="1381" customWidth="1"/>
    <col min="6147" max="6147" width="20.69921875" style="1381" customWidth="1"/>
    <col min="6148" max="6148" width="18.5" style="1381" customWidth="1"/>
    <col min="6149" max="6149" width="15.69921875" style="1381" customWidth="1"/>
    <col min="6150" max="6150" width="16.09765625" style="1381" customWidth="1"/>
    <col min="6151" max="6151" width="18.09765625" style="1381" customWidth="1"/>
    <col min="6152" max="6152" width="9.19921875" style="1381" customWidth="1"/>
    <col min="6153" max="6153" width="18.09765625" style="1381" customWidth="1"/>
    <col min="6154" max="6154" width="15.19921875" style="1381" customWidth="1"/>
    <col min="6155" max="6400" width="9" style="1381"/>
    <col min="6401" max="6401" width="6.09765625" style="1381" customWidth="1"/>
    <col min="6402" max="6402" width="19.8984375" style="1381" customWidth="1"/>
    <col min="6403" max="6403" width="20.69921875" style="1381" customWidth="1"/>
    <col min="6404" max="6404" width="18.5" style="1381" customWidth="1"/>
    <col min="6405" max="6405" width="15.69921875" style="1381" customWidth="1"/>
    <col min="6406" max="6406" width="16.09765625" style="1381" customWidth="1"/>
    <col min="6407" max="6407" width="18.09765625" style="1381" customWidth="1"/>
    <col min="6408" max="6408" width="9.19921875" style="1381" customWidth="1"/>
    <col min="6409" max="6409" width="18.09765625" style="1381" customWidth="1"/>
    <col min="6410" max="6410" width="15.19921875" style="1381" customWidth="1"/>
    <col min="6411" max="6656" width="9" style="1381"/>
    <col min="6657" max="6657" width="6.09765625" style="1381" customWidth="1"/>
    <col min="6658" max="6658" width="19.8984375" style="1381" customWidth="1"/>
    <col min="6659" max="6659" width="20.69921875" style="1381" customWidth="1"/>
    <col min="6660" max="6660" width="18.5" style="1381" customWidth="1"/>
    <col min="6661" max="6661" width="15.69921875" style="1381" customWidth="1"/>
    <col min="6662" max="6662" width="16.09765625" style="1381" customWidth="1"/>
    <col min="6663" max="6663" width="18.09765625" style="1381" customWidth="1"/>
    <col min="6664" max="6664" width="9.19921875" style="1381" customWidth="1"/>
    <col min="6665" max="6665" width="18.09765625" style="1381" customWidth="1"/>
    <col min="6666" max="6666" width="15.19921875" style="1381" customWidth="1"/>
    <col min="6667" max="6912" width="9" style="1381"/>
    <col min="6913" max="6913" width="6.09765625" style="1381" customWidth="1"/>
    <col min="6914" max="6914" width="19.8984375" style="1381" customWidth="1"/>
    <col min="6915" max="6915" width="20.69921875" style="1381" customWidth="1"/>
    <col min="6916" max="6916" width="18.5" style="1381" customWidth="1"/>
    <col min="6917" max="6917" width="15.69921875" style="1381" customWidth="1"/>
    <col min="6918" max="6918" width="16.09765625" style="1381" customWidth="1"/>
    <col min="6919" max="6919" width="18.09765625" style="1381" customWidth="1"/>
    <col min="6920" max="6920" width="9.19921875" style="1381" customWidth="1"/>
    <col min="6921" max="6921" width="18.09765625" style="1381" customWidth="1"/>
    <col min="6922" max="6922" width="15.19921875" style="1381" customWidth="1"/>
    <col min="6923" max="7168" width="9" style="1381"/>
    <col min="7169" max="7169" width="6.09765625" style="1381" customWidth="1"/>
    <col min="7170" max="7170" width="19.8984375" style="1381" customWidth="1"/>
    <col min="7171" max="7171" width="20.69921875" style="1381" customWidth="1"/>
    <col min="7172" max="7172" width="18.5" style="1381" customWidth="1"/>
    <col min="7173" max="7173" width="15.69921875" style="1381" customWidth="1"/>
    <col min="7174" max="7174" width="16.09765625" style="1381" customWidth="1"/>
    <col min="7175" max="7175" width="18.09765625" style="1381" customWidth="1"/>
    <col min="7176" max="7176" width="9.19921875" style="1381" customWidth="1"/>
    <col min="7177" max="7177" width="18.09765625" style="1381" customWidth="1"/>
    <col min="7178" max="7178" width="15.19921875" style="1381" customWidth="1"/>
    <col min="7179" max="7424" width="9" style="1381"/>
    <col min="7425" max="7425" width="6.09765625" style="1381" customWidth="1"/>
    <col min="7426" max="7426" width="19.8984375" style="1381" customWidth="1"/>
    <col min="7427" max="7427" width="20.69921875" style="1381" customWidth="1"/>
    <col min="7428" max="7428" width="18.5" style="1381" customWidth="1"/>
    <col min="7429" max="7429" width="15.69921875" style="1381" customWidth="1"/>
    <col min="7430" max="7430" width="16.09765625" style="1381" customWidth="1"/>
    <col min="7431" max="7431" width="18.09765625" style="1381" customWidth="1"/>
    <col min="7432" max="7432" width="9.19921875" style="1381" customWidth="1"/>
    <col min="7433" max="7433" width="18.09765625" style="1381" customWidth="1"/>
    <col min="7434" max="7434" width="15.19921875" style="1381" customWidth="1"/>
    <col min="7435" max="7680" width="9" style="1381"/>
    <col min="7681" max="7681" width="6.09765625" style="1381" customWidth="1"/>
    <col min="7682" max="7682" width="19.8984375" style="1381" customWidth="1"/>
    <col min="7683" max="7683" width="20.69921875" style="1381" customWidth="1"/>
    <col min="7684" max="7684" width="18.5" style="1381" customWidth="1"/>
    <col min="7685" max="7685" width="15.69921875" style="1381" customWidth="1"/>
    <col min="7686" max="7686" width="16.09765625" style="1381" customWidth="1"/>
    <col min="7687" max="7687" width="18.09765625" style="1381" customWidth="1"/>
    <col min="7688" max="7688" width="9.19921875" style="1381" customWidth="1"/>
    <col min="7689" max="7689" width="18.09765625" style="1381" customWidth="1"/>
    <col min="7690" max="7690" width="15.19921875" style="1381" customWidth="1"/>
    <col min="7691" max="7936" width="9" style="1381"/>
    <col min="7937" max="7937" width="6.09765625" style="1381" customWidth="1"/>
    <col min="7938" max="7938" width="19.8984375" style="1381" customWidth="1"/>
    <col min="7939" max="7939" width="20.69921875" style="1381" customWidth="1"/>
    <col min="7940" max="7940" width="18.5" style="1381" customWidth="1"/>
    <col min="7941" max="7941" width="15.69921875" style="1381" customWidth="1"/>
    <col min="7942" max="7942" width="16.09765625" style="1381" customWidth="1"/>
    <col min="7943" max="7943" width="18.09765625" style="1381" customWidth="1"/>
    <col min="7944" max="7944" width="9.19921875" style="1381" customWidth="1"/>
    <col min="7945" max="7945" width="18.09765625" style="1381" customWidth="1"/>
    <col min="7946" max="7946" width="15.19921875" style="1381" customWidth="1"/>
    <col min="7947" max="8192" width="9" style="1381"/>
    <col min="8193" max="8193" width="6.09765625" style="1381" customWidth="1"/>
    <col min="8194" max="8194" width="19.8984375" style="1381" customWidth="1"/>
    <col min="8195" max="8195" width="20.69921875" style="1381" customWidth="1"/>
    <col min="8196" max="8196" width="18.5" style="1381" customWidth="1"/>
    <col min="8197" max="8197" width="15.69921875" style="1381" customWidth="1"/>
    <col min="8198" max="8198" width="16.09765625" style="1381" customWidth="1"/>
    <col min="8199" max="8199" width="18.09765625" style="1381" customWidth="1"/>
    <col min="8200" max="8200" width="9.19921875" style="1381" customWidth="1"/>
    <col min="8201" max="8201" width="18.09765625" style="1381" customWidth="1"/>
    <col min="8202" max="8202" width="15.19921875" style="1381" customWidth="1"/>
    <col min="8203" max="8448" width="9" style="1381"/>
    <col min="8449" max="8449" width="6.09765625" style="1381" customWidth="1"/>
    <col min="8450" max="8450" width="19.8984375" style="1381" customWidth="1"/>
    <col min="8451" max="8451" width="20.69921875" style="1381" customWidth="1"/>
    <col min="8452" max="8452" width="18.5" style="1381" customWidth="1"/>
    <col min="8453" max="8453" width="15.69921875" style="1381" customWidth="1"/>
    <col min="8454" max="8454" width="16.09765625" style="1381" customWidth="1"/>
    <col min="8455" max="8455" width="18.09765625" style="1381" customWidth="1"/>
    <col min="8456" max="8456" width="9.19921875" style="1381" customWidth="1"/>
    <col min="8457" max="8457" width="18.09765625" style="1381" customWidth="1"/>
    <col min="8458" max="8458" width="15.19921875" style="1381" customWidth="1"/>
    <col min="8459" max="8704" width="9" style="1381"/>
    <col min="8705" max="8705" width="6.09765625" style="1381" customWidth="1"/>
    <col min="8706" max="8706" width="19.8984375" style="1381" customWidth="1"/>
    <col min="8707" max="8707" width="20.69921875" style="1381" customWidth="1"/>
    <col min="8708" max="8708" width="18.5" style="1381" customWidth="1"/>
    <col min="8709" max="8709" width="15.69921875" style="1381" customWidth="1"/>
    <col min="8710" max="8710" width="16.09765625" style="1381" customWidth="1"/>
    <col min="8711" max="8711" width="18.09765625" style="1381" customWidth="1"/>
    <col min="8712" max="8712" width="9.19921875" style="1381" customWidth="1"/>
    <col min="8713" max="8713" width="18.09765625" style="1381" customWidth="1"/>
    <col min="8714" max="8714" width="15.19921875" style="1381" customWidth="1"/>
    <col min="8715" max="8960" width="9" style="1381"/>
    <col min="8961" max="8961" width="6.09765625" style="1381" customWidth="1"/>
    <col min="8962" max="8962" width="19.8984375" style="1381" customWidth="1"/>
    <col min="8963" max="8963" width="20.69921875" style="1381" customWidth="1"/>
    <col min="8964" max="8964" width="18.5" style="1381" customWidth="1"/>
    <col min="8965" max="8965" width="15.69921875" style="1381" customWidth="1"/>
    <col min="8966" max="8966" width="16.09765625" style="1381" customWidth="1"/>
    <col min="8967" max="8967" width="18.09765625" style="1381" customWidth="1"/>
    <col min="8968" max="8968" width="9.19921875" style="1381" customWidth="1"/>
    <col min="8969" max="8969" width="18.09765625" style="1381" customWidth="1"/>
    <col min="8970" max="8970" width="15.19921875" style="1381" customWidth="1"/>
    <col min="8971" max="9216" width="9" style="1381"/>
    <col min="9217" max="9217" width="6.09765625" style="1381" customWidth="1"/>
    <col min="9218" max="9218" width="19.8984375" style="1381" customWidth="1"/>
    <col min="9219" max="9219" width="20.69921875" style="1381" customWidth="1"/>
    <col min="9220" max="9220" width="18.5" style="1381" customWidth="1"/>
    <col min="9221" max="9221" width="15.69921875" style="1381" customWidth="1"/>
    <col min="9222" max="9222" width="16.09765625" style="1381" customWidth="1"/>
    <col min="9223" max="9223" width="18.09765625" style="1381" customWidth="1"/>
    <col min="9224" max="9224" width="9.19921875" style="1381" customWidth="1"/>
    <col min="9225" max="9225" width="18.09765625" style="1381" customWidth="1"/>
    <col min="9226" max="9226" width="15.19921875" style="1381" customWidth="1"/>
    <col min="9227" max="9472" width="9" style="1381"/>
    <col min="9473" max="9473" width="6.09765625" style="1381" customWidth="1"/>
    <col min="9474" max="9474" width="19.8984375" style="1381" customWidth="1"/>
    <col min="9475" max="9475" width="20.69921875" style="1381" customWidth="1"/>
    <col min="9476" max="9476" width="18.5" style="1381" customWidth="1"/>
    <col min="9477" max="9477" width="15.69921875" style="1381" customWidth="1"/>
    <col min="9478" max="9478" width="16.09765625" style="1381" customWidth="1"/>
    <col min="9479" max="9479" width="18.09765625" style="1381" customWidth="1"/>
    <col min="9480" max="9480" width="9.19921875" style="1381" customWidth="1"/>
    <col min="9481" max="9481" width="18.09765625" style="1381" customWidth="1"/>
    <col min="9482" max="9482" width="15.19921875" style="1381" customWidth="1"/>
    <col min="9483" max="9728" width="9" style="1381"/>
    <col min="9729" max="9729" width="6.09765625" style="1381" customWidth="1"/>
    <col min="9730" max="9730" width="19.8984375" style="1381" customWidth="1"/>
    <col min="9731" max="9731" width="20.69921875" style="1381" customWidth="1"/>
    <col min="9732" max="9732" width="18.5" style="1381" customWidth="1"/>
    <col min="9733" max="9733" width="15.69921875" style="1381" customWidth="1"/>
    <col min="9734" max="9734" width="16.09765625" style="1381" customWidth="1"/>
    <col min="9735" max="9735" width="18.09765625" style="1381" customWidth="1"/>
    <col min="9736" max="9736" width="9.19921875" style="1381" customWidth="1"/>
    <col min="9737" max="9737" width="18.09765625" style="1381" customWidth="1"/>
    <col min="9738" max="9738" width="15.19921875" style="1381" customWidth="1"/>
    <col min="9739" max="9984" width="9" style="1381"/>
    <col min="9985" max="9985" width="6.09765625" style="1381" customWidth="1"/>
    <col min="9986" max="9986" width="19.8984375" style="1381" customWidth="1"/>
    <col min="9987" max="9987" width="20.69921875" style="1381" customWidth="1"/>
    <col min="9988" max="9988" width="18.5" style="1381" customWidth="1"/>
    <col min="9989" max="9989" width="15.69921875" style="1381" customWidth="1"/>
    <col min="9990" max="9990" width="16.09765625" style="1381" customWidth="1"/>
    <col min="9991" max="9991" width="18.09765625" style="1381" customWidth="1"/>
    <col min="9992" max="9992" width="9.19921875" style="1381" customWidth="1"/>
    <col min="9993" max="9993" width="18.09765625" style="1381" customWidth="1"/>
    <col min="9994" max="9994" width="15.19921875" style="1381" customWidth="1"/>
    <col min="9995" max="10240" width="9" style="1381"/>
    <col min="10241" max="10241" width="6.09765625" style="1381" customWidth="1"/>
    <col min="10242" max="10242" width="19.8984375" style="1381" customWidth="1"/>
    <col min="10243" max="10243" width="20.69921875" style="1381" customWidth="1"/>
    <col min="10244" max="10244" width="18.5" style="1381" customWidth="1"/>
    <col min="10245" max="10245" width="15.69921875" style="1381" customWidth="1"/>
    <col min="10246" max="10246" width="16.09765625" style="1381" customWidth="1"/>
    <col min="10247" max="10247" width="18.09765625" style="1381" customWidth="1"/>
    <col min="10248" max="10248" width="9.19921875" style="1381" customWidth="1"/>
    <col min="10249" max="10249" width="18.09765625" style="1381" customWidth="1"/>
    <col min="10250" max="10250" width="15.19921875" style="1381" customWidth="1"/>
    <col min="10251" max="10496" width="9" style="1381"/>
    <col min="10497" max="10497" width="6.09765625" style="1381" customWidth="1"/>
    <col min="10498" max="10498" width="19.8984375" style="1381" customWidth="1"/>
    <col min="10499" max="10499" width="20.69921875" style="1381" customWidth="1"/>
    <col min="10500" max="10500" width="18.5" style="1381" customWidth="1"/>
    <col min="10501" max="10501" width="15.69921875" style="1381" customWidth="1"/>
    <col min="10502" max="10502" width="16.09765625" style="1381" customWidth="1"/>
    <col min="10503" max="10503" width="18.09765625" style="1381" customWidth="1"/>
    <col min="10504" max="10504" width="9.19921875" style="1381" customWidth="1"/>
    <col min="10505" max="10505" width="18.09765625" style="1381" customWidth="1"/>
    <col min="10506" max="10506" width="15.19921875" style="1381" customWidth="1"/>
    <col min="10507" max="10752" width="9" style="1381"/>
    <col min="10753" max="10753" width="6.09765625" style="1381" customWidth="1"/>
    <col min="10754" max="10754" width="19.8984375" style="1381" customWidth="1"/>
    <col min="10755" max="10755" width="20.69921875" style="1381" customWidth="1"/>
    <col min="10756" max="10756" width="18.5" style="1381" customWidth="1"/>
    <col min="10757" max="10757" width="15.69921875" style="1381" customWidth="1"/>
    <col min="10758" max="10758" width="16.09765625" style="1381" customWidth="1"/>
    <col min="10759" max="10759" width="18.09765625" style="1381" customWidth="1"/>
    <col min="10760" max="10760" width="9.19921875" style="1381" customWidth="1"/>
    <col min="10761" max="10761" width="18.09765625" style="1381" customWidth="1"/>
    <col min="10762" max="10762" width="15.19921875" style="1381" customWidth="1"/>
    <col min="10763" max="11008" width="9" style="1381"/>
    <col min="11009" max="11009" width="6.09765625" style="1381" customWidth="1"/>
    <col min="11010" max="11010" width="19.8984375" style="1381" customWidth="1"/>
    <col min="11011" max="11011" width="20.69921875" style="1381" customWidth="1"/>
    <col min="11012" max="11012" width="18.5" style="1381" customWidth="1"/>
    <col min="11013" max="11013" width="15.69921875" style="1381" customWidth="1"/>
    <col min="11014" max="11014" width="16.09765625" style="1381" customWidth="1"/>
    <col min="11015" max="11015" width="18.09765625" style="1381" customWidth="1"/>
    <col min="11016" max="11016" width="9.19921875" style="1381" customWidth="1"/>
    <col min="11017" max="11017" width="18.09765625" style="1381" customWidth="1"/>
    <col min="11018" max="11018" width="15.19921875" style="1381" customWidth="1"/>
    <col min="11019" max="11264" width="9" style="1381"/>
    <col min="11265" max="11265" width="6.09765625" style="1381" customWidth="1"/>
    <col min="11266" max="11266" width="19.8984375" style="1381" customWidth="1"/>
    <col min="11267" max="11267" width="20.69921875" style="1381" customWidth="1"/>
    <col min="11268" max="11268" width="18.5" style="1381" customWidth="1"/>
    <col min="11269" max="11269" width="15.69921875" style="1381" customWidth="1"/>
    <col min="11270" max="11270" width="16.09765625" style="1381" customWidth="1"/>
    <col min="11271" max="11271" width="18.09765625" style="1381" customWidth="1"/>
    <col min="11272" max="11272" width="9.19921875" style="1381" customWidth="1"/>
    <col min="11273" max="11273" width="18.09765625" style="1381" customWidth="1"/>
    <col min="11274" max="11274" width="15.19921875" style="1381" customWidth="1"/>
    <col min="11275" max="11520" width="9" style="1381"/>
    <col min="11521" max="11521" width="6.09765625" style="1381" customWidth="1"/>
    <col min="11522" max="11522" width="19.8984375" style="1381" customWidth="1"/>
    <col min="11523" max="11523" width="20.69921875" style="1381" customWidth="1"/>
    <col min="11524" max="11524" width="18.5" style="1381" customWidth="1"/>
    <col min="11525" max="11525" width="15.69921875" style="1381" customWidth="1"/>
    <col min="11526" max="11526" width="16.09765625" style="1381" customWidth="1"/>
    <col min="11527" max="11527" width="18.09765625" style="1381" customWidth="1"/>
    <col min="11528" max="11528" width="9.19921875" style="1381" customWidth="1"/>
    <col min="11529" max="11529" width="18.09765625" style="1381" customWidth="1"/>
    <col min="11530" max="11530" width="15.19921875" style="1381" customWidth="1"/>
    <col min="11531" max="11776" width="9" style="1381"/>
    <col min="11777" max="11777" width="6.09765625" style="1381" customWidth="1"/>
    <col min="11778" max="11778" width="19.8984375" style="1381" customWidth="1"/>
    <col min="11779" max="11779" width="20.69921875" style="1381" customWidth="1"/>
    <col min="11780" max="11780" width="18.5" style="1381" customWidth="1"/>
    <col min="11781" max="11781" width="15.69921875" style="1381" customWidth="1"/>
    <col min="11782" max="11782" width="16.09765625" style="1381" customWidth="1"/>
    <col min="11783" max="11783" width="18.09765625" style="1381" customWidth="1"/>
    <col min="11784" max="11784" width="9.19921875" style="1381" customWidth="1"/>
    <col min="11785" max="11785" width="18.09765625" style="1381" customWidth="1"/>
    <col min="11786" max="11786" width="15.19921875" style="1381" customWidth="1"/>
    <col min="11787" max="12032" width="9" style="1381"/>
    <col min="12033" max="12033" width="6.09765625" style="1381" customWidth="1"/>
    <col min="12034" max="12034" width="19.8984375" style="1381" customWidth="1"/>
    <col min="12035" max="12035" width="20.69921875" style="1381" customWidth="1"/>
    <col min="12036" max="12036" width="18.5" style="1381" customWidth="1"/>
    <col min="12037" max="12037" width="15.69921875" style="1381" customWidth="1"/>
    <col min="12038" max="12038" width="16.09765625" style="1381" customWidth="1"/>
    <col min="12039" max="12039" width="18.09765625" style="1381" customWidth="1"/>
    <col min="12040" max="12040" width="9.19921875" style="1381" customWidth="1"/>
    <col min="12041" max="12041" width="18.09765625" style="1381" customWidth="1"/>
    <col min="12042" max="12042" width="15.19921875" style="1381" customWidth="1"/>
    <col min="12043" max="12288" width="9" style="1381"/>
    <col min="12289" max="12289" width="6.09765625" style="1381" customWidth="1"/>
    <col min="12290" max="12290" width="19.8984375" style="1381" customWidth="1"/>
    <col min="12291" max="12291" width="20.69921875" style="1381" customWidth="1"/>
    <col min="12292" max="12292" width="18.5" style="1381" customWidth="1"/>
    <col min="12293" max="12293" width="15.69921875" style="1381" customWidth="1"/>
    <col min="12294" max="12294" width="16.09765625" style="1381" customWidth="1"/>
    <col min="12295" max="12295" width="18.09765625" style="1381" customWidth="1"/>
    <col min="12296" max="12296" width="9.19921875" style="1381" customWidth="1"/>
    <col min="12297" max="12297" width="18.09765625" style="1381" customWidth="1"/>
    <col min="12298" max="12298" width="15.19921875" style="1381" customWidth="1"/>
    <col min="12299" max="12544" width="9" style="1381"/>
    <col min="12545" max="12545" width="6.09765625" style="1381" customWidth="1"/>
    <col min="12546" max="12546" width="19.8984375" style="1381" customWidth="1"/>
    <col min="12547" max="12547" width="20.69921875" style="1381" customWidth="1"/>
    <col min="12548" max="12548" width="18.5" style="1381" customWidth="1"/>
    <col min="12549" max="12549" width="15.69921875" style="1381" customWidth="1"/>
    <col min="12550" max="12550" width="16.09765625" style="1381" customWidth="1"/>
    <col min="12551" max="12551" width="18.09765625" style="1381" customWidth="1"/>
    <col min="12552" max="12552" width="9.19921875" style="1381" customWidth="1"/>
    <col min="12553" max="12553" width="18.09765625" style="1381" customWidth="1"/>
    <col min="12554" max="12554" width="15.19921875" style="1381" customWidth="1"/>
    <col min="12555" max="12800" width="9" style="1381"/>
    <col min="12801" max="12801" width="6.09765625" style="1381" customWidth="1"/>
    <col min="12802" max="12802" width="19.8984375" style="1381" customWidth="1"/>
    <col min="12803" max="12803" width="20.69921875" style="1381" customWidth="1"/>
    <col min="12804" max="12804" width="18.5" style="1381" customWidth="1"/>
    <col min="12805" max="12805" width="15.69921875" style="1381" customWidth="1"/>
    <col min="12806" max="12806" width="16.09765625" style="1381" customWidth="1"/>
    <col min="12807" max="12807" width="18.09765625" style="1381" customWidth="1"/>
    <col min="12808" max="12808" width="9.19921875" style="1381" customWidth="1"/>
    <col min="12809" max="12809" width="18.09765625" style="1381" customWidth="1"/>
    <col min="12810" max="12810" width="15.19921875" style="1381" customWidth="1"/>
    <col min="12811" max="13056" width="9" style="1381"/>
    <col min="13057" max="13057" width="6.09765625" style="1381" customWidth="1"/>
    <col min="13058" max="13058" width="19.8984375" style="1381" customWidth="1"/>
    <col min="13059" max="13059" width="20.69921875" style="1381" customWidth="1"/>
    <col min="13060" max="13060" width="18.5" style="1381" customWidth="1"/>
    <col min="13061" max="13061" width="15.69921875" style="1381" customWidth="1"/>
    <col min="13062" max="13062" width="16.09765625" style="1381" customWidth="1"/>
    <col min="13063" max="13063" width="18.09765625" style="1381" customWidth="1"/>
    <col min="13064" max="13064" width="9.19921875" style="1381" customWidth="1"/>
    <col min="13065" max="13065" width="18.09765625" style="1381" customWidth="1"/>
    <col min="13066" max="13066" width="15.19921875" style="1381" customWidth="1"/>
    <col min="13067" max="13312" width="9" style="1381"/>
    <col min="13313" max="13313" width="6.09765625" style="1381" customWidth="1"/>
    <col min="13314" max="13314" width="19.8984375" style="1381" customWidth="1"/>
    <col min="13315" max="13315" width="20.69921875" style="1381" customWidth="1"/>
    <col min="13316" max="13316" width="18.5" style="1381" customWidth="1"/>
    <col min="13317" max="13317" width="15.69921875" style="1381" customWidth="1"/>
    <col min="13318" max="13318" width="16.09765625" style="1381" customWidth="1"/>
    <col min="13319" max="13319" width="18.09765625" style="1381" customWidth="1"/>
    <col min="13320" max="13320" width="9.19921875" style="1381" customWidth="1"/>
    <col min="13321" max="13321" width="18.09765625" style="1381" customWidth="1"/>
    <col min="13322" max="13322" width="15.19921875" style="1381" customWidth="1"/>
    <col min="13323" max="13568" width="9" style="1381"/>
    <col min="13569" max="13569" width="6.09765625" style="1381" customWidth="1"/>
    <col min="13570" max="13570" width="19.8984375" style="1381" customWidth="1"/>
    <col min="13571" max="13571" width="20.69921875" style="1381" customWidth="1"/>
    <col min="13572" max="13572" width="18.5" style="1381" customWidth="1"/>
    <col min="13573" max="13573" width="15.69921875" style="1381" customWidth="1"/>
    <col min="13574" max="13574" width="16.09765625" style="1381" customWidth="1"/>
    <col min="13575" max="13575" width="18.09765625" style="1381" customWidth="1"/>
    <col min="13576" max="13576" width="9.19921875" style="1381" customWidth="1"/>
    <col min="13577" max="13577" width="18.09765625" style="1381" customWidth="1"/>
    <col min="13578" max="13578" width="15.19921875" style="1381" customWidth="1"/>
    <col min="13579" max="13824" width="9" style="1381"/>
    <col min="13825" max="13825" width="6.09765625" style="1381" customWidth="1"/>
    <col min="13826" max="13826" width="19.8984375" style="1381" customWidth="1"/>
    <col min="13827" max="13827" width="20.69921875" style="1381" customWidth="1"/>
    <col min="13828" max="13828" width="18.5" style="1381" customWidth="1"/>
    <col min="13829" max="13829" width="15.69921875" style="1381" customWidth="1"/>
    <col min="13830" max="13830" width="16.09765625" style="1381" customWidth="1"/>
    <col min="13831" max="13831" width="18.09765625" style="1381" customWidth="1"/>
    <col min="13832" max="13832" width="9.19921875" style="1381" customWidth="1"/>
    <col min="13833" max="13833" width="18.09765625" style="1381" customWidth="1"/>
    <col min="13834" max="13834" width="15.19921875" style="1381" customWidth="1"/>
    <col min="13835" max="14080" width="9" style="1381"/>
    <col min="14081" max="14081" width="6.09765625" style="1381" customWidth="1"/>
    <col min="14082" max="14082" width="19.8984375" style="1381" customWidth="1"/>
    <col min="14083" max="14083" width="20.69921875" style="1381" customWidth="1"/>
    <col min="14084" max="14084" width="18.5" style="1381" customWidth="1"/>
    <col min="14085" max="14085" width="15.69921875" style="1381" customWidth="1"/>
    <col min="14086" max="14086" width="16.09765625" style="1381" customWidth="1"/>
    <col min="14087" max="14087" width="18.09765625" style="1381" customWidth="1"/>
    <col min="14088" max="14088" width="9.19921875" style="1381" customWidth="1"/>
    <col min="14089" max="14089" width="18.09765625" style="1381" customWidth="1"/>
    <col min="14090" max="14090" width="15.19921875" style="1381" customWidth="1"/>
    <col min="14091" max="14336" width="9" style="1381"/>
    <col min="14337" max="14337" width="6.09765625" style="1381" customWidth="1"/>
    <col min="14338" max="14338" width="19.8984375" style="1381" customWidth="1"/>
    <col min="14339" max="14339" width="20.69921875" style="1381" customWidth="1"/>
    <col min="14340" max="14340" width="18.5" style="1381" customWidth="1"/>
    <col min="14341" max="14341" width="15.69921875" style="1381" customWidth="1"/>
    <col min="14342" max="14342" width="16.09765625" style="1381" customWidth="1"/>
    <col min="14343" max="14343" width="18.09765625" style="1381" customWidth="1"/>
    <col min="14344" max="14344" width="9.19921875" style="1381" customWidth="1"/>
    <col min="14345" max="14345" width="18.09765625" style="1381" customWidth="1"/>
    <col min="14346" max="14346" width="15.19921875" style="1381" customWidth="1"/>
    <col min="14347" max="14592" width="9" style="1381"/>
    <col min="14593" max="14593" width="6.09765625" style="1381" customWidth="1"/>
    <col min="14594" max="14594" width="19.8984375" style="1381" customWidth="1"/>
    <col min="14595" max="14595" width="20.69921875" style="1381" customWidth="1"/>
    <col min="14596" max="14596" width="18.5" style="1381" customWidth="1"/>
    <col min="14597" max="14597" width="15.69921875" style="1381" customWidth="1"/>
    <col min="14598" max="14598" width="16.09765625" style="1381" customWidth="1"/>
    <col min="14599" max="14599" width="18.09765625" style="1381" customWidth="1"/>
    <col min="14600" max="14600" width="9.19921875" style="1381" customWidth="1"/>
    <col min="14601" max="14601" width="18.09765625" style="1381" customWidth="1"/>
    <col min="14602" max="14602" width="15.19921875" style="1381" customWidth="1"/>
    <col min="14603" max="14848" width="9" style="1381"/>
    <col min="14849" max="14849" width="6.09765625" style="1381" customWidth="1"/>
    <col min="14850" max="14850" width="19.8984375" style="1381" customWidth="1"/>
    <col min="14851" max="14851" width="20.69921875" style="1381" customWidth="1"/>
    <col min="14852" max="14852" width="18.5" style="1381" customWidth="1"/>
    <col min="14853" max="14853" width="15.69921875" style="1381" customWidth="1"/>
    <col min="14854" max="14854" width="16.09765625" style="1381" customWidth="1"/>
    <col min="14855" max="14855" width="18.09765625" style="1381" customWidth="1"/>
    <col min="14856" max="14856" width="9.19921875" style="1381" customWidth="1"/>
    <col min="14857" max="14857" width="18.09765625" style="1381" customWidth="1"/>
    <col min="14858" max="14858" width="15.19921875" style="1381" customWidth="1"/>
    <col min="14859" max="15104" width="9" style="1381"/>
    <col min="15105" max="15105" width="6.09765625" style="1381" customWidth="1"/>
    <col min="15106" max="15106" width="19.8984375" style="1381" customWidth="1"/>
    <col min="15107" max="15107" width="20.69921875" style="1381" customWidth="1"/>
    <col min="15108" max="15108" width="18.5" style="1381" customWidth="1"/>
    <col min="15109" max="15109" width="15.69921875" style="1381" customWidth="1"/>
    <col min="15110" max="15110" width="16.09765625" style="1381" customWidth="1"/>
    <col min="15111" max="15111" width="18.09765625" style="1381" customWidth="1"/>
    <col min="15112" max="15112" width="9.19921875" style="1381" customWidth="1"/>
    <col min="15113" max="15113" width="18.09765625" style="1381" customWidth="1"/>
    <col min="15114" max="15114" width="15.19921875" style="1381" customWidth="1"/>
    <col min="15115" max="15360" width="9" style="1381"/>
    <col min="15361" max="15361" width="6.09765625" style="1381" customWidth="1"/>
    <col min="15362" max="15362" width="19.8984375" style="1381" customWidth="1"/>
    <col min="15363" max="15363" width="20.69921875" style="1381" customWidth="1"/>
    <col min="15364" max="15364" width="18.5" style="1381" customWidth="1"/>
    <col min="15365" max="15365" width="15.69921875" style="1381" customWidth="1"/>
    <col min="15366" max="15366" width="16.09765625" style="1381" customWidth="1"/>
    <col min="15367" max="15367" width="18.09765625" style="1381" customWidth="1"/>
    <col min="15368" max="15368" width="9.19921875" style="1381" customWidth="1"/>
    <col min="15369" max="15369" width="18.09765625" style="1381" customWidth="1"/>
    <col min="15370" max="15370" width="15.19921875" style="1381" customWidth="1"/>
    <col min="15371" max="15616" width="9" style="1381"/>
    <col min="15617" max="15617" width="6.09765625" style="1381" customWidth="1"/>
    <col min="15618" max="15618" width="19.8984375" style="1381" customWidth="1"/>
    <col min="15619" max="15619" width="20.69921875" style="1381" customWidth="1"/>
    <col min="15620" max="15620" width="18.5" style="1381" customWidth="1"/>
    <col min="15621" max="15621" width="15.69921875" style="1381" customWidth="1"/>
    <col min="15622" max="15622" width="16.09765625" style="1381" customWidth="1"/>
    <col min="15623" max="15623" width="18.09765625" style="1381" customWidth="1"/>
    <col min="15624" max="15624" width="9.19921875" style="1381" customWidth="1"/>
    <col min="15625" max="15625" width="18.09765625" style="1381" customWidth="1"/>
    <col min="15626" max="15626" width="15.19921875" style="1381" customWidth="1"/>
    <col min="15627" max="15872" width="9" style="1381"/>
    <col min="15873" max="15873" width="6.09765625" style="1381" customWidth="1"/>
    <col min="15874" max="15874" width="19.8984375" style="1381" customWidth="1"/>
    <col min="15875" max="15875" width="20.69921875" style="1381" customWidth="1"/>
    <col min="15876" max="15876" width="18.5" style="1381" customWidth="1"/>
    <col min="15877" max="15877" width="15.69921875" style="1381" customWidth="1"/>
    <col min="15878" max="15878" width="16.09765625" style="1381" customWidth="1"/>
    <col min="15879" max="15879" width="18.09765625" style="1381" customWidth="1"/>
    <col min="15880" max="15880" width="9.19921875" style="1381" customWidth="1"/>
    <col min="15881" max="15881" width="18.09765625" style="1381" customWidth="1"/>
    <col min="15882" max="15882" width="15.19921875" style="1381" customWidth="1"/>
    <col min="15883" max="16128" width="9" style="1381"/>
    <col min="16129" max="16129" width="6.09765625" style="1381" customWidth="1"/>
    <col min="16130" max="16130" width="19.8984375" style="1381" customWidth="1"/>
    <col min="16131" max="16131" width="20.69921875" style="1381" customWidth="1"/>
    <col min="16132" max="16132" width="18.5" style="1381" customWidth="1"/>
    <col min="16133" max="16133" width="15.69921875" style="1381" customWidth="1"/>
    <col min="16134" max="16134" width="16.09765625" style="1381" customWidth="1"/>
    <col min="16135" max="16135" width="18.09765625" style="1381" customWidth="1"/>
    <col min="16136" max="16136" width="9.19921875" style="1381" customWidth="1"/>
    <col min="16137" max="16137" width="18.09765625" style="1381" customWidth="1"/>
    <col min="16138" max="16138" width="15.19921875" style="1381" customWidth="1"/>
    <col min="16139" max="16384" width="9" style="1381"/>
  </cols>
  <sheetData>
    <row r="1" spans="1:10">
      <c r="A1" s="1398" t="s">
        <v>2408</v>
      </c>
      <c r="B1" s="1398"/>
      <c r="C1" s="1398"/>
      <c r="D1" s="1398"/>
    </row>
    <row r="2" spans="1:10" ht="46.5" customHeight="1">
      <c r="A2" s="3819" t="s">
        <v>2409</v>
      </c>
      <c r="B2" s="3820"/>
      <c r="C2" s="3820"/>
      <c r="D2" s="3820"/>
      <c r="E2" s="3820"/>
      <c r="F2" s="3820"/>
      <c r="G2" s="3820"/>
      <c r="H2" s="3820"/>
      <c r="I2" s="3820"/>
    </row>
    <row r="3" spans="1:10" ht="16.2" thickBot="1">
      <c r="A3" s="1399" t="s">
        <v>2410</v>
      </c>
      <c r="B3" s="1486"/>
      <c r="C3" s="1486"/>
      <c r="D3" s="1486"/>
      <c r="E3" s="1486"/>
      <c r="F3" s="1486"/>
      <c r="G3" s="1486"/>
      <c r="H3" s="1486"/>
      <c r="I3" s="1486"/>
    </row>
    <row r="4" spans="1:10" ht="20.100000000000001" customHeight="1">
      <c r="A4" s="3821" t="s">
        <v>2411</v>
      </c>
      <c r="B4" s="3822"/>
      <c r="C4" s="3822"/>
      <c r="D4" s="3822"/>
      <c r="E4" s="3822"/>
      <c r="F4" s="3822"/>
      <c r="G4" s="3822"/>
      <c r="H4" s="3822"/>
      <c r="I4" s="3822"/>
      <c r="J4" s="1487" t="s">
        <v>2412</v>
      </c>
    </row>
    <row r="5" spans="1:10" ht="20.100000000000001" customHeight="1">
      <c r="A5" s="3823" t="s">
        <v>2413</v>
      </c>
      <c r="B5" s="3824"/>
      <c r="C5" s="3823" t="s">
        <v>2414</v>
      </c>
      <c r="D5" s="3823" t="s">
        <v>1622</v>
      </c>
      <c r="E5" s="3823" t="s">
        <v>2415</v>
      </c>
      <c r="F5" s="3824"/>
      <c r="G5" s="3823" t="s">
        <v>2416</v>
      </c>
      <c r="H5" s="3824"/>
      <c r="I5" s="3823" t="s">
        <v>2417</v>
      </c>
      <c r="J5" s="3835" t="s">
        <v>2418</v>
      </c>
    </row>
    <row r="6" spans="1:10" ht="20.100000000000001" customHeight="1">
      <c r="A6" s="3825"/>
      <c r="B6" s="3826"/>
      <c r="C6" s="3825"/>
      <c r="D6" s="3825"/>
      <c r="E6" s="3825"/>
      <c r="F6" s="3826"/>
      <c r="G6" s="3825"/>
      <c r="H6" s="3826"/>
      <c r="I6" s="3825"/>
      <c r="J6" s="3836"/>
    </row>
    <row r="7" spans="1:10" ht="20.100000000000001" customHeight="1">
      <c r="A7" s="3838"/>
      <c r="B7" s="3839"/>
      <c r="C7" s="1488"/>
      <c r="D7" s="1488"/>
      <c r="E7" s="3839"/>
      <c r="F7" s="3839"/>
      <c r="G7" s="3839"/>
      <c r="H7" s="3839"/>
      <c r="I7" s="1489"/>
      <c r="J7" s="3836"/>
    </row>
    <row r="8" spans="1:10" s="1490" customFormat="1" ht="20.100000000000001" customHeight="1">
      <c r="A8" s="3840" t="s">
        <v>2419</v>
      </c>
      <c r="B8" s="3841"/>
      <c r="C8" s="3841"/>
      <c r="D8" s="3841"/>
      <c r="E8" s="3841"/>
      <c r="F8" s="3841"/>
      <c r="G8" s="3841"/>
      <c r="H8" s="3841"/>
      <c r="I8" s="3841"/>
      <c r="J8" s="3836"/>
    </row>
    <row r="9" spans="1:10" ht="20.100000000000001" customHeight="1">
      <c r="A9" s="3842" t="s">
        <v>453</v>
      </c>
      <c r="B9" s="3823" t="s">
        <v>2420</v>
      </c>
      <c r="C9" s="3823" t="s">
        <v>2421</v>
      </c>
      <c r="D9" s="3844" t="s">
        <v>2422</v>
      </c>
      <c r="E9" s="3845"/>
      <c r="F9" s="3845"/>
      <c r="G9" s="3846"/>
      <c r="H9" s="3827" t="s">
        <v>2423</v>
      </c>
      <c r="I9" s="3827" t="s">
        <v>2424</v>
      </c>
      <c r="J9" s="3836"/>
    </row>
    <row r="10" spans="1:10" ht="30" customHeight="1">
      <c r="A10" s="3843"/>
      <c r="B10" s="3825"/>
      <c r="C10" s="3825"/>
      <c r="D10" s="1483" t="s">
        <v>2425</v>
      </c>
      <c r="E10" s="1481" t="s">
        <v>2426</v>
      </c>
      <c r="F10" s="1481" t="s">
        <v>2427</v>
      </c>
      <c r="G10" s="1481" t="s">
        <v>2428</v>
      </c>
      <c r="H10" s="3828"/>
      <c r="I10" s="3828"/>
      <c r="J10" s="3836"/>
    </row>
    <row r="11" spans="1:10" ht="20.100000000000001" customHeight="1">
      <c r="A11" s="1491"/>
      <c r="B11" s="1488"/>
      <c r="C11" s="1488"/>
      <c r="D11" s="1492"/>
      <c r="E11" s="1403"/>
      <c r="F11" s="1403"/>
      <c r="G11" s="1403"/>
      <c r="H11" s="1402"/>
      <c r="I11" s="1493"/>
      <c r="J11" s="3836"/>
    </row>
    <row r="12" spans="1:10" ht="20.100000000000001" customHeight="1">
      <c r="A12" s="1491"/>
      <c r="B12" s="1488"/>
      <c r="C12" s="1488"/>
      <c r="D12" s="1403"/>
      <c r="E12" s="1403"/>
      <c r="F12" s="1403"/>
      <c r="G12" s="1403"/>
      <c r="H12" s="1402"/>
      <c r="I12" s="1493"/>
      <c r="J12" s="3836"/>
    </row>
    <row r="13" spans="1:10" ht="20.100000000000001" customHeight="1">
      <c r="A13" s="1491"/>
      <c r="B13" s="1488"/>
      <c r="C13" s="1488"/>
      <c r="D13" s="1403"/>
      <c r="E13" s="1403"/>
      <c r="F13" s="1493"/>
      <c r="G13" s="1403"/>
      <c r="H13" s="1402"/>
      <c r="I13" s="1493"/>
      <c r="J13" s="3836"/>
    </row>
    <row r="14" spans="1:10" ht="20.100000000000001" customHeight="1">
      <c r="A14" s="1491"/>
      <c r="B14" s="1482"/>
      <c r="C14" s="1488"/>
      <c r="D14" s="1404"/>
      <c r="E14" s="1404"/>
      <c r="F14" s="1493"/>
      <c r="G14" s="1403"/>
      <c r="H14" s="1405"/>
      <c r="I14" s="1484"/>
      <c r="J14" s="3836"/>
    </row>
    <row r="15" spans="1:10" ht="20.100000000000001" customHeight="1">
      <c r="A15" s="1491"/>
      <c r="B15" s="1482"/>
      <c r="C15" s="1488"/>
      <c r="D15" s="1404"/>
      <c r="E15" s="1404"/>
      <c r="F15" s="1493"/>
      <c r="G15" s="1403"/>
      <c r="H15" s="1405"/>
      <c r="I15" s="1484"/>
      <c r="J15" s="3836"/>
    </row>
    <row r="16" spans="1:10" ht="20.100000000000001" customHeight="1">
      <c r="A16" s="1491"/>
      <c r="B16" s="1482"/>
      <c r="C16" s="1488"/>
      <c r="D16" s="1404"/>
      <c r="E16" s="1404"/>
      <c r="F16" s="1493"/>
      <c r="G16" s="1403"/>
      <c r="H16" s="1405"/>
      <c r="I16" s="1484"/>
      <c r="J16" s="3836"/>
    </row>
    <row r="17" spans="1:10" ht="20.100000000000001" customHeight="1">
      <c r="A17" s="1491"/>
      <c r="B17" s="1482"/>
      <c r="C17" s="1488"/>
      <c r="D17" s="1404"/>
      <c r="E17" s="1404"/>
      <c r="F17" s="1493"/>
      <c r="G17" s="1403"/>
      <c r="H17" s="1405"/>
      <c r="I17" s="1484"/>
      <c r="J17" s="3836"/>
    </row>
    <row r="18" spans="1:10" ht="20.100000000000001" customHeight="1">
      <c r="A18" s="1491"/>
      <c r="B18" s="1482"/>
      <c r="C18" s="1488"/>
      <c r="D18" s="1404"/>
      <c r="E18" s="1404"/>
      <c r="F18" s="1403"/>
      <c r="G18" s="1403"/>
      <c r="H18" s="1405"/>
      <c r="I18" s="1484"/>
      <c r="J18" s="3836"/>
    </row>
    <row r="19" spans="1:10" ht="20.100000000000001" customHeight="1">
      <c r="A19" s="1491"/>
      <c r="B19" s="1482"/>
      <c r="C19" s="1488"/>
      <c r="D19" s="1404"/>
      <c r="E19" s="1404"/>
      <c r="F19" s="1403"/>
      <c r="G19" s="1403"/>
      <c r="H19" s="1405"/>
      <c r="I19" s="1484"/>
      <c r="J19" s="3836"/>
    </row>
    <row r="20" spans="1:10" ht="20.100000000000001" customHeight="1">
      <c r="A20" s="1491"/>
      <c r="B20" s="1482"/>
      <c r="C20" s="1488"/>
      <c r="D20" s="1404"/>
      <c r="E20" s="1404"/>
      <c r="F20" s="1403"/>
      <c r="G20" s="1403"/>
      <c r="H20" s="1405"/>
      <c r="I20" s="1484"/>
      <c r="J20" s="3836"/>
    </row>
    <row r="21" spans="1:10" ht="20.100000000000001" customHeight="1">
      <c r="A21" s="1491"/>
      <c r="B21" s="1482"/>
      <c r="C21" s="1488"/>
      <c r="D21" s="1404"/>
      <c r="E21" s="1404"/>
      <c r="F21" s="1403"/>
      <c r="G21" s="1403"/>
      <c r="H21" s="1405"/>
      <c r="I21" s="1484"/>
      <c r="J21" s="3836"/>
    </row>
    <row r="22" spans="1:10" ht="20.100000000000001" customHeight="1">
      <c r="A22" s="1491"/>
      <c r="B22" s="1482"/>
      <c r="C22" s="1488"/>
      <c r="D22" s="1404"/>
      <c r="E22" s="1404"/>
      <c r="F22" s="1403"/>
      <c r="G22" s="1403"/>
      <c r="H22" s="1405"/>
      <c r="I22" s="1484"/>
      <c r="J22" s="3836"/>
    </row>
    <row r="23" spans="1:10" ht="20.100000000000001" customHeight="1">
      <c r="A23" s="1491"/>
      <c r="B23" s="1482"/>
      <c r="C23" s="1488"/>
      <c r="D23" s="1404"/>
      <c r="E23" s="1404"/>
      <c r="F23" s="1403"/>
      <c r="G23" s="1403"/>
      <c r="H23" s="1405"/>
      <c r="I23" s="1484"/>
      <c r="J23" s="3836"/>
    </row>
    <row r="24" spans="1:10" ht="20.100000000000001" customHeight="1">
      <c r="A24" s="1491"/>
      <c r="B24" s="1482"/>
      <c r="C24" s="1488"/>
      <c r="D24" s="1404"/>
      <c r="E24" s="1404"/>
      <c r="F24" s="1403"/>
      <c r="G24" s="1403"/>
      <c r="H24" s="1405"/>
      <c r="I24" s="1484"/>
      <c r="J24" s="3836"/>
    </row>
    <row r="25" spans="1:10" ht="20.100000000000001" customHeight="1" thickBot="1">
      <c r="A25" s="3829" t="s">
        <v>2429</v>
      </c>
      <c r="B25" s="3830"/>
      <c r="C25" s="1494" t="s">
        <v>1242</v>
      </c>
      <c r="D25" s="1495"/>
      <c r="E25" s="1495"/>
      <c r="F25" s="1495"/>
      <c r="G25" s="1495"/>
      <c r="H25" s="1496"/>
      <c r="I25" s="1497"/>
      <c r="J25" s="3837"/>
    </row>
    <row r="26" spans="1:10">
      <c r="A26" s="3831"/>
      <c r="B26" s="3832"/>
      <c r="C26" s="3831"/>
      <c r="D26" s="3831"/>
      <c r="E26" s="3831"/>
      <c r="F26" s="3831"/>
      <c r="G26" s="3831"/>
      <c r="H26" s="3831"/>
      <c r="I26" s="3831"/>
    </row>
    <row r="27" spans="1:10" ht="175.5" customHeight="1">
      <c r="A27" s="3833" t="s">
        <v>2430</v>
      </c>
      <c r="B27" s="3834"/>
      <c r="C27" s="3834"/>
      <c r="D27" s="3834"/>
      <c r="E27" s="3834"/>
      <c r="F27" s="3834"/>
      <c r="G27" s="3834"/>
    </row>
  </sheetData>
  <mergeCells count="22">
    <mergeCell ref="I9:I10"/>
    <mergeCell ref="A25:B25"/>
    <mergeCell ref="A26:I26"/>
    <mergeCell ref="A27:G27"/>
    <mergeCell ref="J5:J25"/>
    <mergeCell ref="A7:B7"/>
    <mergeCell ref="E7:F7"/>
    <mergeCell ref="G7:H7"/>
    <mergeCell ref="A8:I8"/>
    <mergeCell ref="A9:A10"/>
    <mergeCell ref="B9:B10"/>
    <mergeCell ref="C9:C10"/>
    <mergeCell ref="D9:G9"/>
    <mergeCell ref="H9:H10"/>
    <mergeCell ref="A2:I2"/>
    <mergeCell ref="A4:I4"/>
    <mergeCell ref="A5:B6"/>
    <mergeCell ref="C5:C6"/>
    <mergeCell ref="D5:D6"/>
    <mergeCell ref="E5:F6"/>
    <mergeCell ref="G5:H6"/>
    <mergeCell ref="I5:I6"/>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69921875" style="1390" customWidth="1"/>
    <col min="2" max="4" width="25" style="1412" customWidth="1"/>
    <col min="5" max="5" width="19" style="1390" customWidth="1"/>
    <col min="6" max="256" width="9" style="1381"/>
    <col min="257" max="257" width="25.69921875" style="1381" customWidth="1"/>
    <col min="258" max="260" width="25" style="1381" customWidth="1"/>
    <col min="261" max="261" width="19" style="1381" customWidth="1"/>
    <col min="262" max="512" width="9" style="1381"/>
    <col min="513" max="513" width="25.69921875" style="1381" customWidth="1"/>
    <col min="514" max="516" width="25" style="1381" customWidth="1"/>
    <col min="517" max="517" width="19" style="1381" customWidth="1"/>
    <col min="518" max="768" width="9" style="1381"/>
    <col min="769" max="769" width="25.69921875" style="1381" customWidth="1"/>
    <col min="770" max="772" width="25" style="1381" customWidth="1"/>
    <col min="773" max="773" width="19" style="1381" customWidth="1"/>
    <col min="774" max="1024" width="9" style="1381"/>
    <col min="1025" max="1025" width="25.69921875" style="1381" customWidth="1"/>
    <col min="1026" max="1028" width="25" style="1381" customWidth="1"/>
    <col min="1029" max="1029" width="19" style="1381" customWidth="1"/>
    <col min="1030" max="1280" width="9" style="1381"/>
    <col min="1281" max="1281" width="25.69921875" style="1381" customWidth="1"/>
    <col min="1282" max="1284" width="25" style="1381" customWidth="1"/>
    <col min="1285" max="1285" width="19" style="1381" customWidth="1"/>
    <col min="1286" max="1536" width="9" style="1381"/>
    <col min="1537" max="1537" width="25.69921875" style="1381" customWidth="1"/>
    <col min="1538" max="1540" width="25" style="1381" customWidth="1"/>
    <col min="1541" max="1541" width="19" style="1381" customWidth="1"/>
    <col min="1542" max="1792" width="9" style="1381"/>
    <col min="1793" max="1793" width="25.69921875" style="1381" customWidth="1"/>
    <col min="1794" max="1796" width="25" style="1381" customWidth="1"/>
    <col min="1797" max="1797" width="19" style="1381" customWidth="1"/>
    <col min="1798" max="2048" width="9" style="1381"/>
    <col min="2049" max="2049" width="25.69921875" style="1381" customWidth="1"/>
    <col min="2050" max="2052" width="25" style="1381" customWidth="1"/>
    <col min="2053" max="2053" width="19" style="1381" customWidth="1"/>
    <col min="2054" max="2304" width="9" style="1381"/>
    <col min="2305" max="2305" width="25.69921875" style="1381" customWidth="1"/>
    <col min="2306" max="2308" width="25" style="1381" customWidth="1"/>
    <col min="2309" max="2309" width="19" style="1381" customWidth="1"/>
    <col min="2310" max="2560" width="9" style="1381"/>
    <col min="2561" max="2561" width="25.69921875" style="1381" customWidth="1"/>
    <col min="2562" max="2564" width="25" style="1381" customWidth="1"/>
    <col min="2565" max="2565" width="19" style="1381" customWidth="1"/>
    <col min="2566" max="2816" width="9" style="1381"/>
    <col min="2817" max="2817" width="25.69921875" style="1381" customWidth="1"/>
    <col min="2818" max="2820" width="25" style="1381" customWidth="1"/>
    <col min="2821" max="2821" width="19" style="1381" customWidth="1"/>
    <col min="2822" max="3072" width="9" style="1381"/>
    <col min="3073" max="3073" width="25.69921875" style="1381" customWidth="1"/>
    <col min="3074" max="3076" width="25" style="1381" customWidth="1"/>
    <col min="3077" max="3077" width="19" style="1381" customWidth="1"/>
    <col min="3078" max="3328" width="9" style="1381"/>
    <col min="3329" max="3329" width="25.69921875" style="1381" customWidth="1"/>
    <col min="3330" max="3332" width="25" style="1381" customWidth="1"/>
    <col min="3333" max="3333" width="19" style="1381" customWidth="1"/>
    <col min="3334" max="3584" width="9" style="1381"/>
    <col min="3585" max="3585" width="25.69921875" style="1381" customWidth="1"/>
    <col min="3586" max="3588" width="25" style="1381" customWidth="1"/>
    <col min="3589" max="3589" width="19" style="1381" customWidth="1"/>
    <col min="3590" max="3840" width="9" style="1381"/>
    <col min="3841" max="3841" width="25.69921875" style="1381" customWidth="1"/>
    <col min="3842" max="3844" width="25" style="1381" customWidth="1"/>
    <col min="3845" max="3845" width="19" style="1381" customWidth="1"/>
    <col min="3846" max="4096" width="9" style="1381"/>
    <col min="4097" max="4097" width="25.69921875" style="1381" customWidth="1"/>
    <col min="4098" max="4100" width="25" style="1381" customWidth="1"/>
    <col min="4101" max="4101" width="19" style="1381" customWidth="1"/>
    <col min="4102" max="4352" width="9" style="1381"/>
    <col min="4353" max="4353" width="25.69921875" style="1381" customWidth="1"/>
    <col min="4354" max="4356" width="25" style="1381" customWidth="1"/>
    <col min="4357" max="4357" width="19" style="1381" customWidth="1"/>
    <col min="4358" max="4608" width="9" style="1381"/>
    <col min="4609" max="4609" width="25.69921875" style="1381" customWidth="1"/>
    <col min="4610" max="4612" width="25" style="1381" customWidth="1"/>
    <col min="4613" max="4613" width="19" style="1381" customWidth="1"/>
    <col min="4614" max="4864" width="9" style="1381"/>
    <col min="4865" max="4865" width="25.69921875" style="1381" customWidth="1"/>
    <col min="4866" max="4868" width="25" style="1381" customWidth="1"/>
    <col min="4869" max="4869" width="19" style="1381" customWidth="1"/>
    <col min="4870" max="5120" width="9" style="1381"/>
    <col min="5121" max="5121" width="25.69921875" style="1381" customWidth="1"/>
    <col min="5122" max="5124" width="25" style="1381" customWidth="1"/>
    <col min="5125" max="5125" width="19" style="1381" customWidth="1"/>
    <col min="5126" max="5376" width="9" style="1381"/>
    <col min="5377" max="5377" width="25.69921875" style="1381" customWidth="1"/>
    <col min="5378" max="5380" width="25" style="1381" customWidth="1"/>
    <col min="5381" max="5381" width="19" style="1381" customWidth="1"/>
    <col min="5382" max="5632" width="9" style="1381"/>
    <col min="5633" max="5633" width="25.69921875" style="1381" customWidth="1"/>
    <col min="5634" max="5636" width="25" style="1381" customWidth="1"/>
    <col min="5637" max="5637" width="19" style="1381" customWidth="1"/>
    <col min="5638" max="5888" width="9" style="1381"/>
    <col min="5889" max="5889" width="25.69921875" style="1381" customWidth="1"/>
    <col min="5890" max="5892" width="25" style="1381" customWidth="1"/>
    <col min="5893" max="5893" width="19" style="1381" customWidth="1"/>
    <col min="5894" max="6144" width="9" style="1381"/>
    <col min="6145" max="6145" width="25.69921875" style="1381" customWidth="1"/>
    <col min="6146" max="6148" width="25" style="1381" customWidth="1"/>
    <col min="6149" max="6149" width="19" style="1381" customWidth="1"/>
    <col min="6150" max="6400" width="9" style="1381"/>
    <col min="6401" max="6401" width="25.69921875" style="1381" customWidth="1"/>
    <col min="6402" max="6404" width="25" style="1381" customWidth="1"/>
    <col min="6405" max="6405" width="19" style="1381" customWidth="1"/>
    <col min="6406" max="6656" width="9" style="1381"/>
    <col min="6657" max="6657" width="25.69921875" style="1381" customWidth="1"/>
    <col min="6658" max="6660" width="25" style="1381" customWidth="1"/>
    <col min="6661" max="6661" width="19" style="1381" customWidth="1"/>
    <col min="6662" max="6912" width="9" style="1381"/>
    <col min="6913" max="6913" width="25.69921875" style="1381" customWidth="1"/>
    <col min="6914" max="6916" width="25" style="1381" customWidth="1"/>
    <col min="6917" max="6917" width="19" style="1381" customWidth="1"/>
    <col min="6918" max="7168" width="9" style="1381"/>
    <col min="7169" max="7169" width="25.69921875" style="1381" customWidth="1"/>
    <col min="7170" max="7172" width="25" style="1381" customWidth="1"/>
    <col min="7173" max="7173" width="19" style="1381" customWidth="1"/>
    <col min="7174" max="7424" width="9" style="1381"/>
    <col min="7425" max="7425" width="25.69921875" style="1381" customWidth="1"/>
    <col min="7426" max="7428" width="25" style="1381" customWidth="1"/>
    <col min="7429" max="7429" width="19" style="1381" customWidth="1"/>
    <col min="7430" max="7680" width="9" style="1381"/>
    <col min="7681" max="7681" width="25.69921875" style="1381" customWidth="1"/>
    <col min="7682" max="7684" width="25" style="1381" customWidth="1"/>
    <col min="7685" max="7685" width="19" style="1381" customWidth="1"/>
    <col min="7686" max="7936" width="9" style="1381"/>
    <col min="7937" max="7937" width="25.69921875" style="1381" customWidth="1"/>
    <col min="7938" max="7940" width="25" style="1381" customWidth="1"/>
    <col min="7941" max="7941" width="19" style="1381" customWidth="1"/>
    <col min="7942" max="8192" width="9" style="1381"/>
    <col min="8193" max="8193" width="25.69921875" style="1381" customWidth="1"/>
    <col min="8194" max="8196" width="25" style="1381" customWidth="1"/>
    <col min="8197" max="8197" width="19" style="1381" customWidth="1"/>
    <col min="8198" max="8448" width="9" style="1381"/>
    <col min="8449" max="8449" width="25.69921875" style="1381" customWidth="1"/>
    <col min="8450" max="8452" width="25" style="1381" customWidth="1"/>
    <col min="8453" max="8453" width="19" style="1381" customWidth="1"/>
    <col min="8454" max="8704" width="9" style="1381"/>
    <col min="8705" max="8705" width="25.69921875" style="1381" customWidth="1"/>
    <col min="8706" max="8708" width="25" style="1381" customWidth="1"/>
    <col min="8709" max="8709" width="19" style="1381" customWidth="1"/>
    <col min="8710" max="8960" width="9" style="1381"/>
    <col min="8961" max="8961" width="25.69921875" style="1381" customWidth="1"/>
    <col min="8962" max="8964" width="25" style="1381" customWidth="1"/>
    <col min="8965" max="8965" width="19" style="1381" customWidth="1"/>
    <col min="8966" max="9216" width="9" style="1381"/>
    <col min="9217" max="9217" width="25.69921875" style="1381" customWidth="1"/>
    <col min="9218" max="9220" width="25" style="1381" customWidth="1"/>
    <col min="9221" max="9221" width="19" style="1381" customWidth="1"/>
    <col min="9222" max="9472" width="9" style="1381"/>
    <col min="9473" max="9473" width="25.69921875" style="1381" customWidth="1"/>
    <col min="9474" max="9476" width="25" style="1381" customWidth="1"/>
    <col min="9477" max="9477" width="19" style="1381" customWidth="1"/>
    <col min="9478" max="9728" width="9" style="1381"/>
    <col min="9729" max="9729" width="25.69921875" style="1381" customWidth="1"/>
    <col min="9730" max="9732" width="25" style="1381" customWidth="1"/>
    <col min="9733" max="9733" width="19" style="1381" customWidth="1"/>
    <col min="9734" max="9984" width="9" style="1381"/>
    <col min="9985" max="9985" width="25.69921875" style="1381" customWidth="1"/>
    <col min="9986" max="9988" width="25" style="1381" customWidth="1"/>
    <col min="9989" max="9989" width="19" style="1381" customWidth="1"/>
    <col min="9990" max="10240" width="9" style="1381"/>
    <col min="10241" max="10241" width="25.69921875" style="1381" customWidth="1"/>
    <col min="10242" max="10244" width="25" style="1381" customWidth="1"/>
    <col min="10245" max="10245" width="19" style="1381" customWidth="1"/>
    <col min="10246" max="10496" width="9" style="1381"/>
    <col min="10497" max="10497" width="25.69921875" style="1381" customWidth="1"/>
    <col min="10498" max="10500" width="25" style="1381" customWidth="1"/>
    <col min="10501" max="10501" width="19" style="1381" customWidth="1"/>
    <col min="10502" max="10752" width="9" style="1381"/>
    <col min="10753" max="10753" width="25.69921875" style="1381" customWidth="1"/>
    <col min="10754" max="10756" width="25" style="1381" customWidth="1"/>
    <col min="10757" max="10757" width="19" style="1381" customWidth="1"/>
    <col min="10758" max="11008" width="9" style="1381"/>
    <col min="11009" max="11009" width="25.69921875" style="1381" customWidth="1"/>
    <col min="11010" max="11012" width="25" style="1381" customWidth="1"/>
    <col min="11013" max="11013" width="19" style="1381" customWidth="1"/>
    <col min="11014" max="11264" width="9" style="1381"/>
    <col min="11265" max="11265" width="25.69921875" style="1381" customWidth="1"/>
    <col min="11266" max="11268" width="25" style="1381" customWidth="1"/>
    <col min="11269" max="11269" width="19" style="1381" customWidth="1"/>
    <col min="11270" max="11520" width="9" style="1381"/>
    <col min="11521" max="11521" width="25.69921875" style="1381" customWidth="1"/>
    <col min="11522" max="11524" width="25" style="1381" customWidth="1"/>
    <col min="11525" max="11525" width="19" style="1381" customWidth="1"/>
    <col min="11526" max="11776" width="9" style="1381"/>
    <col min="11777" max="11777" width="25.69921875" style="1381" customWidth="1"/>
    <col min="11778" max="11780" width="25" style="1381" customWidth="1"/>
    <col min="11781" max="11781" width="19" style="1381" customWidth="1"/>
    <col min="11782" max="12032" width="9" style="1381"/>
    <col min="12033" max="12033" width="25.69921875" style="1381" customWidth="1"/>
    <col min="12034" max="12036" width="25" style="1381" customWidth="1"/>
    <col min="12037" max="12037" width="19" style="1381" customWidth="1"/>
    <col min="12038" max="12288" width="9" style="1381"/>
    <col min="12289" max="12289" width="25.69921875" style="1381" customWidth="1"/>
    <col min="12290" max="12292" width="25" style="1381" customWidth="1"/>
    <col min="12293" max="12293" width="19" style="1381" customWidth="1"/>
    <col min="12294" max="12544" width="9" style="1381"/>
    <col min="12545" max="12545" width="25.69921875" style="1381" customWidth="1"/>
    <col min="12546" max="12548" width="25" style="1381" customWidth="1"/>
    <col min="12549" max="12549" width="19" style="1381" customWidth="1"/>
    <col min="12550" max="12800" width="9" style="1381"/>
    <col min="12801" max="12801" width="25.69921875" style="1381" customWidth="1"/>
    <col min="12802" max="12804" width="25" style="1381" customWidth="1"/>
    <col min="12805" max="12805" width="19" style="1381" customWidth="1"/>
    <col min="12806" max="13056" width="9" style="1381"/>
    <col min="13057" max="13057" width="25.69921875" style="1381" customWidth="1"/>
    <col min="13058" max="13060" width="25" style="1381" customWidth="1"/>
    <col min="13061" max="13061" width="19" style="1381" customWidth="1"/>
    <col min="13062" max="13312" width="9" style="1381"/>
    <col min="13313" max="13313" width="25.69921875" style="1381" customWidth="1"/>
    <col min="13314" max="13316" width="25" style="1381" customWidth="1"/>
    <col min="13317" max="13317" width="19" style="1381" customWidth="1"/>
    <col min="13318" max="13568" width="9" style="1381"/>
    <col min="13569" max="13569" width="25.69921875" style="1381" customWidth="1"/>
    <col min="13570" max="13572" width="25" style="1381" customWidth="1"/>
    <col min="13573" max="13573" width="19" style="1381" customWidth="1"/>
    <col min="13574" max="13824" width="9" style="1381"/>
    <col min="13825" max="13825" width="25.69921875" style="1381" customWidth="1"/>
    <col min="13826" max="13828" width="25" style="1381" customWidth="1"/>
    <col min="13829" max="13829" width="19" style="1381" customWidth="1"/>
    <col min="13830" max="14080" width="9" style="1381"/>
    <col min="14081" max="14081" width="25.69921875" style="1381" customWidth="1"/>
    <col min="14082" max="14084" width="25" style="1381" customWidth="1"/>
    <col min="14085" max="14085" width="19" style="1381" customWidth="1"/>
    <col min="14086" max="14336" width="9" style="1381"/>
    <col min="14337" max="14337" width="25.69921875" style="1381" customWidth="1"/>
    <col min="14338" max="14340" width="25" style="1381" customWidth="1"/>
    <col min="14341" max="14341" width="19" style="1381" customWidth="1"/>
    <col min="14342" max="14592" width="9" style="1381"/>
    <col min="14593" max="14593" width="25.69921875" style="1381" customWidth="1"/>
    <col min="14594" max="14596" width="25" style="1381" customWidth="1"/>
    <col min="14597" max="14597" width="19" style="1381" customWidth="1"/>
    <col min="14598" max="14848" width="9" style="1381"/>
    <col min="14849" max="14849" width="25.69921875" style="1381" customWidth="1"/>
    <col min="14850" max="14852" width="25" style="1381" customWidth="1"/>
    <col min="14853" max="14853" width="19" style="1381" customWidth="1"/>
    <col min="14854" max="15104" width="9" style="1381"/>
    <col min="15105" max="15105" width="25.69921875" style="1381" customWidth="1"/>
    <col min="15106" max="15108" width="25" style="1381" customWidth="1"/>
    <col min="15109" max="15109" width="19" style="1381" customWidth="1"/>
    <col min="15110" max="15360" width="9" style="1381"/>
    <col min="15361" max="15361" width="25.69921875" style="1381" customWidth="1"/>
    <col min="15362" max="15364" width="25" style="1381" customWidth="1"/>
    <col min="15365" max="15365" width="19" style="1381" customWidth="1"/>
    <col min="15366" max="15616" width="9" style="1381"/>
    <col min="15617" max="15617" width="25.69921875" style="1381" customWidth="1"/>
    <col min="15618" max="15620" width="25" style="1381" customWidth="1"/>
    <col min="15621" max="15621" width="19" style="1381" customWidth="1"/>
    <col min="15622" max="15872" width="9" style="1381"/>
    <col min="15873" max="15873" width="25.69921875" style="1381" customWidth="1"/>
    <col min="15874" max="15876" width="25" style="1381" customWidth="1"/>
    <col min="15877" max="15877" width="19" style="1381" customWidth="1"/>
    <col min="15878" max="16128" width="9" style="1381"/>
    <col min="16129" max="16129" width="25.69921875" style="1381" customWidth="1"/>
    <col min="16130" max="16132" width="25" style="1381" customWidth="1"/>
    <col min="16133" max="16133" width="19" style="1381" customWidth="1"/>
    <col min="16134" max="16384" width="9" style="1381"/>
  </cols>
  <sheetData>
    <row r="1" spans="1:5" ht="21" customHeight="1">
      <c r="A1" s="3847" t="s">
        <v>1425</v>
      </c>
      <c r="B1" s="3847"/>
      <c r="C1" s="3847"/>
      <c r="D1" s="3847"/>
    </row>
    <row r="2" spans="1:5" s="1401" customFormat="1" ht="20.25" customHeight="1">
      <c r="A2" s="3848" t="s">
        <v>2343</v>
      </c>
      <c r="B2" s="3848"/>
      <c r="C2" s="3848"/>
      <c r="D2" s="3848"/>
      <c r="E2" s="3848"/>
    </row>
    <row r="3" spans="1:5" ht="19.5" customHeight="1">
      <c r="A3" s="3848"/>
      <c r="B3" s="3848"/>
      <c r="C3" s="3848"/>
      <c r="D3" s="3848"/>
      <c r="E3" s="3848"/>
    </row>
    <row r="4" spans="1:5" ht="21" customHeight="1">
      <c r="A4" s="3848"/>
      <c r="B4" s="3848"/>
      <c r="C4" s="3848"/>
      <c r="D4" s="3848"/>
      <c r="E4" s="3848"/>
    </row>
    <row r="5" spans="1:5" ht="21" customHeight="1">
      <c r="A5" s="1406"/>
      <c r="B5" s="1407"/>
      <c r="C5" s="1407"/>
      <c r="D5" s="1407" t="s">
        <v>2344</v>
      </c>
    </row>
    <row r="6" spans="1:5" ht="21" customHeight="1">
      <c r="A6" s="1382" t="s">
        <v>2345</v>
      </c>
      <c r="B6" s="1408" t="s">
        <v>1427</v>
      </c>
      <c r="C6" s="1408" t="s">
        <v>1428</v>
      </c>
      <c r="D6" s="1408" t="s">
        <v>2346</v>
      </c>
      <c r="E6" s="1382" t="s">
        <v>832</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19921875" style="1390" customWidth="1"/>
    <col min="2" max="2" width="15.3984375" style="1390" customWidth="1"/>
    <col min="3" max="3" width="17.59765625" style="1426" customWidth="1"/>
    <col min="4" max="4" width="17.59765625" style="1427" customWidth="1"/>
    <col min="5" max="5" width="15.59765625" style="1426" customWidth="1"/>
    <col min="6" max="6" width="18" style="1390" customWidth="1"/>
    <col min="7" max="256" width="9" style="1400"/>
    <col min="257" max="257" width="26.19921875" style="1400" customWidth="1"/>
    <col min="258" max="258" width="15.3984375" style="1400" customWidth="1"/>
    <col min="259" max="260" width="17.59765625" style="1400" customWidth="1"/>
    <col min="261" max="261" width="15.59765625" style="1400" customWidth="1"/>
    <col min="262" max="262" width="18" style="1400" customWidth="1"/>
    <col min="263" max="512" width="9" style="1400"/>
    <col min="513" max="513" width="26.19921875" style="1400" customWidth="1"/>
    <col min="514" max="514" width="15.3984375" style="1400" customWidth="1"/>
    <col min="515" max="516" width="17.59765625" style="1400" customWidth="1"/>
    <col min="517" max="517" width="15.59765625" style="1400" customWidth="1"/>
    <col min="518" max="518" width="18" style="1400" customWidth="1"/>
    <col min="519" max="768" width="9" style="1400"/>
    <col min="769" max="769" width="26.19921875" style="1400" customWidth="1"/>
    <col min="770" max="770" width="15.3984375" style="1400" customWidth="1"/>
    <col min="771" max="772" width="17.59765625" style="1400" customWidth="1"/>
    <col min="773" max="773" width="15.59765625" style="1400" customWidth="1"/>
    <col min="774" max="774" width="18" style="1400" customWidth="1"/>
    <col min="775" max="1024" width="9" style="1400"/>
    <col min="1025" max="1025" width="26.19921875" style="1400" customWidth="1"/>
    <col min="1026" max="1026" width="15.3984375" style="1400" customWidth="1"/>
    <col min="1027" max="1028" width="17.59765625" style="1400" customWidth="1"/>
    <col min="1029" max="1029" width="15.59765625" style="1400" customWidth="1"/>
    <col min="1030" max="1030" width="18" style="1400" customWidth="1"/>
    <col min="1031" max="1280" width="9" style="1400"/>
    <col min="1281" max="1281" width="26.19921875" style="1400" customWidth="1"/>
    <col min="1282" max="1282" width="15.3984375" style="1400" customWidth="1"/>
    <col min="1283" max="1284" width="17.59765625" style="1400" customWidth="1"/>
    <col min="1285" max="1285" width="15.59765625" style="1400" customWidth="1"/>
    <col min="1286" max="1286" width="18" style="1400" customWidth="1"/>
    <col min="1287" max="1536" width="9" style="1400"/>
    <col min="1537" max="1537" width="26.19921875" style="1400" customWidth="1"/>
    <col min="1538" max="1538" width="15.3984375" style="1400" customWidth="1"/>
    <col min="1539" max="1540" width="17.59765625" style="1400" customWidth="1"/>
    <col min="1541" max="1541" width="15.59765625" style="1400" customWidth="1"/>
    <col min="1542" max="1542" width="18" style="1400" customWidth="1"/>
    <col min="1543" max="1792" width="9" style="1400"/>
    <col min="1793" max="1793" width="26.19921875" style="1400" customWidth="1"/>
    <col min="1794" max="1794" width="15.3984375" style="1400" customWidth="1"/>
    <col min="1795" max="1796" width="17.59765625" style="1400" customWidth="1"/>
    <col min="1797" max="1797" width="15.59765625" style="1400" customWidth="1"/>
    <col min="1798" max="1798" width="18" style="1400" customWidth="1"/>
    <col min="1799" max="2048" width="9" style="1400"/>
    <col min="2049" max="2049" width="26.19921875" style="1400" customWidth="1"/>
    <col min="2050" max="2050" width="15.3984375" style="1400" customWidth="1"/>
    <col min="2051" max="2052" width="17.59765625" style="1400" customWidth="1"/>
    <col min="2053" max="2053" width="15.59765625" style="1400" customWidth="1"/>
    <col min="2054" max="2054" width="18" style="1400" customWidth="1"/>
    <col min="2055" max="2304" width="9" style="1400"/>
    <col min="2305" max="2305" width="26.19921875" style="1400" customWidth="1"/>
    <col min="2306" max="2306" width="15.3984375" style="1400" customWidth="1"/>
    <col min="2307" max="2308" width="17.59765625" style="1400" customWidth="1"/>
    <col min="2309" max="2309" width="15.59765625" style="1400" customWidth="1"/>
    <col min="2310" max="2310" width="18" style="1400" customWidth="1"/>
    <col min="2311" max="2560" width="9" style="1400"/>
    <col min="2561" max="2561" width="26.19921875" style="1400" customWidth="1"/>
    <col min="2562" max="2562" width="15.3984375" style="1400" customWidth="1"/>
    <col min="2563" max="2564" width="17.59765625" style="1400" customWidth="1"/>
    <col min="2565" max="2565" width="15.59765625" style="1400" customWidth="1"/>
    <col min="2566" max="2566" width="18" style="1400" customWidth="1"/>
    <col min="2567" max="2816" width="9" style="1400"/>
    <col min="2817" max="2817" width="26.19921875" style="1400" customWidth="1"/>
    <col min="2818" max="2818" width="15.3984375" style="1400" customWidth="1"/>
    <col min="2819" max="2820" width="17.59765625" style="1400" customWidth="1"/>
    <col min="2821" max="2821" width="15.59765625" style="1400" customWidth="1"/>
    <col min="2822" max="2822" width="18" style="1400" customWidth="1"/>
    <col min="2823" max="3072" width="9" style="1400"/>
    <col min="3073" max="3073" width="26.19921875" style="1400" customWidth="1"/>
    <col min="3074" max="3074" width="15.3984375" style="1400" customWidth="1"/>
    <col min="3075" max="3076" width="17.59765625" style="1400" customWidth="1"/>
    <col min="3077" max="3077" width="15.59765625" style="1400" customWidth="1"/>
    <col min="3078" max="3078" width="18" style="1400" customWidth="1"/>
    <col min="3079" max="3328" width="9" style="1400"/>
    <col min="3329" max="3329" width="26.19921875" style="1400" customWidth="1"/>
    <col min="3330" max="3330" width="15.3984375" style="1400" customWidth="1"/>
    <col min="3331" max="3332" width="17.59765625" style="1400" customWidth="1"/>
    <col min="3333" max="3333" width="15.59765625" style="1400" customWidth="1"/>
    <col min="3334" max="3334" width="18" style="1400" customWidth="1"/>
    <col min="3335" max="3584" width="9" style="1400"/>
    <col min="3585" max="3585" width="26.19921875" style="1400" customWidth="1"/>
    <col min="3586" max="3586" width="15.3984375" style="1400" customWidth="1"/>
    <col min="3587" max="3588" width="17.59765625" style="1400" customWidth="1"/>
    <col min="3589" max="3589" width="15.59765625" style="1400" customWidth="1"/>
    <col min="3590" max="3590" width="18" style="1400" customWidth="1"/>
    <col min="3591" max="3840" width="9" style="1400"/>
    <col min="3841" max="3841" width="26.19921875" style="1400" customWidth="1"/>
    <col min="3842" max="3842" width="15.3984375" style="1400" customWidth="1"/>
    <col min="3843" max="3844" width="17.59765625" style="1400" customWidth="1"/>
    <col min="3845" max="3845" width="15.59765625" style="1400" customWidth="1"/>
    <col min="3846" max="3846" width="18" style="1400" customWidth="1"/>
    <col min="3847" max="4096" width="9" style="1400"/>
    <col min="4097" max="4097" width="26.19921875" style="1400" customWidth="1"/>
    <col min="4098" max="4098" width="15.3984375" style="1400" customWidth="1"/>
    <col min="4099" max="4100" width="17.59765625" style="1400" customWidth="1"/>
    <col min="4101" max="4101" width="15.59765625" style="1400" customWidth="1"/>
    <col min="4102" max="4102" width="18" style="1400" customWidth="1"/>
    <col min="4103" max="4352" width="9" style="1400"/>
    <col min="4353" max="4353" width="26.19921875" style="1400" customWidth="1"/>
    <col min="4354" max="4354" width="15.3984375" style="1400" customWidth="1"/>
    <col min="4355" max="4356" width="17.59765625" style="1400" customWidth="1"/>
    <col min="4357" max="4357" width="15.59765625" style="1400" customWidth="1"/>
    <col min="4358" max="4358" width="18" style="1400" customWidth="1"/>
    <col min="4359" max="4608" width="9" style="1400"/>
    <col min="4609" max="4609" width="26.19921875" style="1400" customWidth="1"/>
    <col min="4610" max="4610" width="15.3984375" style="1400" customWidth="1"/>
    <col min="4611" max="4612" width="17.59765625" style="1400" customWidth="1"/>
    <col min="4613" max="4613" width="15.59765625" style="1400" customWidth="1"/>
    <col min="4614" max="4614" width="18" style="1400" customWidth="1"/>
    <col min="4615" max="4864" width="9" style="1400"/>
    <col min="4865" max="4865" width="26.19921875" style="1400" customWidth="1"/>
    <col min="4866" max="4866" width="15.3984375" style="1400" customWidth="1"/>
    <col min="4867" max="4868" width="17.59765625" style="1400" customWidth="1"/>
    <col min="4869" max="4869" width="15.59765625" style="1400" customWidth="1"/>
    <col min="4870" max="4870" width="18" style="1400" customWidth="1"/>
    <col min="4871" max="5120" width="9" style="1400"/>
    <col min="5121" max="5121" width="26.19921875" style="1400" customWidth="1"/>
    <col min="5122" max="5122" width="15.3984375" style="1400" customWidth="1"/>
    <col min="5123" max="5124" width="17.59765625" style="1400" customWidth="1"/>
    <col min="5125" max="5125" width="15.59765625" style="1400" customWidth="1"/>
    <col min="5126" max="5126" width="18" style="1400" customWidth="1"/>
    <col min="5127" max="5376" width="9" style="1400"/>
    <col min="5377" max="5377" width="26.19921875" style="1400" customWidth="1"/>
    <col min="5378" max="5378" width="15.3984375" style="1400" customWidth="1"/>
    <col min="5379" max="5380" width="17.59765625" style="1400" customWidth="1"/>
    <col min="5381" max="5381" width="15.59765625" style="1400" customWidth="1"/>
    <col min="5382" max="5382" width="18" style="1400" customWidth="1"/>
    <col min="5383" max="5632" width="9" style="1400"/>
    <col min="5633" max="5633" width="26.19921875" style="1400" customWidth="1"/>
    <col min="5634" max="5634" width="15.3984375" style="1400" customWidth="1"/>
    <col min="5635" max="5636" width="17.59765625" style="1400" customWidth="1"/>
    <col min="5637" max="5637" width="15.59765625" style="1400" customWidth="1"/>
    <col min="5638" max="5638" width="18" style="1400" customWidth="1"/>
    <col min="5639" max="5888" width="9" style="1400"/>
    <col min="5889" max="5889" width="26.19921875" style="1400" customWidth="1"/>
    <col min="5890" max="5890" width="15.3984375" style="1400" customWidth="1"/>
    <col min="5891" max="5892" width="17.59765625" style="1400" customWidth="1"/>
    <col min="5893" max="5893" width="15.59765625" style="1400" customWidth="1"/>
    <col min="5894" max="5894" width="18" style="1400" customWidth="1"/>
    <col min="5895" max="6144" width="9" style="1400"/>
    <col min="6145" max="6145" width="26.19921875" style="1400" customWidth="1"/>
    <col min="6146" max="6146" width="15.3984375" style="1400" customWidth="1"/>
    <col min="6147" max="6148" width="17.59765625" style="1400" customWidth="1"/>
    <col min="6149" max="6149" width="15.59765625" style="1400" customWidth="1"/>
    <col min="6150" max="6150" width="18" style="1400" customWidth="1"/>
    <col min="6151" max="6400" width="9" style="1400"/>
    <col min="6401" max="6401" width="26.19921875" style="1400" customWidth="1"/>
    <col min="6402" max="6402" width="15.3984375" style="1400" customWidth="1"/>
    <col min="6403" max="6404" width="17.59765625" style="1400" customWidth="1"/>
    <col min="6405" max="6405" width="15.59765625" style="1400" customWidth="1"/>
    <col min="6406" max="6406" width="18" style="1400" customWidth="1"/>
    <col min="6407" max="6656" width="9" style="1400"/>
    <col min="6657" max="6657" width="26.19921875" style="1400" customWidth="1"/>
    <col min="6658" max="6658" width="15.3984375" style="1400" customWidth="1"/>
    <col min="6659" max="6660" width="17.59765625" style="1400" customWidth="1"/>
    <col min="6661" max="6661" width="15.59765625" style="1400" customWidth="1"/>
    <col min="6662" max="6662" width="18" style="1400" customWidth="1"/>
    <col min="6663" max="6912" width="9" style="1400"/>
    <col min="6913" max="6913" width="26.19921875" style="1400" customWidth="1"/>
    <col min="6914" max="6914" width="15.3984375" style="1400" customWidth="1"/>
    <col min="6915" max="6916" width="17.59765625" style="1400" customWidth="1"/>
    <col min="6917" max="6917" width="15.59765625" style="1400" customWidth="1"/>
    <col min="6918" max="6918" width="18" style="1400" customWidth="1"/>
    <col min="6919" max="7168" width="9" style="1400"/>
    <col min="7169" max="7169" width="26.19921875" style="1400" customWidth="1"/>
    <col min="7170" max="7170" width="15.3984375" style="1400" customWidth="1"/>
    <col min="7171" max="7172" width="17.59765625" style="1400" customWidth="1"/>
    <col min="7173" max="7173" width="15.59765625" style="1400" customWidth="1"/>
    <col min="7174" max="7174" width="18" style="1400" customWidth="1"/>
    <col min="7175" max="7424" width="9" style="1400"/>
    <col min="7425" max="7425" width="26.19921875" style="1400" customWidth="1"/>
    <col min="7426" max="7426" width="15.3984375" style="1400" customWidth="1"/>
    <col min="7427" max="7428" width="17.59765625" style="1400" customWidth="1"/>
    <col min="7429" max="7429" width="15.59765625" style="1400" customWidth="1"/>
    <col min="7430" max="7430" width="18" style="1400" customWidth="1"/>
    <col min="7431" max="7680" width="9" style="1400"/>
    <col min="7681" max="7681" width="26.19921875" style="1400" customWidth="1"/>
    <col min="7682" max="7682" width="15.3984375" style="1400" customWidth="1"/>
    <col min="7683" max="7684" width="17.59765625" style="1400" customWidth="1"/>
    <col min="7685" max="7685" width="15.59765625" style="1400" customWidth="1"/>
    <col min="7686" max="7686" width="18" style="1400" customWidth="1"/>
    <col min="7687" max="7936" width="9" style="1400"/>
    <col min="7937" max="7937" width="26.19921875" style="1400" customWidth="1"/>
    <col min="7938" max="7938" width="15.3984375" style="1400" customWidth="1"/>
    <col min="7939" max="7940" width="17.59765625" style="1400" customWidth="1"/>
    <col min="7941" max="7941" width="15.59765625" style="1400" customWidth="1"/>
    <col min="7942" max="7942" width="18" style="1400" customWidth="1"/>
    <col min="7943" max="8192" width="9" style="1400"/>
    <col min="8193" max="8193" width="26.19921875" style="1400" customWidth="1"/>
    <col min="8194" max="8194" width="15.3984375" style="1400" customWidth="1"/>
    <col min="8195" max="8196" width="17.59765625" style="1400" customWidth="1"/>
    <col min="8197" max="8197" width="15.59765625" style="1400" customWidth="1"/>
    <col min="8198" max="8198" width="18" style="1400" customWidth="1"/>
    <col min="8199" max="8448" width="9" style="1400"/>
    <col min="8449" max="8449" width="26.19921875" style="1400" customWidth="1"/>
    <col min="8450" max="8450" width="15.3984375" style="1400" customWidth="1"/>
    <col min="8451" max="8452" width="17.59765625" style="1400" customWidth="1"/>
    <col min="8453" max="8453" width="15.59765625" style="1400" customWidth="1"/>
    <col min="8454" max="8454" width="18" style="1400" customWidth="1"/>
    <col min="8455" max="8704" width="9" style="1400"/>
    <col min="8705" max="8705" width="26.19921875" style="1400" customWidth="1"/>
    <col min="8706" max="8706" width="15.3984375" style="1400" customWidth="1"/>
    <col min="8707" max="8708" width="17.59765625" style="1400" customWidth="1"/>
    <col min="8709" max="8709" width="15.59765625" style="1400" customWidth="1"/>
    <col min="8710" max="8710" width="18" style="1400" customWidth="1"/>
    <col min="8711" max="8960" width="9" style="1400"/>
    <col min="8961" max="8961" width="26.19921875" style="1400" customWidth="1"/>
    <col min="8962" max="8962" width="15.3984375" style="1400" customWidth="1"/>
    <col min="8963" max="8964" width="17.59765625" style="1400" customWidth="1"/>
    <col min="8965" max="8965" width="15.59765625" style="1400" customWidth="1"/>
    <col min="8966" max="8966" width="18" style="1400" customWidth="1"/>
    <col min="8967" max="9216" width="9" style="1400"/>
    <col min="9217" max="9217" width="26.19921875" style="1400" customWidth="1"/>
    <col min="9218" max="9218" width="15.3984375" style="1400" customWidth="1"/>
    <col min="9219" max="9220" width="17.59765625" style="1400" customWidth="1"/>
    <col min="9221" max="9221" width="15.59765625" style="1400" customWidth="1"/>
    <col min="9222" max="9222" width="18" style="1400" customWidth="1"/>
    <col min="9223" max="9472" width="9" style="1400"/>
    <col min="9473" max="9473" width="26.19921875" style="1400" customWidth="1"/>
    <col min="9474" max="9474" width="15.3984375" style="1400" customWidth="1"/>
    <col min="9475" max="9476" width="17.59765625" style="1400" customWidth="1"/>
    <col min="9477" max="9477" width="15.59765625" style="1400" customWidth="1"/>
    <col min="9478" max="9478" width="18" style="1400" customWidth="1"/>
    <col min="9479" max="9728" width="9" style="1400"/>
    <col min="9729" max="9729" width="26.19921875" style="1400" customWidth="1"/>
    <col min="9730" max="9730" width="15.3984375" style="1400" customWidth="1"/>
    <col min="9731" max="9732" width="17.59765625" style="1400" customWidth="1"/>
    <col min="9733" max="9733" width="15.59765625" style="1400" customWidth="1"/>
    <col min="9734" max="9734" width="18" style="1400" customWidth="1"/>
    <col min="9735" max="9984" width="9" style="1400"/>
    <col min="9985" max="9985" width="26.19921875" style="1400" customWidth="1"/>
    <col min="9986" max="9986" width="15.3984375" style="1400" customWidth="1"/>
    <col min="9987" max="9988" width="17.59765625" style="1400" customWidth="1"/>
    <col min="9989" max="9989" width="15.59765625" style="1400" customWidth="1"/>
    <col min="9990" max="9990" width="18" style="1400" customWidth="1"/>
    <col min="9991" max="10240" width="9" style="1400"/>
    <col min="10241" max="10241" width="26.19921875" style="1400" customWidth="1"/>
    <col min="10242" max="10242" width="15.3984375" style="1400" customWidth="1"/>
    <col min="10243" max="10244" width="17.59765625" style="1400" customWidth="1"/>
    <col min="10245" max="10245" width="15.59765625" style="1400" customWidth="1"/>
    <col min="10246" max="10246" width="18" style="1400" customWidth="1"/>
    <col min="10247" max="10496" width="9" style="1400"/>
    <col min="10497" max="10497" width="26.19921875" style="1400" customWidth="1"/>
    <col min="10498" max="10498" width="15.3984375" style="1400" customWidth="1"/>
    <col min="10499" max="10500" width="17.59765625" style="1400" customWidth="1"/>
    <col min="10501" max="10501" width="15.59765625" style="1400" customWidth="1"/>
    <col min="10502" max="10502" width="18" style="1400" customWidth="1"/>
    <col min="10503" max="10752" width="9" style="1400"/>
    <col min="10753" max="10753" width="26.19921875" style="1400" customWidth="1"/>
    <col min="10754" max="10754" width="15.3984375" style="1400" customWidth="1"/>
    <col min="10755" max="10756" width="17.59765625" style="1400" customWidth="1"/>
    <col min="10757" max="10757" width="15.59765625" style="1400" customWidth="1"/>
    <col min="10758" max="10758" width="18" style="1400" customWidth="1"/>
    <col min="10759" max="11008" width="9" style="1400"/>
    <col min="11009" max="11009" width="26.19921875" style="1400" customWidth="1"/>
    <col min="11010" max="11010" width="15.3984375" style="1400" customWidth="1"/>
    <col min="11011" max="11012" width="17.59765625" style="1400" customWidth="1"/>
    <col min="11013" max="11013" width="15.59765625" style="1400" customWidth="1"/>
    <col min="11014" max="11014" width="18" style="1400" customWidth="1"/>
    <col min="11015" max="11264" width="9" style="1400"/>
    <col min="11265" max="11265" width="26.19921875" style="1400" customWidth="1"/>
    <col min="11266" max="11266" width="15.3984375" style="1400" customWidth="1"/>
    <col min="11267" max="11268" width="17.59765625" style="1400" customWidth="1"/>
    <col min="11269" max="11269" width="15.59765625" style="1400" customWidth="1"/>
    <col min="11270" max="11270" width="18" style="1400" customWidth="1"/>
    <col min="11271" max="11520" width="9" style="1400"/>
    <col min="11521" max="11521" width="26.19921875" style="1400" customWidth="1"/>
    <col min="11522" max="11522" width="15.3984375" style="1400" customWidth="1"/>
    <col min="11523" max="11524" width="17.59765625" style="1400" customWidth="1"/>
    <col min="11525" max="11525" width="15.59765625" style="1400" customWidth="1"/>
    <col min="11526" max="11526" width="18" style="1400" customWidth="1"/>
    <col min="11527" max="11776" width="9" style="1400"/>
    <col min="11777" max="11777" width="26.19921875" style="1400" customWidth="1"/>
    <col min="11778" max="11778" width="15.3984375" style="1400" customWidth="1"/>
    <col min="11779" max="11780" width="17.59765625" style="1400" customWidth="1"/>
    <col min="11781" max="11781" width="15.59765625" style="1400" customWidth="1"/>
    <col min="11782" max="11782" width="18" style="1400" customWidth="1"/>
    <col min="11783" max="12032" width="9" style="1400"/>
    <col min="12033" max="12033" width="26.19921875" style="1400" customWidth="1"/>
    <col min="12034" max="12034" width="15.3984375" style="1400" customWidth="1"/>
    <col min="12035" max="12036" width="17.59765625" style="1400" customWidth="1"/>
    <col min="12037" max="12037" width="15.59765625" style="1400" customWidth="1"/>
    <col min="12038" max="12038" width="18" style="1400" customWidth="1"/>
    <col min="12039" max="12288" width="9" style="1400"/>
    <col min="12289" max="12289" width="26.19921875" style="1400" customWidth="1"/>
    <col min="12290" max="12290" width="15.3984375" style="1400" customWidth="1"/>
    <col min="12291" max="12292" width="17.59765625" style="1400" customWidth="1"/>
    <col min="12293" max="12293" width="15.59765625" style="1400" customWidth="1"/>
    <col min="12294" max="12294" width="18" style="1400" customWidth="1"/>
    <col min="12295" max="12544" width="9" style="1400"/>
    <col min="12545" max="12545" width="26.19921875" style="1400" customWidth="1"/>
    <col min="12546" max="12546" width="15.3984375" style="1400" customWidth="1"/>
    <col min="12547" max="12548" width="17.59765625" style="1400" customWidth="1"/>
    <col min="12549" max="12549" width="15.59765625" style="1400" customWidth="1"/>
    <col min="12550" max="12550" width="18" style="1400" customWidth="1"/>
    <col min="12551" max="12800" width="9" style="1400"/>
    <col min="12801" max="12801" width="26.19921875" style="1400" customWidth="1"/>
    <col min="12802" max="12802" width="15.3984375" style="1400" customWidth="1"/>
    <col min="12803" max="12804" width="17.59765625" style="1400" customWidth="1"/>
    <col min="12805" max="12805" width="15.59765625" style="1400" customWidth="1"/>
    <col min="12806" max="12806" width="18" style="1400" customWidth="1"/>
    <col min="12807" max="13056" width="9" style="1400"/>
    <col min="13057" max="13057" width="26.19921875" style="1400" customWidth="1"/>
    <col min="13058" max="13058" width="15.3984375" style="1400" customWidth="1"/>
    <col min="13059" max="13060" width="17.59765625" style="1400" customWidth="1"/>
    <col min="13061" max="13061" width="15.59765625" style="1400" customWidth="1"/>
    <col min="13062" max="13062" width="18" style="1400" customWidth="1"/>
    <col min="13063" max="13312" width="9" style="1400"/>
    <col min="13313" max="13313" width="26.19921875" style="1400" customWidth="1"/>
    <col min="13314" max="13314" width="15.3984375" style="1400" customWidth="1"/>
    <col min="13315" max="13316" width="17.59765625" style="1400" customWidth="1"/>
    <col min="13317" max="13317" width="15.59765625" style="1400" customWidth="1"/>
    <col min="13318" max="13318" width="18" style="1400" customWidth="1"/>
    <col min="13319" max="13568" width="9" style="1400"/>
    <col min="13569" max="13569" width="26.19921875" style="1400" customWidth="1"/>
    <col min="13570" max="13570" width="15.3984375" style="1400" customWidth="1"/>
    <col min="13571" max="13572" width="17.59765625" style="1400" customWidth="1"/>
    <col min="13573" max="13573" width="15.59765625" style="1400" customWidth="1"/>
    <col min="13574" max="13574" width="18" style="1400" customWidth="1"/>
    <col min="13575" max="13824" width="9" style="1400"/>
    <col min="13825" max="13825" width="26.19921875" style="1400" customWidth="1"/>
    <col min="13826" max="13826" width="15.3984375" style="1400" customWidth="1"/>
    <col min="13827" max="13828" width="17.59765625" style="1400" customWidth="1"/>
    <col min="13829" max="13829" width="15.59765625" style="1400" customWidth="1"/>
    <col min="13830" max="13830" width="18" style="1400" customWidth="1"/>
    <col min="13831" max="14080" width="9" style="1400"/>
    <col min="14081" max="14081" width="26.19921875" style="1400" customWidth="1"/>
    <col min="14082" max="14082" width="15.3984375" style="1400" customWidth="1"/>
    <col min="14083" max="14084" width="17.59765625" style="1400" customWidth="1"/>
    <col min="14085" max="14085" width="15.59765625" style="1400" customWidth="1"/>
    <col min="14086" max="14086" width="18" style="1400" customWidth="1"/>
    <col min="14087" max="14336" width="9" style="1400"/>
    <col min="14337" max="14337" width="26.19921875" style="1400" customWidth="1"/>
    <col min="14338" max="14338" width="15.3984375" style="1400" customWidth="1"/>
    <col min="14339" max="14340" width="17.59765625" style="1400" customWidth="1"/>
    <col min="14341" max="14341" width="15.59765625" style="1400" customWidth="1"/>
    <col min="14342" max="14342" width="18" style="1400" customWidth="1"/>
    <col min="14343" max="14592" width="9" style="1400"/>
    <col min="14593" max="14593" width="26.19921875" style="1400" customWidth="1"/>
    <col min="14594" max="14594" width="15.3984375" style="1400" customWidth="1"/>
    <col min="14595" max="14596" width="17.59765625" style="1400" customWidth="1"/>
    <col min="14597" max="14597" width="15.59765625" style="1400" customWidth="1"/>
    <col min="14598" max="14598" width="18" style="1400" customWidth="1"/>
    <col min="14599" max="14848" width="9" style="1400"/>
    <col min="14849" max="14849" width="26.19921875" style="1400" customWidth="1"/>
    <col min="14850" max="14850" width="15.3984375" style="1400" customWidth="1"/>
    <col min="14851" max="14852" width="17.59765625" style="1400" customWidth="1"/>
    <col min="14853" max="14853" width="15.59765625" style="1400" customWidth="1"/>
    <col min="14854" max="14854" width="18" style="1400" customWidth="1"/>
    <col min="14855" max="15104" width="9" style="1400"/>
    <col min="15105" max="15105" width="26.19921875" style="1400" customWidth="1"/>
    <col min="15106" max="15106" width="15.3984375" style="1400" customWidth="1"/>
    <col min="15107" max="15108" width="17.59765625" style="1400" customWidth="1"/>
    <col min="15109" max="15109" width="15.59765625" style="1400" customWidth="1"/>
    <col min="15110" max="15110" width="18" style="1400" customWidth="1"/>
    <col min="15111" max="15360" width="9" style="1400"/>
    <col min="15361" max="15361" width="26.19921875" style="1400" customWidth="1"/>
    <col min="15362" max="15362" width="15.3984375" style="1400" customWidth="1"/>
    <col min="15363" max="15364" width="17.59765625" style="1400" customWidth="1"/>
    <col min="15365" max="15365" width="15.59765625" style="1400" customWidth="1"/>
    <col min="15366" max="15366" width="18" style="1400" customWidth="1"/>
    <col min="15367" max="15616" width="9" style="1400"/>
    <col min="15617" max="15617" width="26.19921875" style="1400" customWidth="1"/>
    <col min="15618" max="15618" width="15.3984375" style="1400" customWidth="1"/>
    <col min="15619" max="15620" width="17.59765625" style="1400" customWidth="1"/>
    <col min="15621" max="15621" width="15.59765625" style="1400" customWidth="1"/>
    <col min="15622" max="15622" width="18" style="1400" customWidth="1"/>
    <col min="15623" max="15872" width="9" style="1400"/>
    <col min="15873" max="15873" width="26.19921875" style="1400" customWidth="1"/>
    <col min="15874" max="15874" width="15.3984375" style="1400" customWidth="1"/>
    <col min="15875" max="15876" width="17.59765625" style="1400" customWidth="1"/>
    <col min="15877" max="15877" width="15.59765625" style="1400" customWidth="1"/>
    <col min="15878" max="15878" width="18" style="1400" customWidth="1"/>
    <col min="15879" max="16128" width="9" style="1400"/>
    <col min="16129" max="16129" width="26.19921875" style="1400" customWidth="1"/>
    <col min="16130" max="16130" width="15.3984375" style="1400" customWidth="1"/>
    <col min="16131" max="16132" width="17.59765625" style="1400" customWidth="1"/>
    <col min="16133" max="16133" width="15.59765625" style="1400" customWidth="1"/>
    <col min="16134" max="16134" width="18" style="1400" customWidth="1"/>
    <col min="16135" max="16384" width="9" style="1400"/>
  </cols>
  <sheetData>
    <row r="1" spans="1:6" ht="23.25" customHeight="1">
      <c r="A1" s="3849" t="s">
        <v>1430</v>
      </c>
      <c r="B1" s="3849"/>
      <c r="C1" s="3849"/>
      <c r="D1" s="3849"/>
      <c r="E1" s="3849"/>
      <c r="F1" s="1413"/>
    </row>
    <row r="2" spans="1:6" s="1352" customFormat="1" ht="38.25" customHeight="1">
      <c r="A2" s="3850" t="s">
        <v>2347</v>
      </c>
      <c r="B2" s="3851"/>
      <c r="C2" s="3851"/>
      <c r="D2" s="3851"/>
      <c r="E2" s="3851"/>
      <c r="F2" s="3851"/>
    </row>
    <row r="3" spans="1:6" s="1352" customFormat="1" ht="32.25" customHeight="1">
      <c r="A3" s="3851"/>
      <c r="B3" s="3851"/>
      <c r="C3" s="3851"/>
      <c r="D3" s="3851"/>
      <c r="E3" s="3851"/>
      <c r="F3" s="3851"/>
    </row>
    <row r="4" spans="1:6" s="1352" customFormat="1" ht="23.25" customHeight="1">
      <c r="A4" s="3852" t="s">
        <v>2348</v>
      </c>
      <c r="B4" s="3852"/>
      <c r="C4" s="3852"/>
      <c r="D4" s="3852"/>
      <c r="E4" s="3852"/>
      <c r="F4" s="1414"/>
    </row>
    <row r="5" spans="1:6" s="1352" customFormat="1" ht="23.25" customHeight="1">
      <c r="A5" s="3853" t="s">
        <v>2349</v>
      </c>
      <c r="B5" s="3853" t="s">
        <v>1431</v>
      </c>
      <c r="C5" s="3854" t="s">
        <v>2350</v>
      </c>
      <c r="D5" s="3855" t="s">
        <v>1433</v>
      </c>
      <c r="E5" s="3855"/>
      <c r="F5" s="3856" t="s">
        <v>2351</v>
      </c>
    </row>
    <row r="6" spans="1:6" s="1352" customFormat="1" ht="36" customHeight="1">
      <c r="A6" s="3853"/>
      <c r="B6" s="3853"/>
      <c r="C6" s="3854"/>
      <c r="D6" s="1415" t="s">
        <v>2352</v>
      </c>
      <c r="E6" s="1416" t="s">
        <v>2353</v>
      </c>
      <c r="F6" s="3856"/>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B12" sqref="B12"/>
    </sheetView>
  </sheetViews>
  <sheetFormatPr defaultRowHeight="19.5" customHeight="1"/>
  <cols>
    <col min="1" max="1" width="21.3984375" style="1350" customWidth="1"/>
    <col min="2" max="2" width="55.69921875" style="1351" customWidth="1"/>
    <col min="3" max="3" width="24.3984375" style="1350" customWidth="1"/>
    <col min="4" max="255" width="9" style="1336"/>
    <col min="256" max="256" width="21.3984375" style="1336" customWidth="1"/>
    <col min="257" max="257" width="55.69921875" style="1336" customWidth="1"/>
    <col min="258" max="258" width="24.3984375" style="1336" customWidth="1"/>
    <col min="259" max="259" width="9" style="1336"/>
    <col min="260" max="260" width="20.5" style="1336" bestFit="1" customWidth="1"/>
    <col min="261" max="511" width="9" style="1336"/>
    <col min="512" max="512" width="21.3984375" style="1336" customWidth="1"/>
    <col min="513" max="513" width="55.69921875" style="1336" customWidth="1"/>
    <col min="514" max="514" width="24.3984375" style="1336" customWidth="1"/>
    <col min="515" max="515" width="9" style="1336"/>
    <col min="516" max="516" width="20.5" style="1336" bestFit="1" customWidth="1"/>
    <col min="517" max="767" width="9" style="1336"/>
    <col min="768" max="768" width="21.3984375" style="1336" customWidth="1"/>
    <col min="769" max="769" width="55.69921875" style="1336" customWidth="1"/>
    <col min="770" max="770" width="24.3984375" style="1336" customWidth="1"/>
    <col min="771" max="771" width="9" style="1336"/>
    <col min="772" max="772" width="20.5" style="1336" bestFit="1" customWidth="1"/>
    <col min="773" max="1023" width="9" style="1336"/>
    <col min="1024" max="1024" width="21.3984375" style="1336" customWidth="1"/>
    <col min="1025" max="1025" width="55.69921875" style="1336" customWidth="1"/>
    <col min="1026" max="1026" width="24.3984375" style="1336" customWidth="1"/>
    <col min="1027" max="1027" width="9" style="1336"/>
    <col min="1028" max="1028" width="20.5" style="1336" bestFit="1" customWidth="1"/>
    <col min="1029" max="1279" width="9" style="1336"/>
    <col min="1280" max="1280" width="21.3984375" style="1336" customWidth="1"/>
    <col min="1281" max="1281" width="55.69921875" style="1336" customWidth="1"/>
    <col min="1282" max="1282" width="24.3984375" style="1336" customWidth="1"/>
    <col min="1283" max="1283" width="9" style="1336"/>
    <col min="1284" max="1284" width="20.5" style="1336" bestFit="1" customWidth="1"/>
    <col min="1285" max="1535" width="9" style="1336"/>
    <col min="1536" max="1536" width="21.3984375" style="1336" customWidth="1"/>
    <col min="1537" max="1537" width="55.69921875" style="1336" customWidth="1"/>
    <col min="1538" max="1538" width="24.3984375" style="1336" customWidth="1"/>
    <col min="1539" max="1539" width="9" style="1336"/>
    <col min="1540" max="1540" width="20.5" style="1336" bestFit="1" customWidth="1"/>
    <col min="1541" max="1791" width="9" style="1336"/>
    <col min="1792" max="1792" width="21.3984375" style="1336" customWidth="1"/>
    <col min="1793" max="1793" width="55.69921875" style="1336" customWidth="1"/>
    <col min="1794" max="1794" width="24.3984375" style="1336" customWidth="1"/>
    <col min="1795" max="1795" width="9" style="1336"/>
    <col min="1796" max="1796" width="20.5" style="1336" bestFit="1" customWidth="1"/>
    <col min="1797" max="2047" width="9" style="1336"/>
    <col min="2048" max="2048" width="21.3984375" style="1336" customWidth="1"/>
    <col min="2049" max="2049" width="55.69921875" style="1336" customWidth="1"/>
    <col min="2050" max="2050" width="24.3984375" style="1336" customWidth="1"/>
    <col min="2051" max="2051" width="9" style="1336"/>
    <col min="2052" max="2052" width="20.5" style="1336" bestFit="1" customWidth="1"/>
    <col min="2053" max="2303" width="9" style="1336"/>
    <col min="2304" max="2304" width="21.3984375" style="1336" customWidth="1"/>
    <col min="2305" max="2305" width="55.69921875" style="1336" customWidth="1"/>
    <col min="2306" max="2306" width="24.3984375" style="1336" customWidth="1"/>
    <col min="2307" max="2307" width="9" style="1336"/>
    <col min="2308" max="2308" width="20.5" style="1336" bestFit="1" customWidth="1"/>
    <col min="2309" max="2559" width="9" style="1336"/>
    <col min="2560" max="2560" width="21.3984375" style="1336" customWidth="1"/>
    <col min="2561" max="2561" width="55.69921875" style="1336" customWidth="1"/>
    <col min="2562" max="2562" width="24.3984375" style="1336" customWidth="1"/>
    <col min="2563" max="2563" width="9" style="1336"/>
    <col min="2564" max="2564" width="20.5" style="1336" bestFit="1" customWidth="1"/>
    <col min="2565" max="2815" width="9" style="1336"/>
    <col min="2816" max="2816" width="21.3984375" style="1336" customWidth="1"/>
    <col min="2817" max="2817" width="55.69921875" style="1336" customWidth="1"/>
    <col min="2818" max="2818" width="24.3984375" style="1336" customWidth="1"/>
    <col min="2819" max="2819" width="9" style="1336"/>
    <col min="2820" max="2820" width="20.5" style="1336" bestFit="1" customWidth="1"/>
    <col min="2821" max="3071" width="9" style="1336"/>
    <col min="3072" max="3072" width="21.3984375" style="1336" customWidth="1"/>
    <col min="3073" max="3073" width="55.69921875" style="1336" customWidth="1"/>
    <col min="3074" max="3074" width="24.3984375" style="1336" customWidth="1"/>
    <col min="3075" max="3075" width="9" style="1336"/>
    <col min="3076" max="3076" width="20.5" style="1336" bestFit="1" customWidth="1"/>
    <col min="3077" max="3327" width="9" style="1336"/>
    <col min="3328" max="3328" width="21.3984375" style="1336" customWidth="1"/>
    <col min="3329" max="3329" width="55.69921875" style="1336" customWidth="1"/>
    <col min="3330" max="3330" width="24.3984375" style="1336" customWidth="1"/>
    <col min="3331" max="3331" width="9" style="1336"/>
    <col min="3332" max="3332" width="20.5" style="1336" bestFit="1" customWidth="1"/>
    <col min="3333" max="3583" width="9" style="1336"/>
    <col min="3584" max="3584" width="21.3984375" style="1336" customWidth="1"/>
    <col min="3585" max="3585" width="55.69921875" style="1336" customWidth="1"/>
    <col min="3586" max="3586" width="24.3984375" style="1336" customWidth="1"/>
    <col min="3587" max="3587" width="9" style="1336"/>
    <col min="3588" max="3588" width="20.5" style="1336" bestFit="1" customWidth="1"/>
    <col min="3589" max="3839" width="9" style="1336"/>
    <col min="3840" max="3840" width="21.3984375" style="1336" customWidth="1"/>
    <col min="3841" max="3841" width="55.69921875" style="1336" customWidth="1"/>
    <col min="3842" max="3842" width="24.3984375" style="1336" customWidth="1"/>
    <col min="3843" max="3843" width="9" style="1336"/>
    <col min="3844" max="3844" width="20.5" style="1336" bestFit="1" customWidth="1"/>
    <col min="3845" max="4095" width="9" style="1336"/>
    <col min="4096" max="4096" width="21.3984375" style="1336" customWidth="1"/>
    <col min="4097" max="4097" width="55.69921875" style="1336" customWidth="1"/>
    <col min="4098" max="4098" width="24.3984375" style="1336" customWidth="1"/>
    <col min="4099" max="4099" width="9" style="1336"/>
    <col min="4100" max="4100" width="20.5" style="1336" bestFit="1" customWidth="1"/>
    <col min="4101" max="4351" width="9" style="1336"/>
    <col min="4352" max="4352" width="21.3984375" style="1336" customWidth="1"/>
    <col min="4353" max="4353" width="55.69921875" style="1336" customWidth="1"/>
    <col min="4354" max="4354" width="24.3984375" style="1336" customWidth="1"/>
    <col min="4355" max="4355" width="9" style="1336"/>
    <col min="4356" max="4356" width="20.5" style="1336" bestFit="1" customWidth="1"/>
    <col min="4357" max="4607" width="9" style="1336"/>
    <col min="4608" max="4608" width="21.3984375" style="1336" customWidth="1"/>
    <col min="4609" max="4609" width="55.69921875" style="1336" customWidth="1"/>
    <col min="4610" max="4610" width="24.3984375" style="1336" customWidth="1"/>
    <col min="4611" max="4611" width="9" style="1336"/>
    <col min="4612" max="4612" width="20.5" style="1336" bestFit="1" customWidth="1"/>
    <col min="4613" max="4863" width="9" style="1336"/>
    <col min="4864" max="4864" width="21.3984375" style="1336" customWidth="1"/>
    <col min="4865" max="4865" width="55.69921875" style="1336" customWidth="1"/>
    <col min="4866" max="4866" width="24.3984375" style="1336" customWidth="1"/>
    <col min="4867" max="4867" width="9" style="1336"/>
    <col min="4868" max="4868" width="20.5" style="1336" bestFit="1" customWidth="1"/>
    <col min="4869" max="5119" width="9" style="1336"/>
    <col min="5120" max="5120" width="21.3984375" style="1336" customWidth="1"/>
    <col min="5121" max="5121" width="55.69921875" style="1336" customWidth="1"/>
    <col min="5122" max="5122" width="24.3984375" style="1336" customWidth="1"/>
    <col min="5123" max="5123" width="9" style="1336"/>
    <col min="5124" max="5124" width="20.5" style="1336" bestFit="1" customWidth="1"/>
    <col min="5125" max="5375" width="9" style="1336"/>
    <col min="5376" max="5376" width="21.3984375" style="1336" customWidth="1"/>
    <col min="5377" max="5377" width="55.69921875" style="1336" customWidth="1"/>
    <col min="5378" max="5378" width="24.3984375" style="1336" customWidth="1"/>
    <col min="5379" max="5379" width="9" style="1336"/>
    <col min="5380" max="5380" width="20.5" style="1336" bestFit="1" customWidth="1"/>
    <col min="5381" max="5631" width="9" style="1336"/>
    <col min="5632" max="5632" width="21.3984375" style="1336" customWidth="1"/>
    <col min="5633" max="5633" width="55.69921875" style="1336" customWidth="1"/>
    <col min="5634" max="5634" width="24.3984375" style="1336" customWidth="1"/>
    <col min="5635" max="5635" width="9" style="1336"/>
    <col min="5636" max="5636" width="20.5" style="1336" bestFit="1" customWidth="1"/>
    <col min="5637" max="5887" width="9" style="1336"/>
    <col min="5888" max="5888" width="21.3984375" style="1336" customWidth="1"/>
    <col min="5889" max="5889" width="55.69921875" style="1336" customWidth="1"/>
    <col min="5890" max="5890" width="24.3984375" style="1336" customWidth="1"/>
    <col min="5891" max="5891" width="9" style="1336"/>
    <col min="5892" max="5892" width="20.5" style="1336" bestFit="1" customWidth="1"/>
    <col min="5893" max="6143" width="9" style="1336"/>
    <col min="6144" max="6144" width="21.3984375" style="1336" customWidth="1"/>
    <col min="6145" max="6145" width="55.69921875" style="1336" customWidth="1"/>
    <col min="6146" max="6146" width="24.3984375" style="1336" customWidth="1"/>
    <col min="6147" max="6147" width="9" style="1336"/>
    <col min="6148" max="6148" width="20.5" style="1336" bestFit="1" customWidth="1"/>
    <col min="6149" max="6399" width="9" style="1336"/>
    <col min="6400" max="6400" width="21.3984375" style="1336" customWidth="1"/>
    <col min="6401" max="6401" width="55.69921875" style="1336" customWidth="1"/>
    <col min="6402" max="6402" width="24.3984375" style="1336" customWidth="1"/>
    <col min="6403" max="6403" width="9" style="1336"/>
    <col min="6404" max="6404" width="20.5" style="1336" bestFit="1" customWidth="1"/>
    <col min="6405" max="6655" width="9" style="1336"/>
    <col min="6656" max="6656" width="21.3984375" style="1336" customWidth="1"/>
    <col min="6657" max="6657" width="55.69921875" style="1336" customWidth="1"/>
    <col min="6658" max="6658" width="24.3984375" style="1336" customWidth="1"/>
    <col min="6659" max="6659" width="9" style="1336"/>
    <col min="6660" max="6660" width="20.5" style="1336" bestFit="1" customWidth="1"/>
    <col min="6661" max="6911" width="9" style="1336"/>
    <col min="6912" max="6912" width="21.3984375" style="1336" customWidth="1"/>
    <col min="6913" max="6913" width="55.69921875" style="1336" customWidth="1"/>
    <col min="6914" max="6914" width="24.3984375" style="1336" customWidth="1"/>
    <col min="6915" max="6915" width="9" style="1336"/>
    <col min="6916" max="6916" width="20.5" style="1336" bestFit="1" customWidth="1"/>
    <col min="6917" max="7167" width="9" style="1336"/>
    <col min="7168" max="7168" width="21.3984375" style="1336" customWidth="1"/>
    <col min="7169" max="7169" width="55.69921875" style="1336" customWidth="1"/>
    <col min="7170" max="7170" width="24.3984375" style="1336" customWidth="1"/>
    <col min="7171" max="7171" width="9" style="1336"/>
    <col min="7172" max="7172" width="20.5" style="1336" bestFit="1" customWidth="1"/>
    <col min="7173" max="7423" width="9" style="1336"/>
    <col min="7424" max="7424" width="21.3984375" style="1336" customWidth="1"/>
    <col min="7425" max="7425" width="55.69921875" style="1336" customWidth="1"/>
    <col min="7426" max="7426" width="24.3984375" style="1336" customWidth="1"/>
    <col min="7427" max="7427" width="9" style="1336"/>
    <col min="7428" max="7428" width="20.5" style="1336" bestFit="1" customWidth="1"/>
    <col min="7429" max="7679" width="9" style="1336"/>
    <col min="7680" max="7680" width="21.3984375" style="1336" customWidth="1"/>
    <col min="7681" max="7681" width="55.69921875" style="1336" customWidth="1"/>
    <col min="7682" max="7682" width="24.3984375" style="1336" customWidth="1"/>
    <col min="7683" max="7683" width="9" style="1336"/>
    <col min="7684" max="7684" width="20.5" style="1336" bestFit="1" customWidth="1"/>
    <col min="7685" max="7935" width="9" style="1336"/>
    <col min="7936" max="7936" width="21.3984375" style="1336" customWidth="1"/>
    <col min="7937" max="7937" width="55.69921875" style="1336" customWidth="1"/>
    <col min="7938" max="7938" width="24.3984375" style="1336" customWidth="1"/>
    <col min="7939" max="7939" width="9" style="1336"/>
    <col min="7940" max="7940" width="20.5" style="1336" bestFit="1" customWidth="1"/>
    <col min="7941" max="8191" width="9" style="1336"/>
    <col min="8192" max="8192" width="21.3984375" style="1336" customWidth="1"/>
    <col min="8193" max="8193" width="55.69921875" style="1336" customWidth="1"/>
    <col min="8194" max="8194" width="24.3984375" style="1336" customWidth="1"/>
    <col min="8195" max="8195" width="9" style="1336"/>
    <col min="8196" max="8196" width="20.5" style="1336" bestFit="1" customWidth="1"/>
    <col min="8197" max="8447" width="9" style="1336"/>
    <col min="8448" max="8448" width="21.3984375" style="1336" customWidth="1"/>
    <col min="8449" max="8449" width="55.69921875" style="1336" customWidth="1"/>
    <col min="8450" max="8450" width="24.3984375" style="1336" customWidth="1"/>
    <col min="8451" max="8451" width="9" style="1336"/>
    <col min="8452" max="8452" width="20.5" style="1336" bestFit="1" customWidth="1"/>
    <col min="8453" max="8703" width="9" style="1336"/>
    <col min="8704" max="8704" width="21.3984375" style="1336" customWidth="1"/>
    <col min="8705" max="8705" width="55.69921875" style="1336" customWidth="1"/>
    <col min="8706" max="8706" width="24.3984375" style="1336" customWidth="1"/>
    <col min="8707" max="8707" width="9" style="1336"/>
    <col min="8708" max="8708" width="20.5" style="1336" bestFit="1" customWidth="1"/>
    <col min="8709" max="8959" width="9" style="1336"/>
    <col min="8960" max="8960" width="21.3984375" style="1336" customWidth="1"/>
    <col min="8961" max="8961" width="55.69921875" style="1336" customWidth="1"/>
    <col min="8962" max="8962" width="24.3984375" style="1336" customWidth="1"/>
    <col min="8963" max="8963" width="9" style="1336"/>
    <col min="8964" max="8964" width="20.5" style="1336" bestFit="1" customWidth="1"/>
    <col min="8965" max="9215" width="9" style="1336"/>
    <col min="9216" max="9216" width="21.3984375" style="1336" customWidth="1"/>
    <col min="9217" max="9217" width="55.69921875" style="1336" customWidth="1"/>
    <col min="9218" max="9218" width="24.3984375" style="1336" customWidth="1"/>
    <col min="9219" max="9219" width="9" style="1336"/>
    <col min="9220" max="9220" width="20.5" style="1336" bestFit="1" customWidth="1"/>
    <col min="9221" max="9471" width="9" style="1336"/>
    <col min="9472" max="9472" width="21.3984375" style="1336" customWidth="1"/>
    <col min="9473" max="9473" width="55.69921875" style="1336" customWidth="1"/>
    <col min="9474" max="9474" width="24.3984375" style="1336" customWidth="1"/>
    <col min="9475" max="9475" width="9" style="1336"/>
    <col min="9476" max="9476" width="20.5" style="1336" bestFit="1" customWidth="1"/>
    <col min="9477" max="9727" width="9" style="1336"/>
    <col min="9728" max="9728" width="21.3984375" style="1336" customWidth="1"/>
    <col min="9729" max="9729" width="55.69921875" style="1336" customWidth="1"/>
    <col min="9730" max="9730" width="24.3984375" style="1336" customWidth="1"/>
    <col min="9731" max="9731" width="9" style="1336"/>
    <col min="9732" max="9732" width="20.5" style="1336" bestFit="1" customWidth="1"/>
    <col min="9733" max="9983" width="9" style="1336"/>
    <col min="9984" max="9984" width="21.3984375" style="1336" customWidth="1"/>
    <col min="9985" max="9985" width="55.69921875" style="1336" customWidth="1"/>
    <col min="9986" max="9986" width="24.3984375" style="1336" customWidth="1"/>
    <col min="9987" max="9987" width="9" style="1336"/>
    <col min="9988" max="9988" width="20.5" style="1336" bestFit="1" customWidth="1"/>
    <col min="9989" max="10239" width="9" style="1336"/>
    <col min="10240" max="10240" width="21.3984375" style="1336" customWidth="1"/>
    <col min="10241" max="10241" width="55.69921875" style="1336" customWidth="1"/>
    <col min="10242" max="10242" width="24.3984375" style="1336" customWidth="1"/>
    <col min="10243" max="10243" width="9" style="1336"/>
    <col min="10244" max="10244" width="20.5" style="1336" bestFit="1" customWidth="1"/>
    <col min="10245" max="10495" width="9" style="1336"/>
    <col min="10496" max="10496" width="21.3984375" style="1336" customWidth="1"/>
    <col min="10497" max="10497" width="55.69921875" style="1336" customWidth="1"/>
    <col min="10498" max="10498" width="24.3984375" style="1336" customWidth="1"/>
    <col min="10499" max="10499" width="9" style="1336"/>
    <col min="10500" max="10500" width="20.5" style="1336" bestFit="1" customWidth="1"/>
    <col min="10501" max="10751" width="9" style="1336"/>
    <col min="10752" max="10752" width="21.3984375" style="1336" customWidth="1"/>
    <col min="10753" max="10753" width="55.69921875" style="1336" customWidth="1"/>
    <col min="10754" max="10754" width="24.3984375" style="1336" customWidth="1"/>
    <col min="10755" max="10755" width="9" style="1336"/>
    <col min="10756" max="10756" width="20.5" style="1336" bestFit="1" customWidth="1"/>
    <col min="10757" max="11007" width="9" style="1336"/>
    <col min="11008" max="11008" width="21.3984375" style="1336" customWidth="1"/>
    <col min="11009" max="11009" width="55.69921875" style="1336" customWidth="1"/>
    <col min="11010" max="11010" width="24.3984375" style="1336" customWidth="1"/>
    <col min="11011" max="11011" width="9" style="1336"/>
    <col min="11012" max="11012" width="20.5" style="1336" bestFit="1" customWidth="1"/>
    <col min="11013" max="11263" width="9" style="1336"/>
    <col min="11264" max="11264" width="21.3984375" style="1336" customWidth="1"/>
    <col min="11265" max="11265" width="55.69921875" style="1336" customWidth="1"/>
    <col min="11266" max="11266" width="24.3984375" style="1336" customWidth="1"/>
    <col min="11267" max="11267" width="9" style="1336"/>
    <col min="11268" max="11268" width="20.5" style="1336" bestFit="1" customWidth="1"/>
    <col min="11269" max="11519" width="9" style="1336"/>
    <col min="11520" max="11520" width="21.3984375" style="1336" customWidth="1"/>
    <col min="11521" max="11521" width="55.69921875" style="1336" customWidth="1"/>
    <col min="11522" max="11522" width="24.3984375" style="1336" customWidth="1"/>
    <col min="11523" max="11523" width="9" style="1336"/>
    <col min="11524" max="11524" width="20.5" style="1336" bestFit="1" customWidth="1"/>
    <col min="11525" max="11775" width="9" style="1336"/>
    <col min="11776" max="11776" width="21.3984375" style="1336" customWidth="1"/>
    <col min="11777" max="11777" width="55.69921875" style="1336" customWidth="1"/>
    <col min="11778" max="11778" width="24.3984375" style="1336" customWidth="1"/>
    <col min="11779" max="11779" width="9" style="1336"/>
    <col min="11780" max="11780" width="20.5" style="1336" bestFit="1" customWidth="1"/>
    <col min="11781" max="12031" width="9" style="1336"/>
    <col min="12032" max="12032" width="21.3984375" style="1336" customWidth="1"/>
    <col min="12033" max="12033" width="55.69921875" style="1336" customWidth="1"/>
    <col min="12034" max="12034" width="24.3984375" style="1336" customWidth="1"/>
    <col min="12035" max="12035" width="9" style="1336"/>
    <col min="12036" max="12036" width="20.5" style="1336" bestFit="1" customWidth="1"/>
    <col min="12037" max="12287" width="9" style="1336"/>
    <col min="12288" max="12288" width="21.3984375" style="1336" customWidth="1"/>
    <col min="12289" max="12289" width="55.69921875" style="1336" customWidth="1"/>
    <col min="12290" max="12290" width="24.3984375" style="1336" customWidth="1"/>
    <col min="12291" max="12291" width="9" style="1336"/>
    <col min="12292" max="12292" width="20.5" style="1336" bestFit="1" customWidth="1"/>
    <col min="12293" max="12543" width="9" style="1336"/>
    <col min="12544" max="12544" width="21.3984375" style="1336" customWidth="1"/>
    <col min="12545" max="12545" width="55.69921875" style="1336" customWidth="1"/>
    <col min="12546" max="12546" width="24.3984375" style="1336" customWidth="1"/>
    <col min="12547" max="12547" width="9" style="1336"/>
    <col min="12548" max="12548" width="20.5" style="1336" bestFit="1" customWidth="1"/>
    <col min="12549" max="12799" width="9" style="1336"/>
    <col min="12800" max="12800" width="21.3984375" style="1336" customWidth="1"/>
    <col min="12801" max="12801" width="55.69921875" style="1336" customWidth="1"/>
    <col min="12802" max="12802" width="24.3984375" style="1336" customWidth="1"/>
    <col min="12803" max="12803" width="9" style="1336"/>
    <col min="12804" max="12804" width="20.5" style="1336" bestFit="1" customWidth="1"/>
    <col min="12805" max="13055" width="9" style="1336"/>
    <col min="13056" max="13056" width="21.3984375" style="1336" customWidth="1"/>
    <col min="13057" max="13057" width="55.69921875" style="1336" customWidth="1"/>
    <col min="13058" max="13058" width="24.3984375" style="1336" customWidth="1"/>
    <col min="13059" max="13059" width="9" style="1336"/>
    <col min="13060" max="13060" width="20.5" style="1336" bestFit="1" customWidth="1"/>
    <col min="13061" max="13311" width="9" style="1336"/>
    <col min="13312" max="13312" width="21.3984375" style="1336" customWidth="1"/>
    <col min="13313" max="13313" width="55.69921875" style="1336" customWidth="1"/>
    <col min="13314" max="13314" width="24.3984375" style="1336" customWidth="1"/>
    <col min="13315" max="13315" width="9" style="1336"/>
    <col min="13316" max="13316" width="20.5" style="1336" bestFit="1" customWidth="1"/>
    <col min="13317" max="13567" width="9" style="1336"/>
    <col min="13568" max="13568" width="21.3984375" style="1336" customWidth="1"/>
    <col min="13569" max="13569" width="55.69921875" style="1336" customWidth="1"/>
    <col min="13570" max="13570" width="24.3984375" style="1336" customWidth="1"/>
    <col min="13571" max="13571" width="9" style="1336"/>
    <col min="13572" max="13572" width="20.5" style="1336" bestFit="1" customWidth="1"/>
    <col min="13573" max="13823" width="9" style="1336"/>
    <col min="13824" max="13824" width="21.3984375" style="1336" customWidth="1"/>
    <col min="13825" max="13825" width="55.69921875" style="1336" customWidth="1"/>
    <col min="13826" max="13826" width="24.3984375" style="1336" customWidth="1"/>
    <col min="13827" max="13827" width="9" style="1336"/>
    <col min="13828" max="13828" width="20.5" style="1336" bestFit="1" customWidth="1"/>
    <col min="13829" max="14079" width="9" style="1336"/>
    <col min="14080" max="14080" width="21.3984375" style="1336" customWidth="1"/>
    <col min="14081" max="14081" width="55.69921875" style="1336" customWidth="1"/>
    <col min="14082" max="14082" width="24.3984375" style="1336" customWidth="1"/>
    <col min="14083" max="14083" width="9" style="1336"/>
    <col min="14084" max="14084" width="20.5" style="1336" bestFit="1" customWidth="1"/>
    <col min="14085" max="14335" width="9" style="1336"/>
    <col min="14336" max="14336" width="21.3984375" style="1336" customWidth="1"/>
    <col min="14337" max="14337" width="55.69921875" style="1336" customWidth="1"/>
    <col min="14338" max="14338" width="24.3984375" style="1336" customWidth="1"/>
    <col min="14339" max="14339" width="9" style="1336"/>
    <col min="14340" max="14340" width="20.5" style="1336" bestFit="1" customWidth="1"/>
    <col min="14341" max="14591" width="9" style="1336"/>
    <col min="14592" max="14592" width="21.3984375" style="1336" customWidth="1"/>
    <col min="14593" max="14593" width="55.69921875" style="1336" customWidth="1"/>
    <col min="14594" max="14594" width="24.3984375" style="1336" customWidth="1"/>
    <col min="14595" max="14595" width="9" style="1336"/>
    <col min="14596" max="14596" width="20.5" style="1336" bestFit="1" customWidth="1"/>
    <col min="14597" max="14847" width="9" style="1336"/>
    <col min="14848" max="14848" width="21.3984375" style="1336" customWidth="1"/>
    <col min="14849" max="14849" width="55.69921875" style="1336" customWidth="1"/>
    <col min="14850" max="14850" width="24.3984375" style="1336" customWidth="1"/>
    <col min="14851" max="14851" width="9" style="1336"/>
    <col min="14852" max="14852" width="20.5" style="1336" bestFit="1" customWidth="1"/>
    <col min="14853" max="15103" width="9" style="1336"/>
    <col min="15104" max="15104" width="21.3984375" style="1336" customWidth="1"/>
    <col min="15105" max="15105" width="55.69921875" style="1336" customWidth="1"/>
    <col min="15106" max="15106" width="24.3984375" style="1336" customWidth="1"/>
    <col min="15107" max="15107" width="9" style="1336"/>
    <col min="15108" max="15108" width="20.5" style="1336" bestFit="1" customWidth="1"/>
    <col min="15109" max="15359" width="9" style="1336"/>
    <col min="15360" max="15360" width="21.3984375" style="1336" customWidth="1"/>
    <col min="15361" max="15361" width="55.69921875" style="1336" customWidth="1"/>
    <col min="15362" max="15362" width="24.3984375" style="1336" customWidth="1"/>
    <col min="15363" max="15363" width="9" style="1336"/>
    <col min="15364" max="15364" width="20.5" style="1336" bestFit="1" customWidth="1"/>
    <col min="15365" max="15615" width="9" style="1336"/>
    <col min="15616" max="15616" width="21.3984375" style="1336" customWidth="1"/>
    <col min="15617" max="15617" width="55.69921875" style="1336" customWidth="1"/>
    <col min="15618" max="15618" width="24.3984375" style="1336" customWidth="1"/>
    <col min="15619" max="15619" width="9" style="1336"/>
    <col min="15620" max="15620" width="20.5" style="1336" bestFit="1" customWidth="1"/>
    <col min="15621" max="15871" width="9" style="1336"/>
    <col min="15872" max="15872" width="21.3984375" style="1336" customWidth="1"/>
    <col min="15873" max="15873" width="55.69921875" style="1336" customWidth="1"/>
    <col min="15874" max="15874" width="24.3984375" style="1336" customWidth="1"/>
    <col min="15875" max="15875" width="9" style="1336"/>
    <col min="15876" max="15876" width="20.5" style="1336" bestFit="1" customWidth="1"/>
    <col min="15877" max="16127" width="9" style="1336"/>
    <col min="16128" max="16128" width="21.3984375" style="1336" customWidth="1"/>
    <col min="16129" max="16129" width="55.69921875" style="1336" customWidth="1"/>
    <col min="16130" max="16130" width="24.398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57" t="s">
        <v>10097</v>
      </c>
      <c r="B1" s="3857"/>
      <c r="C1" s="1335" t="s">
        <v>7682</v>
      </c>
    </row>
    <row r="2" spans="1:3" ht="19.5" customHeight="1">
      <c r="A2" s="3858" t="s">
        <v>10098</v>
      </c>
      <c r="B2" s="3858"/>
      <c r="C2" s="1337" t="s">
        <v>832</v>
      </c>
    </row>
    <row r="3" spans="1:3" ht="19.5" customHeight="1">
      <c r="A3" s="1338" t="s">
        <v>1693</v>
      </c>
      <c r="B3" s="1345">
        <f>基本情况!B44</f>
        <v>0</v>
      </c>
      <c r="C3" s="1340" t="s">
        <v>1694</v>
      </c>
    </row>
    <row r="4" spans="1:3" ht="19.5" customHeight="1">
      <c r="A4" s="1338" t="s">
        <v>1695</v>
      </c>
      <c r="B4" s="1339">
        <f>基本情况!B2</f>
        <v>0</v>
      </c>
      <c r="C4" s="1340" t="s">
        <v>1696</v>
      </c>
    </row>
    <row r="5" spans="1:3" ht="19.5" customHeight="1">
      <c r="A5" s="1338" t="s">
        <v>10099</v>
      </c>
      <c r="B5" s="1339">
        <f>[0]!本年度</f>
        <v>2016</v>
      </c>
      <c r="C5" s="1340" t="s">
        <v>1697</v>
      </c>
    </row>
    <row r="6" spans="1:3" ht="19.5" customHeight="1">
      <c r="A6" s="1338" t="s">
        <v>10100</v>
      </c>
      <c r="B6" s="1339" t="str">
        <f>基本情况!F21</f>
        <v>2017-03-16</v>
      </c>
      <c r="C6" s="3860" t="s">
        <v>7421</v>
      </c>
    </row>
    <row r="7" spans="1:3" ht="19.5" customHeight="1">
      <c r="A7" s="1338" t="s">
        <v>10101</v>
      </c>
      <c r="B7" s="1339" t="str">
        <f>基本情况!F20</f>
        <v>2017-05-04</v>
      </c>
      <c r="C7" s="3861"/>
    </row>
    <row r="8" spans="1:3" ht="19.5" customHeight="1">
      <c r="A8" s="1338" t="s">
        <v>10102</v>
      </c>
      <c r="B8" s="1339">
        <f>基本情况!B18</f>
        <v>0</v>
      </c>
      <c r="C8" s="1340" t="s">
        <v>1694</v>
      </c>
    </row>
    <row r="9" spans="1:3" ht="75" customHeight="1">
      <c r="A9" s="1338" t="s">
        <v>10082</v>
      </c>
      <c r="B9" s="1339">
        <f>基本情况!B30</f>
        <v>3</v>
      </c>
      <c r="C9" s="1341" t="s">
        <v>1698</v>
      </c>
    </row>
    <row r="10" spans="1:3" ht="19.5" customHeight="1">
      <c r="A10" s="1338" t="s">
        <v>1699</v>
      </c>
      <c r="B10" s="1339" t="str">
        <f>IFERROR(VLOOKUP('基本情况（封面）'!B11,IF(基本情况!B8="中汇百邦（厦门）税务师事务所有限公司",首页!C:D,首页!E:F),2,0),"")</f>
        <v/>
      </c>
      <c r="C10" s="1340" t="s">
        <v>1694</v>
      </c>
    </row>
    <row r="11" spans="1:3" ht="19.5" customHeight="1">
      <c r="A11" s="1338" t="s">
        <v>1700</v>
      </c>
      <c r="B11" s="1339">
        <f>基本情况!B11</f>
        <v>0</v>
      </c>
      <c r="C11" s="1340" t="s">
        <v>1696</v>
      </c>
    </row>
    <row r="12" spans="1:3" ht="19.5" customHeight="1">
      <c r="A12" s="1342" t="s">
        <v>1701</v>
      </c>
      <c r="B12" s="1343" t="str">
        <f>IFERROR(VLOOKUP('基本情况（封面）'!B13,IF(基本情况!B8="中汇百邦（厦门）税务师事务所有限公司",首页!C:D,首页!E:F),2,0),"")</f>
        <v/>
      </c>
      <c r="C12" s="1342" t="s">
        <v>1702</v>
      </c>
    </row>
    <row r="13" spans="1:3" ht="19.5" customHeight="1">
      <c r="A13" s="1342" t="s">
        <v>1703</v>
      </c>
      <c r="B13" s="1343" t="str">
        <f>IF(基本情况!B10=0,"",基本情况!B10)</f>
        <v/>
      </c>
      <c r="C13" s="1342" t="s">
        <v>1704</v>
      </c>
    </row>
    <row r="14" spans="1:3" ht="19.5" customHeight="1">
      <c r="A14" s="3858" t="s">
        <v>1705</v>
      </c>
      <c r="B14" s="3858"/>
      <c r="C14" s="1344"/>
    </row>
    <row r="15" spans="1:3" ht="19.5" customHeight="1">
      <c r="A15" s="1338" t="s">
        <v>1706</v>
      </c>
      <c r="B15" s="2616" t="str">
        <f>INDEX(首页!$B:$B,MATCH($B$16,首页!$B:$B,0)+12)</f>
        <v>91350200776046719Q</v>
      </c>
      <c r="C15" s="1340" t="s">
        <v>1696</v>
      </c>
    </row>
    <row r="16" spans="1:3" ht="19.5" customHeight="1">
      <c r="A16" s="1338" t="s">
        <v>1707</v>
      </c>
      <c r="B16" s="2617" t="str">
        <f>基本情况!B8</f>
        <v>中汇百邦（厦门）税务师事务所有限公司</v>
      </c>
      <c r="C16" s="1340" t="s">
        <v>1696</v>
      </c>
    </row>
    <row r="17" spans="1:5" ht="19.5" customHeight="1">
      <c r="A17" s="1338" t="s">
        <v>1708</v>
      </c>
      <c r="B17" s="2616" t="str">
        <f>INDEX(首页!$B:$B,MATCH($B$16,首页!$B:$B,0)+11)</f>
        <v>陈元庆</v>
      </c>
      <c r="C17" s="1340" t="s">
        <v>1696</v>
      </c>
      <c r="E17" s="2058"/>
    </row>
    <row r="18" spans="1:5" ht="19.5" customHeight="1">
      <c r="A18" s="1338" t="s">
        <v>1710</v>
      </c>
      <c r="B18" s="2616" t="str">
        <f>INDEX(首页!$B:$B,MATCH($B$16,首页!$B:$B,0)+10)</f>
        <v>16023</v>
      </c>
      <c r="C18" s="1340" t="s">
        <v>1696</v>
      </c>
      <c r="E18" s="2058"/>
    </row>
    <row r="19" spans="1:5" ht="19.5" customHeight="1">
      <c r="A19" s="1340" t="s">
        <v>1712</v>
      </c>
      <c r="B19" s="2616" t="str">
        <f>INDEX(首页!$B:$B,MATCH($B$16,首页!$B:$B,0)+16)</f>
        <v>0592-5881050</v>
      </c>
      <c r="C19" s="1340" t="s">
        <v>1702</v>
      </c>
      <c r="E19" s="2058"/>
    </row>
    <row r="20" spans="1:5" ht="19.5" customHeight="1">
      <c r="A20" s="1340" t="s">
        <v>1713</v>
      </c>
      <c r="B20" s="2616" t="str">
        <f>INDEX(首页!$B:$B,MATCH($B$16,首页!$B:$B,0)+15)</f>
        <v>0592-5881033</v>
      </c>
      <c r="C20" s="1340" t="s">
        <v>1702</v>
      </c>
      <c r="E20" s="2058"/>
    </row>
    <row r="21" spans="1:5" ht="19.5" customHeight="1">
      <c r="A21" s="1340" t="s">
        <v>1714</v>
      </c>
      <c r="B21" s="2616" t="str">
        <f>INDEX(首页!$B:$B,MATCH($B$16,首页!$B:$B,0)+17)</f>
        <v>厦门市思明区湖滨南路388号国贸大厦41楼B、C单元</v>
      </c>
      <c r="C21" s="1340" t="s">
        <v>1702</v>
      </c>
      <c r="E21" s="2058"/>
    </row>
    <row r="22" spans="1:5" ht="19.5" customHeight="1">
      <c r="A22" s="1340" t="s">
        <v>1715</v>
      </c>
      <c r="B22" s="2616" t="str">
        <f>INDEX(首页!$B:$B,MATCH($B$16,首页!$B:$B,0)+13)</f>
        <v>xm-baibang@163.com</v>
      </c>
      <c r="C22" s="1340" t="s">
        <v>1702</v>
      </c>
      <c r="E22" s="2058"/>
    </row>
    <row r="23" spans="1:5" ht="19.5" customHeight="1">
      <c r="A23" s="1340" t="s">
        <v>1716</v>
      </c>
      <c r="B23" s="2616" t="str">
        <f>INDEX(首页!$B:$B,MATCH($B$16,首页!$B:$B,0)+14)</f>
        <v>www.baibangcpa.com</v>
      </c>
      <c r="C23" s="1340" t="s">
        <v>1702</v>
      </c>
      <c r="E23" s="2058"/>
    </row>
    <row r="24" spans="1:5" ht="19.5" customHeight="1">
      <c r="A24" s="3858" t="s">
        <v>10094</v>
      </c>
      <c r="B24" s="3858"/>
      <c r="C24" s="1340"/>
      <c r="E24" s="2058"/>
    </row>
    <row r="25" spans="1:5" ht="19.5" customHeight="1">
      <c r="A25" s="1340" t="s">
        <v>10095</v>
      </c>
      <c r="B25" s="1345" t="s">
        <v>1692</v>
      </c>
      <c r="C25" s="1340" t="s">
        <v>1702</v>
      </c>
      <c r="E25" s="2058"/>
    </row>
    <row r="26" spans="1:5" ht="19.5" customHeight="1">
      <c r="A26" s="1338" t="s">
        <v>10096</v>
      </c>
      <c r="B26" s="1346">
        <f>基本情况!B17</f>
        <v>1500</v>
      </c>
      <c r="C26" s="1340" t="s">
        <v>1694</v>
      </c>
      <c r="E26" s="2058"/>
    </row>
    <row r="27" spans="1:5" ht="19.5" customHeight="1">
      <c r="A27" s="1347"/>
      <c r="B27" s="1348"/>
      <c r="C27" s="1349"/>
      <c r="E27" s="2058"/>
    </row>
    <row r="28" spans="1:5" ht="62.25" customHeight="1">
      <c r="A28" s="3859" t="s">
        <v>2472</v>
      </c>
      <c r="B28" s="3859"/>
      <c r="C28" s="3859"/>
      <c r="E28" s="2058"/>
    </row>
    <row r="29" spans="1:5" ht="19.5" customHeight="1">
      <c r="E29" s="2058"/>
    </row>
    <row r="30" spans="1:5" ht="19.5" customHeight="1">
      <c r="E30" s="2058"/>
    </row>
    <row r="31" spans="1:5" ht="19.5" customHeight="1">
      <c r="E31" s="2058"/>
    </row>
    <row r="32" spans="1:5" ht="19.5" customHeight="1">
      <c r="E32" s="2058"/>
    </row>
    <row r="33" spans="5:5" ht="19.5" customHeight="1">
      <c r="E33" s="2058"/>
    </row>
    <row r="34" spans="5:5" ht="19.5" customHeight="1">
      <c r="E34" s="2058"/>
    </row>
    <row r="35" spans="5:5" ht="19.5" customHeight="1">
      <c r="E35" s="2058"/>
    </row>
    <row r="36" spans="5:5" ht="19.5" customHeight="1">
      <c r="E36" s="2058"/>
    </row>
    <row r="37" spans="5:5" ht="19.5" customHeight="1">
      <c r="E37" s="2058"/>
    </row>
    <row r="38" spans="5:5" ht="19.5" customHeight="1">
      <c r="E38" s="2058"/>
    </row>
    <row r="39" spans="5:5" ht="19.5" customHeight="1">
      <c r="E39" s="2058"/>
    </row>
    <row r="40" spans="5:5" ht="19.5" customHeight="1">
      <c r="E40" s="2058"/>
    </row>
    <row r="41" spans="5:5" ht="19.5" customHeight="1">
      <c r="E41" s="2058"/>
    </row>
    <row r="42" spans="5:5" ht="19.5" customHeight="1">
      <c r="E42" s="2058"/>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4.4"/>
  <cols>
    <col min="1" max="1" width="23.19921875" style="1352" customWidth="1"/>
    <col min="2" max="2" width="72.3984375" style="1357" customWidth="1"/>
    <col min="3" max="3" width="13.09765625" style="1358" customWidth="1"/>
    <col min="4" max="256" width="9" style="1352"/>
    <col min="257" max="257" width="23.19921875" style="1352" customWidth="1"/>
    <col min="258" max="258" width="72.3984375" style="1352" customWidth="1"/>
    <col min="259" max="259" width="13.09765625" style="1352" customWidth="1"/>
    <col min="260" max="512" width="9" style="1352"/>
    <col min="513" max="513" width="23.19921875" style="1352" customWidth="1"/>
    <col min="514" max="514" width="72.3984375" style="1352" customWidth="1"/>
    <col min="515" max="515" width="13.09765625" style="1352" customWidth="1"/>
    <col min="516" max="768" width="9" style="1352"/>
    <col min="769" max="769" width="23.19921875" style="1352" customWidth="1"/>
    <col min="770" max="770" width="72.3984375" style="1352" customWidth="1"/>
    <col min="771" max="771" width="13.09765625" style="1352" customWidth="1"/>
    <col min="772" max="1024" width="9" style="1352"/>
    <col min="1025" max="1025" width="23.19921875" style="1352" customWidth="1"/>
    <col min="1026" max="1026" width="72.3984375" style="1352" customWidth="1"/>
    <col min="1027" max="1027" width="13.09765625" style="1352" customWidth="1"/>
    <col min="1028" max="1280" width="9" style="1352"/>
    <col min="1281" max="1281" width="23.19921875" style="1352" customWidth="1"/>
    <col min="1282" max="1282" width="72.3984375" style="1352" customWidth="1"/>
    <col min="1283" max="1283" width="13.09765625" style="1352" customWidth="1"/>
    <col min="1284" max="1536" width="9" style="1352"/>
    <col min="1537" max="1537" width="23.19921875" style="1352" customWidth="1"/>
    <col min="1538" max="1538" width="72.3984375" style="1352" customWidth="1"/>
    <col min="1539" max="1539" width="13.09765625" style="1352" customWidth="1"/>
    <col min="1540" max="1792" width="9" style="1352"/>
    <col min="1793" max="1793" width="23.19921875" style="1352" customWidth="1"/>
    <col min="1794" max="1794" width="72.3984375" style="1352" customWidth="1"/>
    <col min="1795" max="1795" width="13.09765625" style="1352" customWidth="1"/>
    <col min="1796" max="2048" width="9" style="1352"/>
    <col min="2049" max="2049" width="23.19921875" style="1352" customWidth="1"/>
    <col min="2050" max="2050" width="72.3984375" style="1352" customWidth="1"/>
    <col min="2051" max="2051" width="13.09765625" style="1352" customWidth="1"/>
    <col min="2052" max="2304" width="9" style="1352"/>
    <col min="2305" max="2305" width="23.19921875" style="1352" customWidth="1"/>
    <col min="2306" max="2306" width="72.3984375" style="1352" customWidth="1"/>
    <col min="2307" max="2307" width="13.09765625" style="1352" customWidth="1"/>
    <col min="2308" max="2560" width="9" style="1352"/>
    <col min="2561" max="2561" width="23.19921875" style="1352" customWidth="1"/>
    <col min="2562" max="2562" width="72.3984375" style="1352" customWidth="1"/>
    <col min="2563" max="2563" width="13.09765625" style="1352" customWidth="1"/>
    <col min="2564" max="2816" width="9" style="1352"/>
    <col min="2817" max="2817" width="23.19921875" style="1352" customWidth="1"/>
    <col min="2818" max="2818" width="72.3984375" style="1352" customWidth="1"/>
    <col min="2819" max="2819" width="13.09765625" style="1352" customWidth="1"/>
    <col min="2820" max="3072" width="9" style="1352"/>
    <col min="3073" max="3073" width="23.19921875" style="1352" customWidth="1"/>
    <col min="3074" max="3074" width="72.3984375" style="1352" customWidth="1"/>
    <col min="3075" max="3075" width="13.09765625" style="1352" customWidth="1"/>
    <col min="3076" max="3328" width="9" style="1352"/>
    <col min="3329" max="3329" width="23.19921875" style="1352" customWidth="1"/>
    <col min="3330" max="3330" width="72.3984375" style="1352" customWidth="1"/>
    <col min="3331" max="3331" width="13.09765625" style="1352" customWidth="1"/>
    <col min="3332" max="3584" width="9" style="1352"/>
    <col min="3585" max="3585" width="23.19921875" style="1352" customWidth="1"/>
    <col min="3586" max="3586" width="72.3984375" style="1352" customWidth="1"/>
    <col min="3587" max="3587" width="13.09765625" style="1352" customWidth="1"/>
    <col min="3588" max="3840" width="9" style="1352"/>
    <col min="3841" max="3841" width="23.19921875" style="1352" customWidth="1"/>
    <col min="3842" max="3842" width="72.3984375" style="1352" customWidth="1"/>
    <col min="3843" max="3843" width="13.09765625" style="1352" customWidth="1"/>
    <col min="3844" max="4096" width="9" style="1352"/>
    <col min="4097" max="4097" width="23.19921875" style="1352" customWidth="1"/>
    <col min="4098" max="4098" width="72.3984375" style="1352" customWidth="1"/>
    <col min="4099" max="4099" width="13.09765625" style="1352" customWidth="1"/>
    <col min="4100" max="4352" width="9" style="1352"/>
    <col min="4353" max="4353" width="23.19921875" style="1352" customWidth="1"/>
    <col min="4354" max="4354" width="72.3984375" style="1352" customWidth="1"/>
    <col min="4355" max="4355" width="13.09765625" style="1352" customWidth="1"/>
    <col min="4356" max="4608" width="9" style="1352"/>
    <col min="4609" max="4609" width="23.19921875" style="1352" customWidth="1"/>
    <col min="4610" max="4610" width="72.3984375" style="1352" customWidth="1"/>
    <col min="4611" max="4611" width="13.09765625" style="1352" customWidth="1"/>
    <col min="4612" max="4864" width="9" style="1352"/>
    <col min="4865" max="4865" width="23.19921875" style="1352" customWidth="1"/>
    <col min="4866" max="4866" width="72.3984375" style="1352" customWidth="1"/>
    <col min="4867" max="4867" width="13.09765625" style="1352" customWidth="1"/>
    <col min="4868" max="5120" width="9" style="1352"/>
    <col min="5121" max="5121" width="23.19921875" style="1352" customWidth="1"/>
    <col min="5122" max="5122" width="72.3984375" style="1352" customWidth="1"/>
    <col min="5123" max="5123" width="13.09765625" style="1352" customWidth="1"/>
    <col min="5124" max="5376" width="9" style="1352"/>
    <col min="5377" max="5377" width="23.19921875" style="1352" customWidth="1"/>
    <col min="5378" max="5378" width="72.3984375" style="1352" customWidth="1"/>
    <col min="5379" max="5379" width="13.09765625" style="1352" customWidth="1"/>
    <col min="5380" max="5632" width="9" style="1352"/>
    <col min="5633" max="5633" width="23.19921875" style="1352" customWidth="1"/>
    <col min="5634" max="5634" width="72.3984375" style="1352" customWidth="1"/>
    <col min="5635" max="5635" width="13.09765625" style="1352" customWidth="1"/>
    <col min="5636" max="5888" width="9" style="1352"/>
    <col min="5889" max="5889" width="23.19921875" style="1352" customWidth="1"/>
    <col min="5890" max="5890" width="72.3984375" style="1352" customWidth="1"/>
    <col min="5891" max="5891" width="13.09765625" style="1352" customWidth="1"/>
    <col min="5892" max="6144" width="9" style="1352"/>
    <col min="6145" max="6145" width="23.19921875" style="1352" customWidth="1"/>
    <col min="6146" max="6146" width="72.3984375" style="1352" customWidth="1"/>
    <col min="6147" max="6147" width="13.09765625" style="1352" customWidth="1"/>
    <col min="6148" max="6400" width="9" style="1352"/>
    <col min="6401" max="6401" width="23.19921875" style="1352" customWidth="1"/>
    <col min="6402" max="6402" width="72.3984375" style="1352" customWidth="1"/>
    <col min="6403" max="6403" width="13.09765625" style="1352" customWidth="1"/>
    <col min="6404" max="6656" width="9" style="1352"/>
    <col min="6657" max="6657" width="23.19921875" style="1352" customWidth="1"/>
    <col min="6658" max="6658" width="72.3984375" style="1352" customWidth="1"/>
    <col min="6659" max="6659" width="13.09765625" style="1352" customWidth="1"/>
    <col min="6660" max="6912" width="9" style="1352"/>
    <col min="6913" max="6913" width="23.19921875" style="1352" customWidth="1"/>
    <col min="6914" max="6914" width="72.3984375" style="1352" customWidth="1"/>
    <col min="6915" max="6915" width="13.09765625" style="1352" customWidth="1"/>
    <col min="6916" max="7168" width="9" style="1352"/>
    <col min="7169" max="7169" width="23.19921875" style="1352" customWidth="1"/>
    <col min="7170" max="7170" width="72.3984375" style="1352" customWidth="1"/>
    <col min="7171" max="7171" width="13.09765625" style="1352" customWidth="1"/>
    <col min="7172" max="7424" width="9" style="1352"/>
    <col min="7425" max="7425" width="23.19921875" style="1352" customWidth="1"/>
    <col min="7426" max="7426" width="72.3984375" style="1352" customWidth="1"/>
    <col min="7427" max="7427" width="13.09765625" style="1352" customWidth="1"/>
    <col min="7428" max="7680" width="9" style="1352"/>
    <col min="7681" max="7681" width="23.19921875" style="1352" customWidth="1"/>
    <col min="7682" max="7682" width="72.3984375" style="1352" customWidth="1"/>
    <col min="7683" max="7683" width="13.09765625" style="1352" customWidth="1"/>
    <col min="7684" max="7936" width="9" style="1352"/>
    <col min="7937" max="7937" width="23.19921875" style="1352" customWidth="1"/>
    <col min="7938" max="7938" width="72.3984375" style="1352" customWidth="1"/>
    <col min="7939" max="7939" width="13.09765625" style="1352" customWidth="1"/>
    <col min="7940" max="8192" width="9" style="1352"/>
    <col min="8193" max="8193" width="23.19921875" style="1352" customWidth="1"/>
    <col min="8194" max="8194" width="72.3984375" style="1352" customWidth="1"/>
    <col min="8195" max="8195" width="13.09765625" style="1352" customWidth="1"/>
    <col min="8196" max="8448" width="9" style="1352"/>
    <col min="8449" max="8449" width="23.19921875" style="1352" customWidth="1"/>
    <col min="8450" max="8450" width="72.3984375" style="1352" customWidth="1"/>
    <col min="8451" max="8451" width="13.09765625" style="1352" customWidth="1"/>
    <col min="8452" max="8704" width="9" style="1352"/>
    <col min="8705" max="8705" width="23.19921875" style="1352" customWidth="1"/>
    <col min="8706" max="8706" width="72.3984375" style="1352" customWidth="1"/>
    <col min="8707" max="8707" width="13.09765625" style="1352" customWidth="1"/>
    <col min="8708" max="8960" width="9" style="1352"/>
    <col min="8961" max="8961" width="23.19921875" style="1352" customWidth="1"/>
    <col min="8962" max="8962" width="72.3984375" style="1352" customWidth="1"/>
    <col min="8963" max="8963" width="13.09765625" style="1352" customWidth="1"/>
    <col min="8964" max="9216" width="9" style="1352"/>
    <col min="9217" max="9217" width="23.19921875" style="1352" customWidth="1"/>
    <col min="9218" max="9218" width="72.3984375" style="1352" customWidth="1"/>
    <col min="9219" max="9219" width="13.09765625" style="1352" customWidth="1"/>
    <col min="9220" max="9472" width="9" style="1352"/>
    <col min="9473" max="9473" width="23.19921875" style="1352" customWidth="1"/>
    <col min="9474" max="9474" width="72.3984375" style="1352" customWidth="1"/>
    <col min="9475" max="9475" width="13.09765625" style="1352" customWidth="1"/>
    <col min="9476" max="9728" width="9" style="1352"/>
    <col min="9729" max="9729" width="23.19921875" style="1352" customWidth="1"/>
    <col min="9730" max="9730" width="72.3984375" style="1352" customWidth="1"/>
    <col min="9731" max="9731" width="13.09765625" style="1352" customWidth="1"/>
    <col min="9732" max="9984" width="9" style="1352"/>
    <col min="9985" max="9985" width="23.19921875" style="1352" customWidth="1"/>
    <col min="9986" max="9986" width="72.3984375" style="1352" customWidth="1"/>
    <col min="9987" max="9987" width="13.09765625" style="1352" customWidth="1"/>
    <col min="9988" max="10240" width="9" style="1352"/>
    <col min="10241" max="10241" width="23.19921875" style="1352" customWidth="1"/>
    <col min="10242" max="10242" width="72.3984375" style="1352" customWidth="1"/>
    <col min="10243" max="10243" width="13.09765625" style="1352" customWidth="1"/>
    <col min="10244" max="10496" width="9" style="1352"/>
    <col min="10497" max="10497" width="23.19921875" style="1352" customWidth="1"/>
    <col min="10498" max="10498" width="72.3984375" style="1352" customWidth="1"/>
    <col min="10499" max="10499" width="13.09765625" style="1352" customWidth="1"/>
    <col min="10500" max="10752" width="9" style="1352"/>
    <col min="10753" max="10753" width="23.19921875" style="1352" customWidth="1"/>
    <col min="10754" max="10754" width="72.3984375" style="1352" customWidth="1"/>
    <col min="10755" max="10755" width="13.09765625" style="1352" customWidth="1"/>
    <col min="10756" max="11008" width="9" style="1352"/>
    <col min="11009" max="11009" width="23.19921875" style="1352" customWidth="1"/>
    <col min="11010" max="11010" width="72.3984375" style="1352" customWidth="1"/>
    <col min="11011" max="11011" width="13.09765625" style="1352" customWidth="1"/>
    <col min="11012" max="11264" width="9" style="1352"/>
    <col min="11265" max="11265" width="23.19921875" style="1352" customWidth="1"/>
    <col min="11266" max="11266" width="72.3984375" style="1352" customWidth="1"/>
    <col min="11267" max="11267" width="13.09765625" style="1352" customWidth="1"/>
    <col min="11268" max="11520" width="9" style="1352"/>
    <col min="11521" max="11521" width="23.19921875" style="1352" customWidth="1"/>
    <col min="11522" max="11522" width="72.3984375" style="1352" customWidth="1"/>
    <col min="11523" max="11523" width="13.09765625" style="1352" customWidth="1"/>
    <col min="11524" max="11776" width="9" style="1352"/>
    <col min="11777" max="11777" width="23.19921875" style="1352" customWidth="1"/>
    <col min="11778" max="11778" width="72.3984375" style="1352" customWidth="1"/>
    <col min="11779" max="11779" width="13.09765625" style="1352" customWidth="1"/>
    <col min="11780" max="12032" width="9" style="1352"/>
    <col min="12033" max="12033" width="23.19921875" style="1352" customWidth="1"/>
    <col min="12034" max="12034" width="72.3984375" style="1352" customWidth="1"/>
    <col min="12035" max="12035" width="13.09765625" style="1352" customWidth="1"/>
    <col min="12036" max="12288" width="9" style="1352"/>
    <col min="12289" max="12289" width="23.19921875" style="1352" customWidth="1"/>
    <col min="12290" max="12290" width="72.3984375" style="1352" customWidth="1"/>
    <col min="12291" max="12291" width="13.09765625" style="1352" customWidth="1"/>
    <col min="12292" max="12544" width="9" style="1352"/>
    <col min="12545" max="12545" width="23.19921875" style="1352" customWidth="1"/>
    <col min="12546" max="12546" width="72.3984375" style="1352" customWidth="1"/>
    <col min="12547" max="12547" width="13.09765625" style="1352" customWidth="1"/>
    <col min="12548" max="12800" width="9" style="1352"/>
    <col min="12801" max="12801" width="23.19921875" style="1352" customWidth="1"/>
    <col min="12802" max="12802" width="72.3984375" style="1352" customWidth="1"/>
    <col min="12803" max="12803" width="13.09765625" style="1352" customWidth="1"/>
    <col min="12804" max="13056" width="9" style="1352"/>
    <col min="13057" max="13057" width="23.19921875" style="1352" customWidth="1"/>
    <col min="13058" max="13058" width="72.3984375" style="1352" customWidth="1"/>
    <col min="13059" max="13059" width="13.09765625" style="1352" customWidth="1"/>
    <col min="13060" max="13312" width="9" style="1352"/>
    <col min="13313" max="13313" width="23.19921875" style="1352" customWidth="1"/>
    <col min="13314" max="13314" width="72.3984375" style="1352" customWidth="1"/>
    <col min="13315" max="13315" width="13.09765625" style="1352" customWidth="1"/>
    <col min="13316" max="13568" width="9" style="1352"/>
    <col min="13569" max="13569" width="23.19921875" style="1352" customWidth="1"/>
    <col min="13570" max="13570" width="72.3984375" style="1352" customWidth="1"/>
    <col min="13571" max="13571" width="13.09765625" style="1352" customWidth="1"/>
    <col min="13572" max="13824" width="9" style="1352"/>
    <col min="13825" max="13825" width="23.19921875" style="1352" customWidth="1"/>
    <col min="13826" max="13826" width="72.3984375" style="1352" customWidth="1"/>
    <col min="13827" max="13827" width="13.09765625" style="1352" customWidth="1"/>
    <col min="13828" max="14080" width="9" style="1352"/>
    <col min="14081" max="14081" width="23.19921875" style="1352" customWidth="1"/>
    <col min="14082" max="14082" width="72.3984375" style="1352" customWidth="1"/>
    <col min="14083" max="14083" width="13.09765625" style="1352" customWidth="1"/>
    <col min="14084" max="14336" width="9" style="1352"/>
    <col min="14337" max="14337" width="23.19921875" style="1352" customWidth="1"/>
    <col min="14338" max="14338" width="72.3984375" style="1352" customWidth="1"/>
    <col min="14339" max="14339" width="13.09765625" style="1352" customWidth="1"/>
    <col min="14340" max="14592" width="9" style="1352"/>
    <col min="14593" max="14593" width="23.19921875" style="1352" customWidth="1"/>
    <col min="14594" max="14594" width="72.3984375" style="1352" customWidth="1"/>
    <col min="14595" max="14595" width="13.09765625" style="1352" customWidth="1"/>
    <col min="14596" max="14848" width="9" style="1352"/>
    <col min="14849" max="14849" width="23.19921875" style="1352" customWidth="1"/>
    <col min="14850" max="14850" width="72.3984375" style="1352" customWidth="1"/>
    <col min="14851" max="14851" width="13.09765625" style="1352" customWidth="1"/>
    <col min="14852" max="15104" width="9" style="1352"/>
    <col min="15105" max="15105" width="23.19921875" style="1352" customWidth="1"/>
    <col min="15106" max="15106" width="72.3984375" style="1352" customWidth="1"/>
    <col min="15107" max="15107" width="13.09765625" style="1352" customWidth="1"/>
    <col min="15108" max="15360" width="9" style="1352"/>
    <col min="15361" max="15361" width="23.19921875" style="1352" customWidth="1"/>
    <col min="15362" max="15362" width="72.3984375" style="1352" customWidth="1"/>
    <col min="15363" max="15363" width="13.09765625" style="1352" customWidth="1"/>
    <col min="15364" max="15616" width="9" style="1352"/>
    <col min="15617" max="15617" width="23.19921875" style="1352" customWidth="1"/>
    <col min="15618" max="15618" width="72.3984375" style="1352" customWidth="1"/>
    <col min="15619" max="15619" width="13.09765625" style="1352" customWidth="1"/>
    <col min="15620" max="15872" width="9" style="1352"/>
    <col min="15873" max="15873" width="23.19921875" style="1352" customWidth="1"/>
    <col min="15874" max="15874" width="72.3984375" style="1352" customWidth="1"/>
    <col min="15875" max="15875" width="13.09765625" style="1352" customWidth="1"/>
    <col min="15876" max="16128" width="9" style="1352"/>
    <col min="16129" max="16129" width="23.19921875" style="1352" customWidth="1"/>
    <col min="16130" max="16130" width="72.3984375" style="1352" customWidth="1"/>
    <col min="16131" max="16131" width="13.09765625" style="1352" customWidth="1"/>
    <col min="16132" max="16384" width="9" style="1352"/>
  </cols>
  <sheetData>
    <row r="1" spans="1:3" ht="22.5" customHeight="1">
      <c r="A1" s="3857" t="s">
        <v>10104</v>
      </c>
      <c r="B1" s="3857"/>
      <c r="C1" s="3857"/>
    </row>
    <row r="2" spans="1:3" ht="24" customHeight="1">
      <c r="A2" s="3862" t="s">
        <v>1717</v>
      </c>
      <c r="B2" s="3863"/>
      <c r="C2" s="1340" t="s">
        <v>1718</v>
      </c>
    </row>
    <row r="3" spans="1:3" ht="108.75" customHeight="1">
      <c r="A3" s="1353" t="s">
        <v>1719</v>
      </c>
      <c r="B3" s="1354"/>
      <c r="C3" s="1340" t="s">
        <v>1720</v>
      </c>
    </row>
    <row r="4" spans="1:3" ht="108.75" customHeight="1">
      <c r="A4" s="1353" t="s">
        <v>1721</v>
      </c>
      <c r="B4" s="1354"/>
      <c r="C4" s="1340" t="s">
        <v>1720</v>
      </c>
    </row>
    <row r="5" spans="1:3" ht="108.75" customHeight="1">
      <c r="A5" s="1355" t="s">
        <v>1722</v>
      </c>
      <c r="B5" s="1354"/>
      <c r="C5" s="1340" t="s">
        <v>1720</v>
      </c>
    </row>
    <row r="6" spans="1:3" ht="21" customHeight="1">
      <c r="A6" s="3862" t="s">
        <v>10103</v>
      </c>
      <c r="B6" s="3863"/>
      <c r="C6" s="1340"/>
    </row>
    <row r="7" spans="1:3" ht="30.75" customHeight="1">
      <c r="A7" s="3864" t="s">
        <v>1723</v>
      </c>
      <c r="B7" s="3865"/>
      <c r="C7" s="1356" t="s">
        <v>1724</v>
      </c>
    </row>
    <row r="8" spans="1:3" ht="22.5" customHeight="1">
      <c r="A8" s="3862" t="s">
        <v>1725</v>
      </c>
      <c r="B8" s="3863"/>
      <c r="C8" s="1340"/>
    </row>
    <row r="9" spans="1:3" ht="82.5" customHeight="1">
      <c r="A9" s="1353" t="s">
        <v>1726</v>
      </c>
      <c r="B9" s="1354"/>
      <c r="C9" s="1340" t="s">
        <v>1720</v>
      </c>
    </row>
    <row r="10" spans="1:3" ht="114.75" customHeight="1">
      <c r="A10" s="1353" t="s">
        <v>1727</v>
      </c>
      <c r="B10" s="1354"/>
      <c r="C10" s="1340" t="s">
        <v>1720</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69921875" style="1361" customWidth="1"/>
    <col min="2" max="2" width="80.09765625" style="1362" customWidth="1"/>
    <col min="3" max="3" width="13.3984375" style="1352" customWidth="1"/>
    <col min="4" max="256" width="9" style="1352"/>
    <col min="257" max="257" width="19.69921875" style="1352" customWidth="1"/>
    <col min="258" max="258" width="80.09765625" style="1352" customWidth="1"/>
    <col min="259" max="259" width="13.3984375" style="1352" customWidth="1"/>
    <col min="260" max="512" width="9" style="1352"/>
    <col min="513" max="513" width="19.69921875" style="1352" customWidth="1"/>
    <col min="514" max="514" width="80.09765625" style="1352" customWidth="1"/>
    <col min="515" max="515" width="13.3984375" style="1352" customWidth="1"/>
    <col min="516" max="768" width="9" style="1352"/>
    <col min="769" max="769" width="19.69921875" style="1352" customWidth="1"/>
    <col min="770" max="770" width="80.09765625" style="1352" customWidth="1"/>
    <col min="771" max="771" width="13.3984375" style="1352" customWidth="1"/>
    <col min="772" max="1024" width="9" style="1352"/>
    <col min="1025" max="1025" width="19.69921875" style="1352" customWidth="1"/>
    <col min="1026" max="1026" width="80.09765625" style="1352" customWidth="1"/>
    <col min="1027" max="1027" width="13.3984375" style="1352" customWidth="1"/>
    <col min="1028" max="1280" width="9" style="1352"/>
    <col min="1281" max="1281" width="19.69921875" style="1352" customWidth="1"/>
    <col min="1282" max="1282" width="80.09765625" style="1352" customWidth="1"/>
    <col min="1283" max="1283" width="13.3984375" style="1352" customWidth="1"/>
    <col min="1284" max="1536" width="9" style="1352"/>
    <col min="1537" max="1537" width="19.69921875" style="1352" customWidth="1"/>
    <col min="1538" max="1538" width="80.09765625" style="1352" customWidth="1"/>
    <col min="1539" max="1539" width="13.3984375" style="1352" customWidth="1"/>
    <col min="1540" max="1792" width="9" style="1352"/>
    <col min="1793" max="1793" width="19.69921875" style="1352" customWidth="1"/>
    <col min="1794" max="1794" width="80.09765625" style="1352" customWidth="1"/>
    <col min="1795" max="1795" width="13.3984375" style="1352" customWidth="1"/>
    <col min="1796" max="2048" width="9" style="1352"/>
    <col min="2049" max="2049" width="19.69921875" style="1352" customWidth="1"/>
    <col min="2050" max="2050" width="80.09765625" style="1352" customWidth="1"/>
    <col min="2051" max="2051" width="13.3984375" style="1352" customWidth="1"/>
    <col min="2052" max="2304" width="9" style="1352"/>
    <col min="2305" max="2305" width="19.69921875" style="1352" customWidth="1"/>
    <col min="2306" max="2306" width="80.09765625" style="1352" customWidth="1"/>
    <col min="2307" max="2307" width="13.3984375" style="1352" customWidth="1"/>
    <col min="2308" max="2560" width="9" style="1352"/>
    <col min="2561" max="2561" width="19.69921875" style="1352" customWidth="1"/>
    <col min="2562" max="2562" width="80.09765625" style="1352" customWidth="1"/>
    <col min="2563" max="2563" width="13.3984375" style="1352" customWidth="1"/>
    <col min="2564" max="2816" width="9" style="1352"/>
    <col min="2817" max="2817" width="19.69921875" style="1352" customWidth="1"/>
    <col min="2818" max="2818" width="80.09765625" style="1352" customWidth="1"/>
    <col min="2819" max="2819" width="13.3984375" style="1352" customWidth="1"/>
    <col min="2820" max="3072" width="9" style="1352"/>
    <col min="3073" max="3073" width="19.69921875" style="1352" customWidth="1"/>
    <col min="3074" max="3074" width="80.09765625" style="1352" customWidth="1"/>
    <col min="3075" max="3075" width="13.3984375" style="1352" customWidth="1"/>
    <col min="3076" max="3328" width="9" style="1352"/>
    <col min="3329" max="3329" width="19.69921875" style="1352" customWidth="1"/>
    <col min="3330" max="3330" width="80.09765625" style="1352" customWidth="1"/>
    <col min="3331" max="3331" width="13.3984375" style="1352" customWidth="1"/>
    <col min="3332" max="3584" width="9" style="1352"/>
    <col min="3585" max="3585" width="19.69921875" style="1352" customWidth="1"/>
    <col min="3586" max="3586" width="80.09765625" style="1352" customWidth="1"/>
    <col min="3587" max="3587" width="13.3984375" style="1352" customWidth="1"/>
    <col min="3588" max="3840" width="9" style="1352"/>
    <col min="3841" max="3841" width="19.69921875" style="1352" customWidth="1"/>
    <col min="3842" max="3842" width="80.09765625" style="1352" customWidth="1"/>
    <col min="3843" max="3843" width="13.3984375" style="1352" customWidth="1"/>
    <col min="3844" max="4096" width="9" style="1352"/>
    <col min="4097" max="4097" width="19.69921875" style="1352" customWidth="1"/>
    <col min="4098" max="4098" width="80.09765625" style="1352" customWidth="1"/>
    <col min="4099" max="4099" width="13.3984375" style="1352" customWidth="1"/>
    <col min="4100" max="4352" width="9" style="1352"/>
    <col min="4353" max="4353" width="19.69921875" style="1352" customWidth="1"/>
    <col min="4354" max="4354" width="80.09765625" style="1352" customWidth="1"/>
    <col min="4355" max="4355" width="13.3984375" style="1352" customWidth="1"/>
    <col min="4356" max="4608" width="9" style="1352"/>
    <col min="4609" max="4609" width="19.69921875" style="1352" customWidth="1"/>
    <col min="4610" max="4610" width="80.09765625" style="1352" customWidth="1"/>
    <col min="4611" max="4611" width="13.3984375" style="1352" customWidth="1"/>
    <col min="4612" max="4864" width="9" style="1352"/>
    <col min="4865" max="4865" width="19.69921875" style="1352" customWidth="1"/>
    <col min="4866" max="4866" width="80.09765625" style="1352" customWidth="1"/>
    <col min="4867" max="4867" width="13.3984375" style="1352" customWidth="1"/>
    <col min="4868" max="5120" width="9" style="1352"/>
    <col min="5121" max="5121" width="19.69921875" style="1352" customWidth="1"/>
    <col min="5122" max="5122" width="80.09765625" style="1352" customWidth="1"/>
    <col min="5123" max="5123" width="13.3984375" style="1352" customWidth="1"/>
    <col min="5124" max="5376" width="9" style="1352"/>
    <col min="5377" max="5377" width="19.69921875" style="1352" customWidth="1"/>
    <col min="5378" max="5378" width="80.09765625" style="1352" customWidth="1"/>
    <col min="5379" max="5379" width="13.3984375" style="1352" customWidth="1"/>
    <col min="5380" max="5632" width="9" style="1352"/>
    <col min="5633" max="5633" width="19.69921875" style="1352" customWidth="1"/>
    <col min="5634" max="5634" width="80.09765625" style="1352" customWidth="1"/>
    <col min="5635" max="5635" width="13.3984375" style="1352" customWidth="1"/>
    <col min="5636" max="5888" width="9" style="1352"/>
    <col min="5889" max="5889" width="19.69921875" style="1352" customWidth="1"/>
    <col min="5890" max="5890" width="80.09765625" style="1352" customWidth="1"/>
    <col min="5891" max="5891" width="13.3984375" style="1352" customWidth="1"/>
    <col min="5892" max="6144" width="9" style="1352"/>
    <col min="6145" max="6145" width="19.69921875" style="1352" customWidth="1"/>
    <col min="6146" max="6146" width="80.09765625" style="1352" customWidth="1"/>
    <col min="6147" max="6147" width="13.3984375" style="1352" customWidth="1"/>
    <col min="6148" max="6400" width="9" style="1352"/>
    <col min="6401" max="6401" width="19.69921875" style="1352" customWidth="1"/>
    <col min="6402" max="6402" width="80.09765625" style="1352" customWidth="1"/>
    <col min="6403" max="6403" width="13.3984375" style="1352" customWidth="1"/>
    <col min="6404" max="6656" width="9" style="1352"/>
    <col min="6657" max="6657" width="19.69921875" style="1352" customWidth="1"/>
    <col min="6658" max="6658" width="80.09765625" style="1352" customWidth="1"/>
    <col min="6659" max="6659" width="13.3984375" style="1352" customWidth="1"/>
    <col min="6660" max="6912" width="9" style="1352"/>
    <col min="6913" max="6913" width="19.69921875" style="1352" customWidth="1"/>
    <col min="6914" max="6914" width="80.09765625" style="1352" customWidth="1"/>
    <col min="6915" max="6915" width="13.3984375" style="1352" customWidth="1"/>
    <col min="6916" max="7168" width="9" style="1352"/>
    <col min="7169" max="7169" width="19.69921875" style="1352" customWidth="1"/>
    <col min="7170" max="7170" width="80.09765625" style="1352" customWidth="1"/>
    <col min="7171" max="7171" width="13.3984375" style="1352" customWidth="1"/>
    <col min="7172" max="7424" width="9" style="1352"/>
    <col min="7425" max="7425" width="19.69921875" style="1352" customWidth="1"/>
    <col min="7426" max="7426" width="80.09765625" style="1352" customWidth="1"/>
    <col min="7427" max="7427" width="13.3984375" style="1352" customWidth="1"/>
    <col min="7428" max="7680" width="9" style="1352"/>
    <col min="7681" max="7681" width="19.69921875" style="1352" customWidth="1"/>
    <col min="7682" max="7682" width="80.09765625" style="1352" customWidth="1"/>
    <col min="7683" max="7683" width="13.3984375" style="1352" customWidth="1"/>
    <col min="7684" max="7936" width="9" style="1352"/>
    <col min="7937" max="7937" width="19.69921875" style="1352" customWidth="1"/>
    <col min="7938" max="7938" width="80.09765625" style="1352" customWidth="1"/>
    <col min="7939" max="7939" width="13.3984375" style="1352" customWidth="1"/>
    <col min="7940" max="8192" width="9" style="1352"/>
    <col min="8193" max="8193" width="19.69921875" style="1352" customWidth="1"/>
    <col min="8194" max="8194" width="80.09765625" style="1352" customWidth="1"/>
    <col min="8195" max="8195" width="13.3984375" style="1352" customWidth="1"/>
    <col min="8196" max="8448" width="9" style="1352"/>
    <col min="8449" max="8449" width="19.69921875" style="1352" customWidth="1"/>
    <col min="8450" max="8450" width="80.09765625" style="1352" customWidth="1"/>
    <col min="8451" max="8451" width="13.3984375" style="1352" customWidth="1"/>
    <col min="8452" max="8704" width="9" style="1352"/>
    <col min="8705" max="8705" width="19.69921875" style="1352" customWidth="1"/>
    <col min="8706" max="8706" width="80.09765625" style="1352" customWidth="1"/>
    <col min="8707" max="8707" width="13.3984375" style="1352" customWidth="1"/>
    <col min="8708" max="8960" width="9" style="1352"/>
    <col min="8961" max="8961" width="19.69921875" style="1352" customWidth="1"/>
    <col min="8962" max="8962" width="80.09765625" style="1352" customWidth="1"/>
    <col min="8963" max="8963" width="13.3984375" style="1352" customWidth="1"/>
    <col min="8964" max="9216" width="9" style="1352"/>
    <col min="9217" max="9217" width="19.69921875" style="1352" customWidth="1"/>
    <col min="9218" max="9218" width="80.09765625" style="1352" customWidth="1"/>
    <col min="9219" max="9219" width="13.3984375" style="1352" customWidth="1"/>
    <col min="9220" max="9472" width="9" style="1352"/>
    <col min="9473" max="9473" width="19.69921875" style="1352" customWidth="1"/>
    <col min="9474" max="9474" width="80.09765625" style="1352" customWidth="1"/>
    <col min="9475" max="9475" width="13.3984375" style="1352" customWidth="1"/>
    <col min="9476" max="9728" width="9" style="1352"/>
    <col min="9729" max="9729" width="19.69921875" style="1352" customWidth="1"/>
    <col min="9730" max="9730" width="80.09765625" style="1352" customWidth="1"/>
    <col min="9731" max="9731" width="13.3984375" style="1352" customWidth="1"/>
    <col min="9732" max="9984" width="9" style="1352"/>
    <col min="9985" max="9985" width="19.69921875" style="1352" customWidth="1"/>
    <col min="9986" max="9986" width="80.09765625" style="1352" customWidth="1"/>
    <col min="9987" max="9987" width="13.3984375" style="1352" customWidth="1"/>
    <col min="9988" max="10240" width="9" style="1352"/>
    <col min="10241" max="10241" width="19.69921875" style="1352" customWidth="1"/>
    <col min="10242" max="10242" width="80.09765625" style="1352" customWidth="1"/>
    <col min="10243" max="10243" width="13.3984375" style="1352" customWidth="1"/>
    <col min="10244" max="10496" width="9" style="1352"/>
    <col min="10497" max="10497" width="19.69921875" style="1352" customWidth="1"/>
    <col min="10498" max="10498" width="80.09765625" style="1352" customWidth="1"/>
    <col min="10499" max="10499" width="13.3984375" style="1352" customWidth="1"/>
    <col min="10500" max="10752" width="9" style="1352"/>
    <col min="10753" max="10753" width="19.69921875" style="1352" customWidth="1"/>
    <col min="10754" max="10754" width="80.09765625" style="1352" customWidth="1"/>
    <col min="10755" max="10755" width="13.3984375" style="1352" customWidth="1"/>
    <col min="10756" max="11008" width="9" style="1352"/>
    <col min="11009" max="11009" width="19.69921875" style="1352" customWidth="1"/>
    <col min="11010" max="11010" width="80.09765625" style="1352" customWidth="1"/>
    <col min="11011" max="11011" width="13.3984375" style="1352" customWidth="1"/>
    <col min="11012" max="11264" width="9" style="1352"/>
    <col min="11265" max="11265" width="19.69921875" style="1352" customWidth="1"/>
    <col min="11266" max="11266" width="80.09765625" style="1352" customWidth="1"/>
    <col min="11267" max="11267" width="13.3984375" style="1352" customWidth="1"/>
    <col min="11268" max="11520" width="9" style="1352"/>
    <col min="11521" max="11521" width="19.69921875" style="1352" customWidth="1"/>
    <col min="11522" max="11522" width="80.09765625" style="1352" customWidth="1"/>
    <col min="11523" max="11523" width="13.3984375" style="1352" customWidth="1"/>
    <col min="11524" max="11776" width="9" style="1352"/>
    <col min="11777" max="11777" width="19.69921875" style="1352" customWidth="1"/>
    <col min="11778" max="11778" width="80.09765625" style="1352" customWidth="1"/>
    <col min="11779" max="11779" width="13.3984375" style="1352" customWidth="1"/>
    <col min="11780" max="12032" width="9" style="1352"/>
    <col min="12033" max="12033" width="19.69921875" style="1352" customWidth="1"/>
    <col min="12034" max="12034" width="80.09765625" style="1352" customWidth="1"/>
    <col min="12035" max="12035" width="13.3984375" style="1352" customWidth="1"/>
    <col min="12036" max="12288" width="9" style="1352"/>
    <col min="12289" max="12289" width="19.69921875" style="1352" customWidth="1"/>
    <col min="12290" max="12290" width="80.09765625" style="1352" customWidth="1"/>
    <col min="12291" max="12291" width="13.3984375" style="1352" customWidth="1"/>
    <col min="12292" max="12544" width="9" style="1352"/>
    <col min="12545" max="12545" width="19.69921875" style="1352" customWidth="1"/>
    <col min="12546" max="12546" width="80.09765625" style="1352" customWidth="1"/>
    <col min="12547" max="12547" width="13.3984375" style="1352" customWidth="1"/>
    <col min="12548" max="12800" width="9" style="1352"/>
    <col min="12801" max="12801" width="19.69921875" style="1352" customWidth="1"/>
    <col min="12802" max="12802" width="80.09765625" style="1352" customWidth="1"/>
    <col min="12803" max="12803" width="13.3984375" style="1352" customWidth="1"/>
    <col min="12804" max="13056" width="9" style="1352"/>
    <col min="13057" max="13057" width="19.69921875" style="1352" customWidth="1"/>
    <col min="13058" max="13058" width="80.09765625" style="1352" customWidth="1"/>
    <col min="13059" max="13059" width="13.3984375" style="1352" customWidth="1"/>
    <col min="13060" max="13312" width="9" style="1352"/>
    <col min="13313" max="13313" width="19.69921875" style="1352" customWidth="1"/>
    <col min="13314" max="13314" width="80.09765625" style="1352" customWidth="1"/>
    <col min="13315" max="13315" width="13.3984375" style="1352" customWidth="1"/>
    <col min="13316" max="13568" width="9" style="1352"/>
    <col min="13569" max="13569" width="19.69921875" style="1352" customWidth="1"/>
    <col min="13570" max="13570" width="80.09765625" style="1352" customWidth="1"/>
    <col min="13571" max="13571" width="13.3984375" style="1352" customWidth="1"/>
    <col min="13572" max="13824" width="9" style="1352"/>
    <col min="13825" max="13825" width="19.69921875" style="1352" customWidth="1"/>
    <col min="13826" max="13826" width="80.09765625" style="1352" customWidth="1"/>
    <col min="13827" max="13827" width="13.3984375" style="1352" customWidth="1"/>
    <col min="13828" max="14080" width="9" style="1352"/>
    <col min="14081" max="14081" width="19.69921875" style="1352" customWidth="1"/>
    <col min="14082" max="14082" width="80.09765625" style="1352" customWidth="1"/>
    <col min="14083" max="14083" width="13.3984375" style="1352" customWidth="1"/>
    <col min="14084" max="14336" width="9" style="1352"/>
    <col min="14337" max="14337" width="19.69921875" style="1352" customWidth="1"/>
    <col min="14338" max="14338" width="80.09765625" style="1352" customWidth="1"/>
    <col min="14339" max="14339" width="13.3984375" style="1352" customWidth="1"/>
    <col min="14340" max="14592" width="9" style="1352"/>
    <col min="14593" max="14593" width="19.69921875" style="1352" customWidth="1"/>
    <col min="14594" max="14594" width="80.09765625" style="1352" customWidth="1"/>
    <col min="14595" max="14595" width="13.3984375" style="1352" customWidth="1"/>
    <col min="14596" max="14848" width="9" style="1352"/>
    <col min="14849" max="14849" width="19.69921875" style="1352" customWidth="1"/>
    <col min="14850" max="14850" width="80.09765625" style="1352" customWidth="1"/>
    <col min="14851" max="14851" width="13.3984375" style="1352" customWidth="1"/>
    <col min="14852" max="15104" width="9" style="1352"/>
    <col min="15105" max="15105" width="19.69921875" style="1352" customWidth="1"/>
    <col min="15106" max="15106" width="80.09765625" style="1352" customWidth="1"/>
    <col min="15107" max="15107" width="13.3984375" style="1352" customWidth="1"/>
    <col min="15108" max="15360" width="9" style="1352"/>
    <col min="15361" max="15361" width="19.69921875" style="1352" customWidth="1"/>
    <col min="15362" max="15362" width="80.09765625" style="1352" customWidth="1"/>
    <col min="15363" max="15363" width="13.3984375" style="1352" customWidth="1"/>
    <col min="15364" max="15616" width="9" style="1352"/>
    <col min="15617" max="15617" width="19.69921875" style="1352" customWidth="1"/>
    <col min="15618" max="15618" width="80.09765625" style="1352" customWidth="1"/>
    <col min="15619" max="15619" width="13.3984375" style="1352" customWidth="1"/>
    <col min="15620" max="15872" width="9" style="1352"/>
    <col min="15873" max="15873" width="19.69921875" style="1352" customWidth="1"/>
    <col min="15874" max="15874" width="80.09765625" style="1352" customWidth="1"/>
    <col min="15875" max="15875" width="13.3984375" style="1352" customWidth="1"/>
    <col min="15876" max="16128" width="9" style="1352"/>
    <col min="16129" max="16129" width="19.69921875" style="1352" customWidth="1"/>
    <col min="16130" max="16130" width="80.09765625" style="1352" customWidth="1"/>
    <col min="16131" max="16131" width="13.3984375" style="1352" customWidth="1"/>
    <col min="16132" max="16384" width="9" style="1352"/>
  </cols>
  <sheetData>
    <row r="1" spans="1:3" ht="27" customHeight="1">
      <c r="A1" s="3857" t="s">
        <v>10106</v>
      </c>
      <c r="B1" s="3857"/>
      <c r="C1" s="3857"/>
    </row>
    <row r="2" spans="1:3" ht="30" customHeight="1">
      <c r="A2" s="3866" t="s">
        <v>1717</v>
      </c>
      <c r="B2" s="3866"/>
      <c r="C2" s="1340" t="s">
        <v>1069</v>
      </c>
    </row>
    <row r="3" spans="1:3" ht="71.25" customHeight="1">
      <c r="A3" s="1353" t="s">
        <v>1719</v>
      </c>
      <c r="B3" s="1359"/>
      <c r="C3" s="1340" t="s">
        <v>1720</v>
      </c>
    </row>
    <row r="4" spans="1:3" ht="72.75" customHeight="1">
      <c r="A4" s="1353" t="s">
        <v>1721</v>
      </c>
      <c r="B4" s="1359"/>
      <c r="C4" s="1340" t="s">
        <v>1720</v>
      </c>
    </row>
    <row r="5" spans="1:3" ht="60.75" customHeight="1">
      <c r="A5" s="1353" t="s">
        <v>1722</v>
      </c>
      <c r="B5" s="1359"/>
      <c r="C5" s="1340" t="s">
        <v>1720</v>
      </c>
    </row>
    <row r="6" spans="1:3" ht="21.75" customHeight="1">
      <c r="A6" s="3866" t="s">
        <v>10105</v>
      </c>
      <c r="B6" s="3866"/>
      <c r="C6" s="1340"/>
    </row>
    <row r="7" spans="1:3" ht="189.75" customHeight="1">
      <c r="A7" s="1360" t="s">
        <v>1728</v>
      </c>
      <c r="B7" s="1359"/>
      <c r="C7" s="1340" t="s">
        <v>1729</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4.4"/>
  <cols>
    <col min="1" max="1" width="27.59765625" style="1336" customWidth="1"/>
    <col min="2" max="2" width="73.3984375" style="1364" customWidth="1"/>
    <col min="3" max="3" width="12.8984375" style="1365" customWidth="1"/>
    <col min="4" max="256" width="9" style="1336"/>
    <col min="257" max="257" width="27.59765625" style="1336" customWidth="1"/>
    <col min="258" max="258" width="73.3984375" style="1336" customWidth="1"/>
    <col min="259" max="259" width="12.8984375" style="1336" customWidth="1"/>
    <col min="260" max="512" width="9" style="1336"/>
    <col min="513" max="513" width="27.59765625" style="1336" customWidth="1"/>
    <col min="514" max="514" width="73.3984375" style="1336" customWidth="1"/>
    <col min="515" max="515" width="12.8984375" style="1336" customWidth="1"/>
    <col min="516" max="768" width="9" style="1336"/>
    <col min="769" max="769" width="27.59765625" style="1336" customWidth="1"/>
    <col min="770" max="770" width="73.3984375" style="1336" customWidth="1"/>
    <col min="771" max="771" width="12.8984375" style="1336" customWidth="1"/>
    <col min="772" max="1024" width="9" style="1336"/>
    <col min="1025" max="1025" width="27.59765625" style="1336" customWidth="1"/>
    <col min="1026" max="1026" width="73.3984375" style="1336" customWidth="1"/>
    <col min="1027" max="1027" width="12.8984375" style="1336" customWidth="1"/>
    <col min="1028" max="1280" width="9" style="1336"/>
    <col min="1281" max="1281" width="27.59765625" style="1336" customWidth="1"/>
    <col min="1282" max="1282" width="73.3984375" style="1336" customWidth="1"/>
    <col min="1283" max="1283" width="12.8984375" style="1336" customWidth="1"/>
    <col min="1284" max="1536" width="9" style="1336"/>
    <col min="1537" max="1537" width="27.59765625" style="1336" customWidth="1"/>
    <col min="1538" max="1538" width="73.3984375" style="1336" customWidth="1"/>
    <col min="1539" max="1539" width="12.8984375" style="1336" customWidth="1"/>
    <col min="1540" max="1792" width="9" style="1336"/>
    <col min="1793" max="1793" width="27.59765625" style="1336" customWidth="1"/>
    <col min="1794" max="1794" width="73.3984375" style="1336" customWidth="1"/>
    <col min="1795" max="1795" width="12.8984375" style="1336" customWidth="1"/>
    <col min="1796" max="2048" width="9" style="1336"/>
    <col min="2049" max="2049" width="27.59765625" style="1336" customWidth="1"/>
    <col min="2050" max="2050" width="73.3984375" style="1336" customWidth="1"/>
    <col min="2051" max="2051" width="12.8984375" style="1336" customWidth="1"/>
    <col min="2052" max="2304" width="9" style="1336"/>
    <col min="2305" max="2305" width="27.59765625" style="1336" customWidth="1"/>
    <col min="2306" max="2306" width="73.3984375" style="1336" customWidth="1"/>
    <col min="2307" max="2307" width="12.8984375" style="1336" customWidth="1"/>
    <col min="2308" max="2560" width="9" style="1336"/>
    <col min="2561" max="2561" width="27.59765625" style="1336" customWidth="1"/>
    <col min="2562" max="2562" width="73.3984375" style="1336" customWidth="1"/>
    <col min="2563" max="2563" width="12.8984375" style="1336" customWidth="1"/>
    <col min="2564" max="2816" width="9" style="1336"/>
    <col min="2817" max="2817" width="27.59765625" style="1336" customWidth="1"/>
    <col min="2818" max="2818" width="73.3984375" style="1336" customWidth="1"/>
    <col min="2819" max="2819" width="12.8984375" style="1336" customWidth="1"/>
    <col min="2820" max="3072" width="9" style="1336"/>
    <col min="3073" max="3073" width="27.59765625" style="1336" customWidth="1"/>
    <col min="3074" max="3074" width="73.3984375" style="1336" customWidth="1"/>
    <col min="3075" max="3075" width="12.8984375" style="1336" customWidth="1"/>
    <col min="3076" max="3328" width="9" style="1336"/>
    <col min="3329" max="3329" width="27.59765625" style="1336" customWidth="1"/>
    <col min="3330" max="3330" width="73.3984375" style="1336" customWidth="1"/>
    <col min="3331" max="3331" width="12.8984375" style="1336" customWidth="1"/>
    <col min="3332" max="3584" width="9" style="1336"/>
    <col min="3585" max="3585" width="27.59765625" style="1336" customWidth="1"/>
    <col min="3586" max="3586" width="73.3984375" style="1336" customWidth="1"/>
    <col min="3587" max="3587" width="12.8984375" style="1336" customWidth="1"/>
    <col min="3588" max="3840" width="9" style="1336"/>
    <col min="3841" max="3841" width="27.59765625" style="1336" customWidth="1"/>
    <col min="3842" max="3842" width="73.3984375" style="1336" customWidth="1"/>
    <col min="3843" max="3843" width="12.8984375" style="1336" customWidth="1"/>
    <col min="3844" max="4096" width="9" style="1336"/>
    <col min="4097" max="4097" width="27.59765625" style="1336" customWidth="1"/>
    <col min="4098" max="4098" width="73.3984375" style="1336" customWidth="1"/>
    <col min="4099" max="4099" width="12.8984375" style="1336" customWidth="1"/>
    <col min="4100" max="4352" width="9" style="1336"/>
    <col min="4353" max="4353" width="27.59765625" style="1336" customWidth="1"/>
    <col min="4354" max="4354" width="73.3984375" style="1336" customWidth="1"/>
    <col min="4355" max="4355" width="12.8984375" style="1336" customWidth="1"/>
    <col min="4356" max="4608" width="9" style="1336"/>
    <col min="4609" max="4609" width="27.59765625" style="1336" customWidth="1"/>
    <col min="4610" max="4610" width="73.3984375" style="1336" customWidth="1"/>
    <col min="4611" max="4611" width="12.8984375" style="1336" customWidth="1"/>
    <col min="4612" max="4864" width="9" style="1336"/>
    <col min="4865" max="4865" width="27.59765625" style="1336" customWidth="1"/>
    <col min="4866" max="4866" width="73.3984375" style="1336" customWidth="1"/>
    <col min="4867" max="4867" width="12.8984375" style="1336" customWidth="1"/>
    <col min="4868" max="5120" width="9" style="1336"/>
    <col min="5121" max="5121" width="27.59765625" style="1336" customWidth="1"/>
    <col min="5122" max="5122" width="73.3984375" style="1336" customWidth="1"/>
    <col min="5123" max="5123" width="12.8984375" style="1336" customWidth="1"/>
    <col min="5124" max="5376" width="9" style="1336"/>
    <col min="5377" max="5377" width="27.59765625" style="1336" customWidth="1"/>
    <col min="5378" max="5378" width="73.3984375" style="1336" customWidth="1"/>
    <col min="5379" max="5379" width="12.8984375" style="1336" customWidth="1"/>
    <col min="5380" max="5632" width="9" style="1336"/>
    <col min="5633" max="5633" width="27.59765625" style="1336" customWidth="1"/>
    <col min="5634" max="5634" width="73.3984375" style="1336" customWidth="1"/>
    <col min="5635" max="5635" width="12.8984375" style="1336" customWidth="1"/>
    <col min="5636" max="5888" width="9" style="1336"/>
    <col min="5889" max="5889" width="27.59765625" style="1336" customWidth="1"/>
    <col min="5890" max="5890" width="73.3984375" style="1336" customWidth="1"/>
    <col min="5891" max="5891" width="12.8984375" style="1336" customWidth="1"/>
    <col min="5892" max="6144" width="9" style="1336"/>
    <col min="6145" max="6145" width="27.59765625" style="1336" customWidth="1"/>
    <col min="6146" max="6146" width="73.3984375" style="1336" customWidth="1"/>
    <col min="6147" max="6147" width="12.8984375" style="1336" customWidth="1"/>
    <col min="6148" max="6400" width="9" style="1336"/>
    <col min="6401" max="6401" width="27.59765625" style="1336" customWidth="1"/>
    <col min="6402" max="6402" width="73.3984375" style="1336" customWidth="1"/>
    <col min="6403" max="6403" width="12.8984375" style="1336" customWidth="1"/>
    <col min="6404" max="6656" width="9" style="1336"/>
    <col min="6657" max="6657" width="27.59765625" style="1336" customWidth="1"/>
    <col min="6658" max="6658" width="73.3984375" style="1336" customWidth="1"/>
    <col min="6659" max="6659" width="12.8984375" style="1336" customWidth="1"/>
    <col min="6660" max="6912" width="9" style="1336"/>
    <col min="6913" max="6913" width="27.59765625" style="1336" customWidth="1"/>
    <col min="6914" max="6914" width="73.3984375" style="1336" customWidth="1"/>
    <col min="6915" max="6915" width="12.8984375" style="1336" customWidth="1"/>
    <col min="6916" max="7168" width="9" style="1336"/>
    <col min="7169" max="7169" width="27.59765625" style="1336" customWidth="1"/>
    <col min="7170" max="7170" width="73.3984375" style="1336" customWidth="1"/>
    <col min="7171" max="7171" width="12.8984375" style="1336" customWidth="1"/>
    <col min="7172" max="7424" width="9" style="1336"/>
    <col min="7425" max="7425" width="27.59765625" style="1336" customWidth="1"/>
    <col min="7426" max="7426" width="73.3984375" style="1336" customWidth="1"/>
    <col min="7427" max="7427" width="12.8984375" style="1336" customWidth="1"/>
    <col min="7428" max="7680" width="9" style="1336"/>
    <col min="7681" max="7681" width="27.59765625" style="1336" customWidth="1"/>
    <col min="7682" max="7682" width="73.3984375" style="1336" customWidth="1"/>
    <col min="7683" max="7683" width="12.8984375" style="1336" customWidth="1"/>
    <col min="7684" max="7936" width="9" style="1336"/>
    <col min="7937" max="7937" width="27.59765625" style="1336" customWidth="1"/>
    <col min="7938" max="7938" width="73.3984375" style="1336" customWidth="1"/>
    <col min="7939" max="7939" width="12.8984375" style="1336" customWidth="1"/>
    <col min="7940" max="8192" width="9" style="1336"/>
    <col min="8193" max="8193" width="27.59765625" style="1336" customWidth="1"/>
    <col min="8194" max="8194" width="73.3984375" style="1336" customWidth="1"/>
    <col min="8195" max="8195" width="12.8984375" style="1336" customWidth="1"/>
    <col min="8196" max="8448" width="9" style="1336"/>
    <col min="8449" max="8449" width="27.59765625" style="1336" customWidth="1"/>
    <col min="8450" max="8450" width="73.3984375" style="1336" customWidth="1"/>
    <col min="8451" max="8451" width="12.8984375" style="1336" customWidth="1"/>
    <col min="8452" max="8704" width="9" style="1336"/>
    <col min="8705" max="8705" width="27.59765625" style="1336" customWidth="1"/>
    <col min="8706" max="8706" width="73.3984375" style="1336" customWidth="1"/>
    <col min="8707" max="8707" width="12.8984375" style="1336" customWidth="1"/>
    <col min="8708" max="8960" width="9" style="1336"/>
    <col min="8961" max="8961" width="27.59765625" style="1336" customWidth="1"/>
    <col min="8962" max="8962" width="73.3984375" style="1336" customWidth="1"/>
    <col min="8963" max="8963" width="12.8984375" style="1336" customWidth="1"/>
    <col min="8964" max="9216" width="9" style="1336"/>
    <col min="9217" max="9217" width="27.59765625" style="1336" customWidth="1"/>
    <col min="9218" max="9218" width="73.3984375" style="1336" customWidth="1"/>
    <col min="9219" max="9219" width="12.8984375" style="1336" customWidth="1"/>
    <col min="9220" max="9472" width="9" style="1336"/>
    <col min="9473" max="9473" width="27.59765625" style="1336" customWidth="1"/>
    <col min="9474" max="9474" width="73.3984375" style="1336" customWidth="1"/>
    <col min="9475" max="9475" width="12.8984375" style="1336" customWidth="1"/>
    <col min="9476" max="9728" width="9" style="1336"/>
    <col min="9729" max="9729" width="27.59765625" style="1336" customWidth="1"/>
    <col min="9730" max="9730" width="73.3984375" style="1336" customWidth="1"/>
    <col min="9731" max="9731" width="12.8984375" style="1336" customWidth="1"/>
    <col min="9732" max="9984" width="9" style="1336"/>
    <col min="9985" max="9985" width="27.59765625" style="1336" customWidth="1"/>
    <col min="9986" max="9986" width="73.3984375" style="1336" customWidth="1"/>
    <col min="9987" max="9987" width="12.8984375" style="1336" customWidth="1"/>
    <col min="9988" max="10240" width="9" style="1336"/>
    <col min="10241" max="10241" width="27.59765625" style="1336" customWidth="1"/>
    <col min="10242" max="10242" width="73.3984375" style="1336" customWidth="1"/>
    <col min="10243" max="10243" width="12.8984375" style="1336" customWidth="1"/>
    <col min="10244" max="10496" width="9" style="1336"/>
    <col min="10497" max="10497" width="27.59765625" style="1336" customWidth="1"/>
    <col min="10498" max="10498" width="73.3984375" style="1336" customWidth="1"/>
    <col min="10499" max="10499" width="12.8984375" style="1336" customWidth="1"/>
    <col min="10500" max="10752" width="9" style="1336"/>
    <col min="10753" max="10753" width="27.59765625" style="1336" customWidth="1"/>
    <col min="10754" max="10754" width="73.3984375" style="1336" customWidth="1"/>
    <col min="10755" max="10755" width="12.8984375" style="1336" customWidth="1"/>
    <col min="10756" max="11008" width="9" style="1336"/>
    <col min="11009" max="11009" width="27.59765625" style="1336" customWidth="1"/>
    <col min="11010" max="11010" width="73.3984375" style="1336" customWidth="1"/>
    <col min="11011" max="11011" width="12.8984375" style="1336" customWidth="1"/>
    <col min="11012" max="11264" width="9" style="1336"/>
    <col min="11265" max="11265" width="27.59765625" style="1336" customWidth="1"/>
    <col min="11266" max="11266" width="73.3984375" style="1336" customWidth="1"/>
    <col min="11267" max="11267" width="12.8984375" style="1336" customWidth="1"/>
    <col min="11268" max="11520" width="9" style="1336"/>
    <col min="11521" max="11521" width="27.59765625" style="1336" customWidth="1"/>
    <col min="11522" max="11522" width="73.3984375" style="1336" customWidth="1"/>
    <col min="11523" max="11523" width="12.8984375" style="1336" customWidth="1"/>
    <col min="11524" max="11776" width="9" style="1336"/>
    <col min="11777" max="11777" width="27.59765625" style="1336" customWidth="1"/>
    <col min="11778" max="11778" width="73.3984375" style="1336" customWidth="1"/>
    <col min="11779" max="11779" width="12.8984375" style="1336" customWidth="1"/>
    <col min="11780" max="12032" width="9" style="1336"/>
    <col min="12033" max="12033" width="27.59765625" style="1336" customWidth="1"/>
    <col min="12034" max="12034" width="73.3984375" style="1336" customWidth="1"/>
    <col min="12035" max="12035" width="12.8984375" style="1336" customWidth="1"/>
    <col min="12036" max="12288" width="9" style="1336"/>
    <col min="12289" max="12289" width="27.59765625" style="1336" customWidth="1"/>
    <col min="12290" max="12290" width="73.3984375" style="1336" customWidth="1"/>
    <col min="12291" max="12291" width="12.8984375" style="1336" customWidth="1"/>
    <col min="12292" max="12544" width="9" style="1336"/>
    <col min="12545" max="12545" width="27.59765625" style="1336" customWidth="1"/>
    <col min="12546" max="12546" width="73.3984375" style="1336" customWidth="1"/>
    <col min="12547" max="12547" width="12.8984375" style="1336" customWidth="1"/>
    <col min="12548" max="12800" width="9" style="1336"/>
    <col min="12801" max="12801" width="27.59765625" style="1336" customWidth="1"/>
    <col min="12802" max="12802" width="73.3984375" style="1336" customWidth="1"/>
    <col min="12803" max="12803" width="12.8984375" style="1336" customWidth="1"/>
    <col min="12804" max="13056" width="9" style="1336"/>
    <col min="13057" max="13057" width="27.59765625" style="1336" customWidth="1"/>
    <col min="13058" max="13058" width="73.3984375" style="1336" customWidth="1"/>
    <col min="13059" max="13059" width="12.8984375" style="1336" customWidth="1"/>
    <col min="13060" max="13312" width="9" style="1336"/>
    <col min="13313" max="13313" width="27.59765625" style="1336" customWidth="1"/>
    <col min="13314" max="13314" width="73.3984375" style="1336" customWidth="1"/>
    <col min="13315" max="13315" width="12.8984375" style="1336" customWidth="1"/>
    <col min="13316" max="13568" width="9" style="1336"/>
    <col min="13569" max="13569" width="27.59765625" style="1336" customWidth="1"/>
    <col min="13570" max="13570" width="73.3984375" style="1336" customWidth="1"/>
    <col min="13571" max="13571" width="12.8984375" style="1336" customWidth="1"/>
    <col min="13572" max="13824" width="9" style="1336"/>
    <col min="13825" max="13825" width="27.59765625" style="1336" customWidth="1"/>
    <col min="13826" max="13826" width="73.3984375" style="1336" customWidth="1"/>
    <col min="13827" max="13827" width="12.8984375" style="1336" customWidth="1"/>
    <col min="13828" max="14080" width="9" style="1336"/>
    <col min="14081" max="14081" width="27.59765625" style="1336" customWidth="1"/>
    <col min="14082" max="14082" width="73.3984375" style="1336" customWidth="1"/>
    <col min="14083" max="14083" width="12.8984375" style="1336" customWidth="1"/>
    <col min="14084" max="14336" width="9" style="1336"/>
    <col min="14337" max="14337" width="27.59765625" style="1336" customWidth="1"/>
    <col min="14338" max="14338" width="73.3984375" style="1336" customWidth="1"/>
    <col min="14339" max="14339" width="12.8984375" style="1336" customWidth="1"/>
    <col min="14340" max="14592" width="9" style="1336"/>
    <col min="14593" max="14593" width="27.59765625" style="1336" customWidth="1"/>
    <col min="14594" max="14594" width="73.3984375" style="1336" customWidth="1"/>
    <col min="14595" max="14595" width="12.8984375" style="1336" customWidth="1"/>
    <col min="14596" max="14848" width="9" style="1336"/>
    <col min="14849" max="14849" width="27.59765625" style="1336" customWidth="1"/>
    <col min="14850" max="14850" width="73.3984375" style="1336" customWidth="1"/>
    <col min="14851" max="14851" width="12.8984375" style="1336" customWidth="1"/>
    <col min="14852" max="15104" width="9" style="1336"/>
    <col min="15105" max="15105" width="27.59765625" style="1336" customWidth="1"/>
    <col min="15106" max="15106" width="73.3984375" style="1336" customWidth="1"/>
    <col min="15107" max="15107" width="12.8984375" style="1336" customWidth="1"/>
    <col min="15108" max="15360" width="9" style="1336"/>
    <col min="15361" max="15361" width="27.59765625" style="1336" customWidth="1"/>
    <col min="15362" max="15362" width="73.3984375" style="1336" customWidth="1"/>
    <col min="15363" max="15363" width="12.8984375" style="1336" customWidth="1"/>
    <col min="15364" max="15616" width="9" style="1336"/>
    <col min="15617" max="15617" width="27.59765625" style="1336" customWidth="1"/>
    <col min="15618" max="15618" width="73.3984375" style="1336" customWidth="1"/>
    <col min="15619" max="15619" width="12.8984375" style="1336" customWidth="1"/>
    <col min="15620" max="15872" width="9" style="1336"/>
    <col min="15873" max="15873" width="27.59765625" style="1336" customWidth="1"/>
    <col min="15874" max="15874" width="73.3984375" style="1336" customWidth="1"/>
    <col min="15875" max="15875" width="12.8984375" style="1336" customWidth="1"/>
    <col min="15876" max="16128" width="9" style="1336"/>
    <col min="16129" max="16129" width="27.59765625" style="1336" customWidth="1"/>
    <col min="16130" max="16130" width="73.3984375" style="1336" customWidth="1"/>
    <col min="16131" max="16131" width="12.8984375" style="1336" customWidth="1"/>
    <col min="16132" max="16384" width="9" style="1336"/>
  </cols>
  <sheetData>
    <row r="1" spans="1:3" ht="26.25" customHeight="1">
      <c r="A1" s="3867" t="s">
        <v>10109</v>
      </c>
      <c r="B1" s="3867"/>
      <c r="C1" s="3867"/>
    </row>
    <row r="2" spans="1:3" s="1352" customFormat="1" ht="24.75" customHeight="1">
      <c r="A2" s="3866" t="s">
        <v>1717</v>
      </c>
      <c r="B2" s="3866"/>
      <c r="C2" s="1340"/>
    </row>
    <row r="3" spans="1:3" ht="101.25" customHeight="1">
      <c r="A3" s="1353" t="s">
        <v>1719</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1720</v>
      </c>
    </row>
    <row r="4" spans="1:3" s="1352" customFormat="1" ht="101.25" customHeight="1">
      <c r="A4" s="1353" t="s">
        <v>1721</v>
      </c>
      <c r="B4" s="1363" t="s">
        <v>1730</v>
      </c>
      <c r="C4" s="1340" t="s">
        <v>1720</v>
      </c>
    </row>
    <row r="5" spans="1:3" s="1352" customFormat="1" ht="101.25" customHeight="1">
      <c r="A5" s="1355" t="s">
        <v>1722</v>
      </c>
      <c r="B5" s="1363" t="s">
        <v>10107</v>
      </c>
      <c r="C5" s="1340" t="s">
        <v>1720</v>
      </c>
    </row>
    <row r="6" spans="1:3" s="1352" customFormat="1" ht="48" customHeight="1">
      <c r="A6" s="3868" t="s">
        <v>10108</v>
      </c>
      <c r="B6" s="3869"/>
      <c r="C6" s="1356" t="s">
        <v>1724</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4.4"/>
  <cols>
    <col min="1" max="1" width="18.5" style="1336" customWidth="1"/>
    <col min="2" max="2" width="74.5" style="1369" customWidth="1"/>
    <col min="3" max="3" width="13.09765625" style="1365" customWidth="1"/>
    <col min="4" max="256" width="9" style="1336"/>
    <col min="257" max="257" width="18.5" style="1336" customWidth="1"/>
    <col min="258" max="258" width="74.5" style="1336" customWidth="1"/>
    <col min="259" max="259" width="13.09765625" style="1336" customWidth="1"/>
    <col min="260" max="512" width="9" style="1336"/>
    <col min="513" max="513" width="18.5" style="1336" customWidth="1"/>
    <col min="514" max="514" width="74.5" style="1336" customWidth="1"/>
    <col min="515" max="515" width="13.09765625" style="1336" customWidth="1"/>
    <col min="516" max="768" width="9" style="1336"/>
    <col min="769" max="769" width="18.5" style="1336" customWidth="1"/>
    <col min="770" max="770" width="74.5" style="1336" customWidth="1"/>
    <col min="771" max="771" width="13.09765625" style="1336" customWidth="1"/>
    <col min="772" max="1024" width="9" style="1336"/>
    <col min="1025" max="1025" width="18.5" style="1336" customWidth="1"/>
    <col min="1026" max="1026" width="74.5" style="1336" customWidth="1"/>
    <col min="1027" max="1027" width="13.09765625" style="1336" customWidth="1"/>
    <col min="1028" max="1280" width="9" style="1336"/>
    <col min="1281" max="1281" width="18.5" style="1336" customWidth="1"/>
    <col min="1282" max="1282" width="74.5" style="1336" customWidth="1"/>
    <col min="1283" max="1283" width="13.09765625" style="1336" customWidth="1"/>
    <col min="1284" max="1536" width="9" style="1336"/>
    <col min="1537" max="1537" width="18.5" style="1336" customWidth="1"/>
    <col min="1538" max="1538" width="74.5" style="1336" customWidth="1"/>
    <col min="1539" max="1539" width="13.09765625" style="1336" customWidth="1"/>
    <col min="1540" max="1792" width="9" style="1336"/>
    <col min="1793" max="1793" width="18.5" style="1336" customWidth="1"/>
    <col min="1794" max="1794" width="74.5" style="1336" customWidth="1"/>
    <col min="1795" max="1795" width="13.09765625" style="1336" customWidth="1"/>
    <col min="1796" max="2048" width="9" style="1336"/>
    <col min="2049" max="2049" width="18.5" style="1336" customWidth="1"/>
    <col min="2050" max="2050" width="74.5" style="1336" customWidth="1"/>
    <col min="2051" max="2051" width="13.09765625" style="1336" customWidth="1"/>
    <col min="2052" max="2304" width="9" style="1336"/>
    <col min="2305" max="2305" width="18.5" style="1336" customWidth="1"/>
    <col min="2306" max="2306" width="74.5" style="1336" customWidth="1"/>
    <col min="2307" max="2307" width="13.09765625" style="1336" customWidth="1"/>
    <col min="2308" max="2560" width="9" style="1336"/>
    <col min="2561" max="2561" width="18.5" style="1336" customWidth="1"/>
    <col min="2562" max="2562" width="74.5" style="1336" customWidth="1"/>
    <col min="2563" max="2563" width="13.09765625" style="1336" customWidth="1"/>
    <col min="2564" max="2816" width="9" style="1336"/>
    <col min="2817" max="2817" width="18.5" style="1336" customWidth="1"/>
    <col min="2818" max="2818" width="74.5" style="1336" customWidth="1"/>
    <col min="2819" max="2819" width="13.09765625" style="1336" customWidth="1"/>
    <col min="2820" max="3072" width="9" style="1336"/>
    <col min="3073" max="3073" width="18.5" style="1336" customWidth="1"/>
    <col min="3074" max="3074" width="74.5" style="1336" customWidth="1"/>
    <col min="3075" max="3075" width="13.09765625" style="1336" customWidth="1"/>
    <col min="3076" max="3328" width="9" style="1336"/>
    <col min="3329" max="3329" width="18.5" style="1336" customWidth="1"/>
    <col min="3330" max="3330" width="74.5" style="1336" customWidth="1"/>
    <col min="3331" max="3331" width="13.09765625" style="1336" customWidth="1"/>
    <col min="3332" max="3584" width="9" style="1336"/>
    <col min="3585" max="3585" width="18.5" style="1336" customWidth="1"/>
    <col min="3586" max="3586" width="74.5" style="1336" customWidth="1"/>
    <col min="3587" max="3587" width="13.09765625" style="1336" customWidth="1"/>
    <col min="3588" max="3840" width="9" style="1336"/>
    <col min="3841" max="3841" width="18.5" style="1336" customWidth="1"/>
    <col min="3842" max="3842" width="74.5" style="1336" customWidth="1"/>
    <col min="3843" max="3843" width="13.09765625" style="1336" customWidth="1"/>
    <col min="3844" max="4096" width="9" style="1336"/>
    <col min="4097" max="4097" width="18.5" style="1336" customWidth="1"/>
    <col min="4098" max="4098" width="74.5" style="1336" customWidth="1"/>
    <col min="4099" max="4099" width="13.09765625" style="1336" customWidth="1"/>
    <col min="4100" max="4352" width="9" style="1336"/>
    <col min="4353" max="4353" width="18.5" style="1336" customWidth="1"/>
    <col min="4354" max="4354" width="74.5" style="1336" customWidth="1"/>
    <col min="4355" max="4355" width="13.09765625" style="1336" customWidth="1"/>
    <col min="4356" max="4608" width="9" style="1336"/>
    <col min="4609" max="4609" width="18.5" style="1336" customWidth="1"/>
    <col min="4610" max="4610" width="74.5" style="1336" customWidth="1"/>
    <col min="4611" max="4611" width="13.09765625" style="1336" customWidth="1"/>
    <col min="4612" max="4864" width="9" style="1336"/>
    <col min="4865" max="4865" width="18.5" style="1336" customWidth="1"/>
    <col min="4866" max="4866" width="74.5" style="1336" customWidth="1"/>
    <col min="4867" max="4867" width="13.09765625" style="1336" customWidth="1"/>
    <col min="4868" max="5120" width="9" style="1336"/>
    <col min="5121" max="5121" width="18.5" style="1336" customWidth="1"/>
    <col min="5122" max="5122" width="74.5" style="1336" customWidth="1"/>
    <col min="5123" max="5123" width="13.09765625" style="1336" customWidth="1"/>
    <col min="5124" max="5376" width="9" style="1336"/>
    <col min="5377" max="5377" width="18.5" style="1336" customWidth="1"/>
    <col min="5378" max="5378" width="74.5" style="1336" customWidth="1"/>
    <col min="5379" max="5379" width="13.09765625" style="1336" customWidth="1"/>
    <col min="5380" max="5632" width="9" style="1336"/>
    <col min="5633" max="5633" width="18.5" style="1336" customWidth="1"/>
    <col min="5634" max="5634" width="74.5" style="1336" customWidth="1"/>
    <col min="5635" max="5635" width="13.09765625" style="1336" customWidth="1"/>
    <col min="5636" max="5888" width="9" style="1336"/>
    <col min="5889" max="5889" width="18.5" style="1336" customWidth="1"/>
    <col min="5890" max="5890" width="74.5" style="1336" customWidth="1"/>
    <col min="5891" max="5891" width="13.09765625" style="1336" customWidth="1"/>
    <col min="5892" max="6144" width="9" style="1336"/>
    <col min="6145" max="6145" width="18.5" style="1336" customWidth="1"/>
    <col min="6146" max="6146" width="74.5" style="1336" customWidth="1"/>
    <col min="6147" max="6147" width="13.09765625" style="1336" customWidth="1"/>
    <col min="6148" max="6400" width="9" style="1336"/>
    <col min="6401" max="6401" width="18.5" style="1336" customWidth="1"/>
    <col min="6402" max="6402" width="74.5" style="1336" customWidth="1"/>
    <col min="6403" max="6403" width="13.09765625" style="1336" customWidth="1"/>
    <col min="6404" max="6656" width="9" style="1336"/>
    <col min="6657" max="6657" width="18.5" style="1336" customWidth="1"/>
    <col min="6658" max="6658" width="74.5" style="1336" customWidth="1"/>
    <col min="6659" max="6659" width="13.09765625" style="1336" customWidth="1"/>
    <col min="6660" max="6912" width="9" style="1336"/>
    <col min="6913" max="6913" width="18.5" style="1336" customWidth="1"/>
    <col min="6914" max="6914" width="74.5" style="1336" customWidth="1"/>
    <col min="6915" max="6915" width="13.09765625" style="1336" customWidth="1"/>
    <col min="6916" max="7168" width="9" style="1336"/>
    <col min="7169" max="7169" width="18.5" style="1336" customWidth="1"/>
    <col min="7170" max="7170" width="74.5" style="1336" customWidth="1"/>
    <col min="7171" max="7171" width="13.09765625" style="1336" customWidth="1"/>
    <col min="7172" max="7424" width="9" style="1336"/>
    <col min="7425" max="7425" width="18.5" style="1336" customWidth="1"/>
    <col min="7426" max="7426" width="74.5" style="1336" customWidth="1"/>
    <col min="7427" max="7427" width="13.09765625" style="1336" customWidth="1"/>
    <col min="7428" max="7680" width="9" style="1336"/>
    <col min="7681" max="7681" width="18.5" style="1336" customWidth="1"/>
    <col min="7682" max="7682" width="74.5" style="1336" customWidth="1"/>
    <col min="7683" max="7683" width="13.09765625" style="1336" customWidth="1"/>
    <col min="7684" max="7936" width="9" style="1336"/>
    <col min="7937" max="7937" width="18.5" style="1336" customWidth="1"/>
    <col min="7938" max="7938" width="74.5" style="1336" customWidth="1"/>
    <col min="7939" max="7939" width="13.09765625" style="1336" customWidth="1"/>
    <col min="7940" max="8192" width="9" style="1336"/>
    <col min="8193" max="8193" width="18.5" style="1336" customWidth="1"/>
    <col min="8194" max="8194" width="74.5" style="1336" customWidth="1"/>
    <col min="8195" max="8195" width="13.09765625" style="1336" customWidth="1"/>
    <col min="8196" max="8448" width="9" style="1336"/>
    <col min="8449" max="8449" width="18.5" style="1336" customWidth="1"/>
    <col min="8450" max="8450" width="74.5" style="1336" customWidth="1"/>
    <col min="8451" max="8451" width="13.09765625" style="1336" customWidth="1"/>
    <col min="8452" max="8704" width="9" style="1336"/>
    <col min="8705" max="8705" width="18.5" style="1336" customWidth="1"/>
    <col min="8706" max="8706" width="74.5" style="1336" customWidth="1"/>
    <col min="8707" max="8707" width="13.09765625" style="1336" customWidth="1"/>
    <col min="8708" max="8960" width="9" style="1336"/>
    <col min="8961" max="8961" width="18.5" style="1336" customWidth="1"/>
    <col min="8962" max="8962" width="74.5" style="1336" customWidth="1"/>
    <col min="8963" max="8963" width="13.09765625" style="1336" customWidth="1"/>
    <col min="8964" max="9216" width="9" style="1336"/>
    <col min="9217" max="9217" width="18.5" style="1336" customWidth="1"/>
    <col min="9218" max="9218" width="74.5" style="1336" customWidth="1"/>
    <col min="9219" max="9219" width="13.09765625" style="1336" customWidth="1"/>
    <col min="9220" max="9472" width="9" style="1336"/>
    <col min="9473" max="9473" width="18.5" style="1336" customWidth="1"/>
    <col min="9474" max="9474" width="74.5" style="1336" customWidth="1"/>
    <col min="9475" max="9475" width="13.09765625" style="1336" customWidth="1"/>
    <col min="9476" max="9728" width="9" style="1336"/>
    <col min="9729" max="9729" width="18.5" style="1336" customWidth="1"/>
    <col min="9730" max="9730" width="74.5" style="1336" customWidth="1"/>
    <col min="9731" max="9731" width="13.09765625" style="1336" customWidth="1"/>
    <col min="9732" max="9984" width="9" style="1336"/>
    <col min="9985" max="9985" width="18.5" style="1336" customWidth="1"/>
    <col min="9986" max="9986" width="74.5" style="1336" customWidth="1"/>
    <col min="9987" max="9987" width="13.09765625" style="1336" customWidth="1"/>
    <col min="9988" max="10240" width="9" style="1336"/>
    <col min="10241" max="10241" width="18.5" style="1336" customWidth="1"/>
    <col min="10242" max="10242" width="74.5" style="1336" customWidth="1"/>
    <col min="10243" max="10243" width="13.09765625" style="1336" customWidth="1"/>
    <col min="10244" max="10496" width="9" style="1336"/>
    <col min="10497" max="10497" width="18.5" style="1336" customWidth="1"/>
    <col min="10498" max="10498" width="74.5" style="1336" customWidth="1"/>
    <col min="10499" max="10499" width="13.09765625" style="1336" customWidth="1"/>
    <col min="10500" max="10752" width="9" style="1336"/>
    <col min="10753" max="10753" width="18.5" style="1336" customWidth="1"/>
    <col min="10754" max="10754" width="74.5" style="1336" customWidth="1"/>
    <col min="10755" max="10755" width="13.09765625" style="1336" customWidth="1"/>
    <col min="10756" max="11008" width="9" style="1336"/>
    <col min="11009" max="11009" width="18.5" style="1336" customWidth="1"/>
    <col min="11010" max="11010" width="74.5" style="1336" customWidth="1"/>
    <col min="11011" max="11011" width="13.09765625" style="1336" customWidth="1"/>
    <col min="11012" max="11264" width="9" style="1336"/>
    <col min="11265" max="11265" width="18.5" style="1336" customWidth="1"/>
    <col min="11266" max="11266" width="74.5" style="1336" customWidth="1"/>
    <col min="11267" max="11267" width="13.09765625" style="1336" customWidth="1"/>
    <col min="11268" max="11520" width="9" style="1336"/>
    <col min="11521" max="11521" width="18.5" style="1336" customWidth="1"/>
    <col min="11522" max="11522" width="74.5" style="1336" customWidth="1"/>
    <col min="11523" max="11523" width="13.09765625" style="1336" customWidth="1"/>
    <col min="11524" max="11776" width="9" style="1336"/>
    <col min="11777" max="11777" width="18.5" style="1336" customWidth="1"/>
    <col min="11778" max="11778" width="74.5" style="1336" customWidth="1"/>
    <col min="11779" max="11779" width="13.09765625" style="1336" customWidth="1"/>
    <col min="11780" max="12032" width="9" style="1336"/>
    <col min="12033" max="12033" width="18.5" style="1336" customWidth="1"/>
    <col min="12034" max="12034" width="74.5" style="1336" customWidth="1"/>
    <col min="12035" max="12035" width="13.09765625" style="1336" customWidth="1"/>
    <col min="12036" max="12288" width="9" style="1336"/>
    <col min="12289" max="12289" width="18.5" style="1336" customWidth="1"/>
    <col min="12290" max="12290" width="74.5" style="1336" customWidth="1"/>
    <col min="12291" max="12291" width="13.09765625" style="1336" customWidth="1"/>
    <col min="12292" max="12544" width="9" style="1336"/>
    <col min="12545" max="12545" width="18.5" style="1336" customWidth="1"/>
    <col min="12546" max="12546" width="74.5" style="1336" customWidth="1"/>
    <col min="12547" max="12547" width="13.09765625" style="1336" customWidth="1"/>
    <col min="12548" max="12800" width="9" style="1336"/>
    <col min="12801" max="12801" width="18.5" style="1336" customWidth="1"/>
    <col min="12802" max="12802" width="74.5" style="1336" customWidth="1"/>
    <col min="12803" max="12803" width="13.09765625" style="1336" customWidth="1"/>
    <col min="12804" max="13056" width="9" style="1336"/>
    <col min="13057" max="13057" width="18.5" style="1336" customWidth="1"/>
    <col min="13058" max="13058" width="74.5" style="1336" customWidth="1"/>
    <col min="13059" max="13059" width="13.09765625" style="1336" customWidth="1"/>
    <col min="13060" max="13312" width="9" style="1336"/>
    <col min="13313" max="13313" width="18.5" style="1336" customWidth="1"/>
    <col min="13314" max="13314" width="74.5" style="1336" customWidth="1"/>
    <col min="13315" max="13315" width="13.09765625" style="1336" customWidth="1"/>
    <col min="13316" max="13568" width="9" style="1336"/>
    <col min="13569" max="13569" width="18.5" style="1336" customWidth="1"/>
    <col min="13570" max="13570" width="74.5" style="1336" customWidth="1"/>
    <col min="13571" max="13571" width="13.09765625" style="1336" customWidth="1"/>
    <col min="13572" max="13824" width="9" style="1336"/>
    <col min="13825" max="13825" width="18.5" style="1336" customWidth="1"/>
    <col min="13826" max="13826" width="74.5" style="1336" customWidth="1"/>
    <col min="13827" max="13827" width="13.09765625" style="1336" customWidth="1"/>
    <col min="13828" max="14080" width="9" style="1336"/>
    <col min="14081" max="14081" width="18.5" style="1336" customWidth="1"/>
    <col min="14082" max="14082" width="74.5" style="1336" customWidth="1"/>
    <col min="14083" max="14083" width="13.09765625" style="1336" customWidth="1"/>
    <col min="14084" max="14336" width="9" style="1336"/>
    <col min="14337" max="14337" width="18.5" style="1336" customWidth="1"/>
    <col min="14338" max="14338" width="74.5" style="1336" customWidth="1"/>
    <col min="14339" max="14339" width="13.09765625" style="1336" customWidth="1"/>
    <col min="14340" max="14592" width="9" style="1336"/>
    <col min="14593" max="14593" width="18.5" style="1336" customWidth="1"/>
    <col min="14594" max="14594" width="74.5" style="1336" customWidth="1"/>
    <col min="14595" max="14595" width="13.09765625" style="1336" customWidth="1"/>
    <col min="14596" max="14848" width="9" style="1336"/>
    <col min="14849" max="14849" width="18.5" style="1336" customWidth="1"/>
    <col min="14850" max="14850" width="74.5" style="1336" customWidth="1"/>
    <col min="14851" max="14851" width="13.09765625" style="1336" customWidth="1"/>
    <col min="14852" max="15104" width="9" style="1336"/>
    <col min="15105" max="15105" width="18.5" style="1336" customWidth="1"/>
    <col min="15106" max="15106" width="74.5" style="1336" customWidth="1"/>
    <col min="15107" max="15107" width="13.09765625" style="1336" customWidth="1"/>
    <col min="15108" max="15360" width="9" style="1336"/>
    <col min="15361" max="15361" width="18.5" style="1336" customWidth="1"/>
    <col min="15362" max="15362" width="74.5" style="1336" customWidth="1"/>
    <col min="15363" max="15363" width="13.09765625" style="1336" customWidth="1"/>
    <col min="15364" max="15616" width="9" style="1336"/>
    <col min="15617" max="15617" width="18.5" style="1336" customWidth="1"/>
    <col min="15618" max="15618" width="74.5" style="1336" customWidth="1"/>
    <col min="15619" max="15619" width="13.09765625" style="1336" customWidth="1"/>
    <col min="15620" max="15872" width="9" style="1336"/>
    <col min="15873" max="15873" width="18.5" style="1336" customWidth="1"/>
    <col min="15874" max="15874" width="74.5" style="1336" customWidth="1"/>
    <col min="15875" max="15875" width="13.09765625" style="1336" customWidth="1"/>
    <col min="15876" max="16128" width="9" style="1336"/>
    <col min="16129" max="16129" width="18.5" style="1336" customWidth="1"/>
    <col min="16130" max="16130" width="74.5" style="1336" customWidth="1"/>
    <col min="16131" max="16131" width="13.09765625" style="1336" customWidth="1"/>
    <col min="16132" max="16384" width="9" style="1336"/>
  </cols>
  <sheetData>
    <row r="1" spans="1:3" ht="20.399999999999999">
      <c r="A1" s="3870" t="s">
        <v>10111</v>
      </c>
      <c r="B1" s="3870"/>
    </row>
    <row r="2" spans="1:3" s="1361" customFormat="1" ht="15.75" customHeight="1">
      <c r="A2" s="3862" t="s">
        <v>1717</v>
      </c>
      <c r="B2" s="3863"/>
      <c r="C2" s="1340" t="s">
        <v>1069</v>
      </c>
    </row>
    <row r="3" spans="1:3" s="1367" customFormat="1" ht="75.75" customHeight="1">
      <c r="A3" s="1353" t="s">
        <v>1719</v>
      </c>
      <c r="B3" s="1354"/>
      <c r="C3" s="1366" t="s">
        <v>1720</v>
      </c>
    </row>
    <row r="4" spans="1:3" s="1367" customFormat="1" ht="87" customHeight="1">
      <c r="A4" s="1353" t="s">
        <v>1721</v>
      </c>
      <c r="B4" s="1354"/>
      <c r="C4" s="1366" t="s">
        <v>1720</v>
      </c>
    </row>
    <row r="5" spans="1:3" s="1367" customFormat="1" ht="84" customHeight="1">
      <c r="A5" s="1355" t="s">
        <v>1722</v>
      </c>
      <c r="B5" s="1354"/>
      <c r="C5" s="1366" t="s">
        <v>1720</v>
      </c>
    </row>
    <row r="6" spans="1:3" s="1367" customFormat="1" ht="21" customHeight="1">
      <c r="A6" s="3871" t="s">
        <v>10110</v>
      </c>
      <c r="B6" s="3872"/>
      <c r="C6" s="1340"/>
    </row>
    <row r="7" spans="1:3" s="1367" customFormat="1" ht="162" customHeight="1">
      <c r="A7" s="1368" t="s">
        <v>1731</v>
      </c>
      <c r="B7" s="1354"/>
      <c r="C7" s="1340" t="s">
        <v>1732</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984375" style="1370" customWidth="1"/>
    <col min="2" max="2" width="13.8984375" style="1370" customWidth="1"/>
    <col min="3" max="3" width="37" style="1370" customWidth="1"/>
    <col min="4" max="4" width="23.19921875" style="1370" customWidth="1"/>
    <col min="5" max="5" width="25" style="1377" customWidth="1"/>
    <col min="6" max="256" width="9" style="1370"/>
    <col min="257" max="257" width="20.3984375" style="1370" customWidth="1"/>
    <col min="258" max="258" width="13.8984375" style="1370" customWidth="1"/>
    <col min="259" max="259" width="37" style="1370" customWidth="1"/>
    <col min="260" max="260" width="23.19921875" style="1370" customWidth="1"/>
    <col min="261" max="261" width="25" style="1370" customWidth="1"/>
    <col min="262" max="512" width="9" style="1370"/>
    <col min="513" max="513" width="20.3984375" style="1370" customWidth="1"/>
    <col min="514" max="514" width="13.8984375" style="1370" customWidth="1"/>
    <col min="515" max="515" width="37" style="1370" customWidth="1"/>
    <col min="516" max="516" width="23.19921875" style="1370" customWidth="1"/>
    <col min="517" max="517" width="25" style="1370" customWidth="1"/>
    <col min="518" max="768" width="9" style="1370"/>
    <col min="769" max="769" width="20.3984375" style="1370" customWidth="1"/>
    <col min="770" max="770" width="13.8984375" style="1370" customWidth="1"/>
    <col min="771" max="771" width="37" style="1370" customWidth="1"/>
    <col min="772" max="772" width="23.19921875" style="1370" customWidth="1"/>
    <col min="773" max="773" width="25" style="1370" customWidth="1"/>
    <col min="774" max="1024" width="9" style="1370"/>
    <col min="1025" max="1025" width="20.3984375" style="1370" customWidth="1"/>
    <col min="1026" max="1026" width="13.8984375" style="1370" customWidth="1"/>
    <col min="1027" max="1027" width="37" style="1370" customWidth="1"/>
    <col min="1028" max="1028" width="23.19921875" style="1370" customWidth="1"/>
    <col min="1029" max="1029" width="25" style="1370" customWidth="1"/>
    <col min="1030" max="1280" width="9" style="1370"/>
    <col min="1281" max="1281" width="20.3984375" style="1370" customWidth="1"/>
    <col min="1282" max="1282" width="13.8984375" style="1370" customWidth="1"/>
    <col min="1283" max="1283" width="37" style="1370" customWidth="1"/>
    <col min="1284" max="1284" width="23.19921875" style="1370" customWidth="1"/>
    <col min="1285" max="1285" width="25" style="1370" customWidth="1"/>
    <col min="1286" max="1536" width="9" style="1370"/>
    <col min="1537" max="1537" width="20.3984375" style="1370" customWidth="1"/>
    <col min="1538" max="1538" width="13.8984375" style="1370" customWidth="1"/>
    <col min="1539" max="1539" width="37" style="1370" customWidth="1"/>
    <col min="1540" max="1540" width="23.19921875" style="1370" customWidth="1"/>
    <col min="1541" max="1541" width="25" style="1370" customWidth="1"/>
    <col min="1542" max="1792" width="9" style="1370"/>
    <col min="1793" max="1793" width="20.3984375" style="1370" customWidth="1"/>
    <col min="1794" max="1794" width="13.8984375" style="1370" customWidth="1"/>
    <col min="1795" max="1795" width="37" style="1370" customWidth="1"/>
    <col min="1796" max="1796" width="23.19921875" style="1370" customWidth="1"/>
    <col min="1797" max="1797" width="25" style="1370" customWidth="1"/>
    <col min="1798" max="2048" width="9" style="1370"/>
    <col min="2049" max="2049" width="20.3984375" style="1370" customWidth="1"/>
    <col min="2050" max="2050" width="13.8984375" style="1370" customWidth="1"/>
    <col min="2051" max="2051" width="37" style="1370" customWidth="1"/>
    <col min="2052" max="2052" width="23.19921875" style="1370" customWidth="1"/>
    <col min="2053" max="2053" width="25" style="1370" customWidth="1"/>
    <col min="2054" max="2304" width="9" style="1370"/>
    <col min="2305" max="2305" width="20.3984375" style="1370" customWidth="1"/>
    <col min="2306" max="2306" width="13.8984375" style="1370" customWidth="1"/>
    <col min="2307" max="2307" width="37" style="1370" customWidth="1"/>
    <col min="2308" max="2308" width="23.19921875" style="1370" customWidth="1"/>
    <col min="2309" max="2309" width="25" style="1370" customWidth="1"/>
    <col min="2310" max="2560" width="9" style="1370"/>
    <col min="2561" max="2561" width="20.3984375" style="1370" customWidth="1"/>
    <col min="2562" max="2562" width="13.8984375" style="1370" customWidth="1"/>
    <col min="2563" max="2563" width="37" style="1370" customWidth="1"/>
    <col min="2564" max="2564" width="23.19921875" style="1370" customWidth="1"/>
    <col min="2565" max="2565" width="25" style="1370" customWidth="1"/>
    <col min="2566" max="2816" width="9" style="1370"/>
    <col min="2817" max="2817" width="20.3984375" style="1370" customWidth="1"/>
    <col min="2818" max="2818" width="13.8984375" style="1370" customWidth="1"/>
    <col min="2819" max="2819" width="37" style="1370" customWidth="1"/>
    <col min="2820" max="2820" width="23.19921875" style="1370" customWidth="1"/>
    <col min="2821" max="2821" width="25" style="1370" customWidth="1"/>
    <col min="2822" max="3072" width="9" style="1370"/>
    <col min="3073" max="3073" width="20.3984375" style="1370" customWidth="1"/>
    <col min="3074" max="3074" width="13.8984375" style="1370" customWidth="1"/>
    <col min="3075" max="3075" width="37" style="1370" customWidth="1"/>
    <col min="3076" max="3076" width="23.19921875" style="1370" customWidth="1"/>
    <col min="3077" max="3077" width="25" style="1370" customWidth="1"/>
    <col min="3078" max="3328" width="9" style="1370"/>
    <col min="3329" max="3329" width="20.3984375" style="1370" customWidth="1"/>
    <col min="3330" max="3330" width="13.8984375" style="1370" customWidth="1"/>
    <col min="3331" max="3331" width="37" style="1370" customWidth="1"/>
    <col min="3332" max="3332" width="23.19921875" style="1370" customWidth="1"/>
    <col min="3333" max="3333" width="25" style="1370" customWidth="1"/>
    <col min="3334" max="3584" width="9" style="1370"/>
    <col min="3585" max="3585" width="20.3984375" style="1370" customWidth="1"/>
    <col min="3586" max="3586" width="13.8984375" style="1370" customWidth="1"/>
    <col min="3587" max="3587" width="37" style="1370" customWidth="1"/>
    <col min="3588" max="3588" width="23.19921875" style="1370" customWidth="1"/>
    <col min="3589" max="3589" width="25" style="1370" customWidth="1"/>
    <col min="3590" max="3840" width="9" style="1370"/>
    <col min="3841" max="3841" width="20.3984375" style="1370" customWidth="1"/>
    <col min="3842" max="3842" width="13.8984375" style="1370" customWidth="1"/>
    <col min="3843" max="3843" width="37" style="1370" customWidth="1"/>
    <col min="3844" max="3844" width="23.19921875" style="1370" customWidth="1"/>
    <col min="3845" max="3845" width="25" style="1370" customWidth="1"/>
    <col min="3846" max="4096" width="9" style="1370"/>
    <col min="4097" max="4097" width="20.3984375" style="1370" customWidth="1"/>
    <col min="4098" max="4098" width="13.8984375" style="1370" customWidth="1"/>
    <col min="4099" max="4099" width="37" style="1370" customWidth="1"/>
    <col min="4100" max="4100" width="23.19921875" style="1370" customWidth="1"/>
    <col min="4101" max="4101" width="25" style="1370" customWidth="1"/>
    <col min="4102" max="4352" width="9" style="1370"/>
    <col min="4353" max="4353" width="20.3984375" style="1370" customWidth="1"/>
    <col min="4354" max="4354" width="13.8984375" style="1370" customWidth="1"/>
    <col min="4355" max="4355" width="37" style="1370" customWidth="1"/>
    <col min="4356" max="4356" width="23.19921875" style="1370" customWidth="1"/>
    <col min="4357" max="4357" width="25" style="1370" customWidth="1"/>
    <col min="4358" max="4608" width="9" style="1370"/>
    <col min="4609" max="4609" width="20.3984375" style="1370" customWidth="1"/>
    <col min="4610" max="4610" width="13.8984375" style="1370" customWidth="1"/>
    <col min="4611" max="4611" width="37" style="1370" customWidth="1"/>
    <col min="4612" max="4612" width="23.19921875" style="1370" customWidth="1"/>
    <col min="4613" max="4613" width="25" style="1370" customWidth="1"/>
    <col min="4614" max="4864" width="9" style="1370"/>
    <col min="4865" max="4865" width="20.3984375" style="1370" customWidth="1"/>
    <col min="4866" max="4866" width="13.8984375" style="1370" customWidth="1"/>
    <col min="4867" max="4867" width="37" style="1370" customWidth="1"/>
    <col min="4868" max="4868" width="23.19921875" style="1370" customWidth="1"/>
    <col min="4869" max="4869" width="25" style="1370" customWidth="1"/>
    <col min="4870" max="5120" width="9" style="1370"/>
    <col min="5121" max="5121" width="20.3984375" style="1370" customWidth="1"/>
    <col min="5122" max="5122" width="13.8984375" style="1370" customWidth="1"/>
    <col min="5123" max="5123" width="37" style="1370" customWidth="1"/>
    <col min="5124" max="5124" width="23.19921875" style="1370" customWidth="1"/>
    <col min="5125" max="5125" width="25" style="1370" customWidth="1"/>
    <col min="5126" max="5376" width="9" style="1370"/>
    <col min="5377" max="5377" width="20.3984375" style="1370" customWidth="1"/>
    <col min="5378" max="5378" width="13.8984375" style="1370" customWidth="1"/>
    <col min="5379" max="5379" width="37" style="1370" customWidth="1"/>
    <col min="5380" max="5380" width="23.19921875" style="1370" customWidth="1"/>
    <col min="5381" max="5381" width="25" style="1370" customWidth="1"/>
    <col min="5382" max="5632" width="9" style="1370"/>
    <col min="5633" max="5633" width="20.3984375" style="1370" customWidth="1"/>
    <col min="5634" max="5634" width="13.8984375" style="1370" customWidth="1"/>
    <col min="5635" max="5635" width="37" style="1370" customWidth="1"/>
    <col min="5636" max="5636" width="23.19921875" style="1370" customWidth="1"/>
    <col min="5637" max="5637" width="25" style="1370" customWidth="1"/>
    <col min="5638" max="5888" width="9" style="1370"/>
    <col min="5889" max="5889" width="20.3984375" style="1370" customWidth="1"/>
    <col min="5890" max="5890" width="13.8984375" style="1370" customWidth="1"/>
    <col min="5891" max="5891" width="37" style="1370" customWidth="1"/>
    <col min="5892" max="5892" width="23.19921875" style="1370" customWidth="1"/>
    <col min="5893" max="5893" width="25" style="1370" customWidth="1"/>
    <col min="5894" max="6144" width="9" style="1370"/>
    <col min="6145" max="6145" width="20.3984375" style="1370" customWidth="1"/>
    <col min="6146" max="6146" width="13.8984375" style="1370" customWidth="1"/>
    <col min="6147" max="6147" width="37" style="1370" customWidth="1"/>
    <col min="6148" max="6148" width="23.19921875" style="1370" customWidth="1"/>
    <col min="6149" max="6149" width="25" style="1370" customWidth="1"/>
    <col min="6150" max="6400" width="9" style="1370"/>
    <col min="6401" max="6401" width="20.3984375" style="1370" customWidth="1"/>
    <col min="6402" max="6402" width="13.8984375" style="1370" customWidth="1"/>
    <col min="6403" max="6403" width="37" style="1370" customWidth="1"/>
    <col min="6404" max="6404" width="23.19921875" style="1370" customWidth="1"/>
    <col min="6405" max="6405" width="25" style="1370" customWidth="1"/>
    <col min="6406" max="6656" width="9" style="1370"/>
    <col min="6657" max="6657" width="20.3984375" style="1370" customWidth="1"/>
    <col min="6658" max="6658" width="13.8984375" style="1370" customWidth="1"/>
    <col min="6659" max="6659" width="37" style="1370" customWidth="1"/>
    <col min="6660" max="6660" width="23.19921875" style="1370" customWidth="1"/>
    <col min="6661" max="6661" width="25" style="1370" customWidth="1"/>
    <col min="6662" max="6912" width="9" style="1370"/>
    <col min="6913" max="6913" width="20.3984375" style="1370" customWidth="1"/>
    <col min="6914" max="6914" width="13.8984375" style="1370" customWidth="1"/>
    <col min="6915" max="6915" width="37" style="1370" customWidth="1"/>
    <col min="6916" max="6916" width="23.19921875" style="1370" customWidth="1"/>
    <col min="6917" max="6917" width="25" style="1370" customWidth="1"/>
    <col min="6918" max="7168" width="9" style="1370"/>
    <col min="7169" max="7169" width="20.3984375" style="1370" customWidth="1"/>
    <col min="7170" max="7170" width="13.8984375" style="1370" customWidth="1"/>
    <col min="7171" max="7171" width="37" style="1370" customWidth="1"/>
    <col min="7172" max="7172" width="23.19921875" style="1370" customWidth="1"/>
    <col min="7173" max="7173" width="25" style="1370" customWidth="1"/>
    <col min="7174" max="7424" width="9" style="1370"/>
    <col min="7425" max="7425" width="20.3984375" style="1370" customWidth="1"/>
    <col min="7426" max="7426" width="13.8984375" style="1370" customWidth="1"/>
    <col min="7427" max="7427" width="37" style="1370" customWidth="1"/>
    <col min="7428" max="7428" width="23.19921875" style="1370" customWidth="1"/>
    <col min="7429" max="7429" width="25" style="1370" customWidth="1"/>
    <col min="7430" max="7680" width="9" style="1370"/>
    <col min="7681" max="7681" width="20.3984375" style="1370" customWidth="1"/>
    <col min="7682" max="7682" width="13.8984375" style="1370" customWidth="1"/>
    <col min="7683" max="7683" width="37" style="1370" customWidth="1"/>
    <col min="7684" max="7684" width="23.19921875" style="1370" customWidth="1"/>
    <col min="7685" max="7685" width="25" style="1370" customWidth="1"/>
    <col min="7686" max="7936" width="9" style="1370"/>
    <col min="7937" max="7937" width="20.3984375" style="1370" customWidth="1"/>
    <col min="7938" max="7938" width="13.8984375" style="1370" customWidth="1"/>
    <col min="7939" max="7939" width="37" style="1370" customWidth="1"/>
    <col min="7940" max="7940" width="23.19921875" style="1370" customWidth="1"/>
    <col min="7941" max="7941" width="25" style="1370" customWidth="1"/>
    <col min="7942" max="8192" width="9" style="1370"/>
    <col min="8193" max="8193" width="20.3984375" style="1370" customWidth="1"/>
    <col min="8194" max="8194" width="13.8984375" style="1370" customWidth="1"/>
    <col min="8195" max="8195" width="37" style="1370" customWidth="1"/>
    <col min="8196" max="8196" width="23.19921875" style="1370" customWidth="1"/>
    <col min="8197" max="8197" width="25" style="1370" customWidth="1"/>
    <col min="8198" max="8448" width="9" style="1370"/>
    <col min="8449" max="8449" width="20.3984375" style="1370" customWidth="1"/>
    <col min="8450" max="8450" width="13.8984375" style="1370" customWidth="1"/>
    <col min="8451" max="8451" width="37" style="1370" customWidth="1"/>
    <col min="8452" max="8452" width="23.19921875" style="1370" customWidth="1"/>
    <col min="8453" max="8453" width="25" style="1370" customWidth="1"/>
    <col min="8454" max="8704" width="9" style="1370"/>
    <col min="8705" max="8705" width="20.3984375" style="1370" customWidth="1"/>
    <col min="8706" max="8706" width="13.8984375" style="1370" customWidth="1"/>
    <col min="8707" max="8707" width="37" style="1370" customWidth="1"/>
    <col min="8708" max="8708" width="23.19921875" style="1370" customWidth="1"/>
    <col min="8709" max="8709" width="25" style="1370" customWidth="1"/>
    <col min="8710" max="8960" width="9" style="1370"/>
    <col min="8961" max="8961" width="20.3984375" style="1370" customWidth="1"/>
    <col min="8962" max="8962" width="13.8984375" style="1370" customWidth="1"/>
    <col min="8963" max="8963" width="37" style="1370" customWidth="1"/>
    <col min="8964" max="8964" width="23.19921875" style="1370" customWidth="1"/>
    <col min="8965" max="8965" width="25" style="1370" customWidth="1"/>
    <col min="8966" max="9216" width="9" style="1370"/>
    <col min="9217" max="9217" width="20.3984375" style="1370" customWidth="1"/>
    <col min="9218" max="9218" width="13.8984375" style="1370" customWidth="1"/>
    <col min="9219" max="9219" width="37" style="1370" customWidth="1"/>
    <col min="9220" max="9220" width="23.19921875" style="1370" customWidth="1"/>
    <col min="9221" max="9221" width="25" style="1370" customWidth="1"/>
    <col min="9222" max="9472" width="9" style="1370"/>
    <col min="9473" max="9473" width="20.3984375" style="1370" customWidth="1"/>
    <col min="9474" max="9474" width="13.8984375" style="1370" customWidth="1"/>
    <col min="9475" max="9475" width="37" style="1370" customWidth="1"/>
    <col min="9476" max="9476" width="23.19921875" style="1370" customWidth="1"/>
    <col min="9477" max="9477" width="25" style="1370" customWidth="1"/>
    <col min="9478" max="9728" width="9" style="1370"/>
    <col min="9729" max="9729" width="20.3984375" style="1370" customWidth="1"/>
    <col min="9730" max="9730" width="13.8984375" style="1370" customWidth="1"/>
    <col min="9731" max="9731" width="37" style="1370" customWidth="1"/>
    <col min="9732" max="9732" width="23.19921875" style="1370" customWidth="1"/>
    <col min="9733" max="9733" width="25" style="1370" customWidth="1"/>
    <col min="9734" max="9984" width="9" style="1370"/>
    <col min="9985" max="9985" width="20.3984375" style="1370" customWidth="1"/>
    <col min="9986" max="9986" width="13.8984375" style="1370" customWidth="1"/>
    <col min="9987" max="9987" width="37" style="1370" customWidth="1"/>
    <col min="9988" max="9988" width="23.19921875" style="1370" customWidth="1"/>
    <col min="9989" max="9989" width="25" style="1370" customWidth="1"/>
    <col min="9990" max="10240" width="9" style="1370"/>
    <col min="10241" max="10241" width="20.3984375" style="1370" customWidth="1"/>
    <col min="10242" max="10242" width="13.8984375" style="1370" customWidth="1"/>
    <col min="10243" max="10243" width="37" style="1370" customWidth="1"/>
    <col min="10244" max="10244" width="23.19921875" style="1370" customWidth="1"/>
    <col min="10245" max="10245" width="25" style="1370" customWidth="1"/>
    <col min="10246" max="10496" width="9" style="1370"/>
    <col min="10497" max="10497" width="20.3984375" style="1370" customWidth="1"/>
    <col min="10498" max="10498" width="13.8984375" style="1370" customWidth="1"/>
    <col min="10499" max="10499" width="37" style="1370" customWidth="1"/>
    <col min="10500" max="10500" width="23.19921875" style="1370" customWidth="1"/>
    <col min="10501" max="10501" width="25" style="1370" customWidth="1"/>
    <col min="10502" max="10752" width="9" style="1370"/>
    <col min="10753" max="10753" width="20.3984375" style="1370" customWidth="1"/>
    <col min="10754" max="10754" width="13.8984375" style="1370" customWidth="1"/>
    <col min="10755" max="10755" width="37" style="1370" customWidth="1"/>
    <col min="10756" max="10756" width="23.19921875" style="1370" customWidth="1"/>
    <col min="10757" max="10757" width="25" style="1370" customWidth="1"/>
    <col min="10758" max="11008" width="9" style="1370"/>
    <col min="11009" max="11009" width="20.3984375" style="1370" customWidth="1"/>
    <col min="11010" max="11010" width="13.8984375" style="1370" customWidth="1"/>
    <col min="11011" max="11011" width="37" style="1370" customWidth="1"/>
    <col min="11012" max="11012" width="23.19921875" style="1370" customWidth="1"/>
    <col min="11013" max="11013" width="25" style="1370" customWidth="1"/>
    <col min="11014" max="11264" width="9" style="1370"/>
    <col min="11265" max="11265" width="20.3984375" style="1370" customWidth="1"/>
    <col min="11266" max="11266" width="13.8984375" style="1370" customWidth="1"/>
    <col min="11267" max="11267" width="37" style="1370" customWidth="1"/>
    <col min="11268" max="11268" width="23.19921875" style="1370" customWidth="1"/>
    <col min="11269" max="11269" width="25" style="1370" customWidth="1"/>
    <col min="11270" max="11520" width="9" style="1370"/>
    <col min="11521" max="11521" width="20.3984375" style="1370" customWidth="1"/>
    <col min="11522" max="11522" width="13.8984375" style="1370" customWidth="1"/>
    <col min="11523" max="11523" width="37" style="1370" customWidth="1"/>
    <col min="11524" max="11524" width="23.19921875" style="1370" customWidth="1"/>
    <col min="11525" max="11525" width="25" style="1370" customWidth="1"/>
    <col min="11526" max="11776" width="9" style="1370"/>
    <col min="11777" max="11777" width="20.3984375" style="1370" customWidth="1"/>
    <col min="11778" max="11778" width="13.8984375" style="1370" customWidth="1"/>
    <col min="11779" max="11779" width="37" style="1370" customWidth="1"/>
    <col min="11780" max="11780" width="23.19921875" style="1370" customWidth="1"/>
    <col min="11781" max="11781" width="25" style="1370" customWidth="1"/>
    <col min="11782" max="12032" width="9" style="1370"/>
    <col min="12033" max="12033" width="20.3984375" style="1370" customWidth="1"/>
    <col min="12034" max="12034" width="13.8984375" style="1370" customWidth="1"/>
    <col min="12035" max="12035" width="37" style="1370" customWidth="1"/>
    <col min="12036" max="12036" width="23.19921875" style="1370" customWidth="1"/>
    <col min="12037" max="12037" width="25" style="1370" customWidth="1"/>
    <col min="12038" max="12288" width="9" style="1370"/>
    <col min="12289" max="12289" width="20.3984375" style="1370" customWidth="1"/>
    <col min="12290" max="12290" width="13.8984375" style="1370" customWidth="1"/>
    <col min="12291" max="12291" width="37" style="1370" customWidth="1"/>
    <col min="12292" max="12292" width="23.19921875" style="1370" customWidth="1"/>
    <col min="12293" max="12293" width="25" style="1370" customWidth="1"/>
    <col min="12294" max="12544" width="9" style="1370"/>
    <col min="12545" max="12545" width="20.3984375" style="1370" customWidth="1"/>
    <col min="12546" max="12546" width="13.8984375" style="1370" customWidth="1"/>
    <col min="12547" max="12547" width="37" style="1370" customWidth="1"/>
    <col min="12548" max="12548" width="23.19921875" style="1370" customWidth="1"/>
    <col min="12549" max="12549" width="25" style="1370" customWidth="1"/>
    <col min="12550" max="12800" width="9" style="1370"/>
    <col min="12801" max="12801" width="20.3984375" style="1370" customWidth="1"/>
    <col min="12802" max="12802" width="13.8984375" style="1370" customWidth="1"/>
    <col min="12803" max="12803" width="37" style="1370" customWidth="1"/>
    <col min="12804" max="12804" width="23.19921875" style="1370" customWidth="1"/>
    <col min="12805" max="12805" width="25" style="1370" customWidth="1"/>
    <col min="12806" max="13056" width="9" style="1370"/>
    <col min="13057" max="13057" width="20.3984375" style="1370" customWidth="1"/>
    <col min="13058" max="13058" width="13.8984375" style="1370" customWidth="1"/>
    <col min="13059" max="13059" width="37" style="1370" customWidth="1"/>
    <col min="13060" max="13060" width="23.19921875" style="1370" customWidth="1"/>
    <col min="13061" max="13061" width="25" style="1370" customWidth="1"/>
    <col min="13062" max="13312" width="9" style="1370"/>
    <col min="13313" max="13313" width="20.3984375" style="1370" customWidth="1"/>
    <col min="13314" max="13314" width="13.8984375" style="1370" customWidth="1"/>
    <col min="13315" max="13315" width="37" style="1370" customWidth="1"/>
    <col min="13316" max="13316" width="23.19921875" style="1370" customWidth="1"/>
    <col min="13317" max="13317" width="25" style="1370" customWidth="1"/>
    <col min="13318" max="13568" width="9" style="1370"/>
    <col min="13569" max="13569" width="20.3984375" style="1370" customWidth="1"/>
    <col min="13570" max="13570" width="13.8984375" style="1370" customWidth="1"/>
    <col min="13571" max="13571" width="37" style="1370" customWidth="1"/>
    <col min="13572" max="13572" width="23.19921875" style="1370" customWidth="1"/>
    <col min="13573" max="13573" width="25" style="1370" customWidth="1"/>
    <col min="13574" max="13824" width="9" style="1370"/>
    <col min="13825" max="13825" width="20.3984375" style="1370" customWidth="1"/>
    <col min="13826" max="13826" width="13.8984375" style="1370" customWidth="1"/>
    <col min="13827" max="13827" width="37" style="1370" customWidth="1"/>
    <col min="13828" max="13828" width="23.19921875" style="1370" customWidth="1"/>
    <col min="13829" max="13829" width="25" style="1370" customWidth="1"/>
    <col min="13830" max="14080" width="9" style="1370"/>
    <col min="14081" max="14081" width="20.3984375" style="1370" customWidth="1"/>
    <col min="14082" max="14082" width="13.8984375" style="1370" customWidth="1"/>
    <col min="14083" max="14083" width="37" style="1370" customWidth="1"/>
    <col min="14084" max="14084" width="23.19921875" style="1370" customWidth="1"/>
    <col min="14085" max="14085" width="25" style="1370" customWidth="1"/>
    <col min="14086" max="14336" width="9" style="1370"/>
    <col min="14337" max="14337" width="20.3984375" style="1370" customWidth="1"/>
    <col min="14338" max="14338" width="13.8984375" style="1370" customWidth="1"/>
    <col min="14339" max="14339" width="37" style="1370" customWidth="1"/>
    <col min="14340" max="14340" width="23.19921875" style="1370" customWidth="1"/>
    <col min="14341" max="14341" width="25" style="1370" customWidth="1"/>
    <col min="14342" max="14592" width="9" style="1370"/>
    <col min="14593" max="14593" width="20.3984375" style="1370" customWidth="1"/>
    <col min="14594" max="14594" width="13.8984375" style="1370" customWidth="1"/>
    <col min="14595" max="14595" width="37" style="1370" customWidth="1"/>
    <col min="14596" max="14596" width="23.19921875" style="1370" customWidth="1"/>
    <col min="14597" max="14597" width="25" style="1370" customWidth="1"/>
    <col min="14598" max="14848" width="9" style="1370"/>
    <col min="14849" max="14849" width="20.3984375" style="1370" customWidth="1"/>
    <col min="14850" max="14850" width="13.8984375" style="1370" customWidth="1"/>
    <col min="14851" max="14851" width="37" style="1370" customWidth="1"/>
    <col min="14852" max="14852" width="23.19921875" style="1370" customWidth="1"/>
    <col min="14853" max="14853" width="25" style="1370" customWidth="1"/>
    <col min="14854" max="15104" width="9" style="1370"/>
    <col min="15105" max="15105" width="20.3984375" style="1370" customWidth="1"/>
    <col min="15106" max="15106" width="13.8984375" style="1370" customWidth="1"/>
    <col min="15107" max="15107" width="37" style="1370" customWidth="1"/>
    <col min="15108" max="15108" width="23.19921875" style="1370" customWidth="1"/>
    <col min="15109" max="15109" width="25" style="1370" customWidth="1"/>
    <col min="15110" max="15360" width="9" style="1370"/>
    <col min="15361" max="15361" width="20.3984375" style="1370" customWidth="1"/>
    <col min="15362" max="15362" width="13.8984375" style="1370" customWidth="1"/>
    <col min="15363" max="15363" width="37" style="1370" customWidth="1"/>
    <col min="15364" max="15364" width="23.19921875" style="1370" customWidth="1"/>
    <col min="15365" max="15365" width="25" style="1370" customWidth="1"/>
    <col min="15366" max="15616" width="9" style="1370"/>
    <col min="15617" max="15617" width="20.3984375" style="1370" customWidth="1"/>
    <col min="15618" max="15618" width="13.8984375" style="1370" customWidth="1"/>
    <col min="15619" max="15619" width="37" style="1370" customWidth="1"/>
    <col min="15620" max="15620" width="23.19921875" style="1370" customWidth="1"/>
    <col min="15621" max="15621" width="25" style="1370" customWidth="1"/>
    <col min="15622" max="15872" width="9" style="1370"/>
    <col min="15873" max="15873" width="20.3984375" style="1370" customWidth="1"/>
    <col min="15874" max="15874" width="13.8984375" style="1370" customWidth="1"/>
    <col min="15875" max="15875" width="37" style="1370" customWidth="1"/>
    <col min="15876" max="15876" width="23.19921875" style="1370" customWidth="1"/>
    <col min="15877" max="15877" width="25" style="1370" customWidth="1"/>
    <col min="15878" max="16128" width="9" style="1370"/>
    <col min="16129" max="16129" width="20.3984375" style="1370" customWidth="1"/>
    <col min="16130" max="16130" width="13.8984375" style="1370" customWidth="1"/>
    <col min="16131" max="16131" width="37" style="1370" customWidth="1"/>
    <col min="16132" max="16132" width="23.19921875" style="1370" customWidth="1"/>
    <col min="16133" max="16133" width="25" style="1370" customWidth="1"/>
    <col min="16134" max="16384" width="9" style="1370"/>
  </cols>
  <sheetData>
    <row r="1" spans="1:5" ht="25.5" customHeight="1">
      <c r="A1" s="3893" t="s">
        <v>1733</v>
      </c>
      <c r="B1" s="3893"/>
      <c r="C1" s="3893"/>
      <c r="D1" s="3893"/>
      <c r="E1" s="3893"/>
    </row>
    <row r="2" spans="1:5" ht="22.5" customHeight="1">
      <c r="A2" s="3868" t="s">
        <v>1734</v>
      </c>
      <c r="B2" s="3873"/>
      <c r="C2" s="3873"/>
      <c r="D2" s="3869"/>
      <c r="E2" s="1371" t="s">
        <v>832</v>
      </c>
    </row>
    <row r="3" spans="1:5" ht="22.5" customHeight="1">
      <c r="A3" s="3880" t="s">
        <v>1735</v>
      </c>
      <c r="B3" s="3880"/>
      <c r="C3" s="3881" t="str">
        <f>TEXT(基本情况!B45,"yyyy-mm-dd")</f>
        <v>1900-01-00</v>
      </c>
      <c r="D3" s="3881"/>
      <c r="E3" s="1371" t="s">
        <v>1736</v>
      </c>
    </row>
    <row r="4" spans="1:5" ht="22.5" customHeight="1">
      <c r="A4" s="3880" t="s">
        <v>1737</v>
      </c>
      <c r="B4" s="3880"/>
      <c r="C4" s="3881">
        <f>基本情况!B31</f>
        <v>0</v>
      </c>
      <c r="D4" s="3881"/>
      <c r="E4" s="1371" t="s">
        <v>1694</v>
      </c>
    </row>
    <row r="5" spans="1:5" ht="22.5" customHeight="1">
      <c r="A5" s="3880" t="s">
        <v>1738</v>
      </c>
      <c r="B5" s="3880"/>
      <c r="C5" s="3881">
        <f>基本情况!B32</f>
        <v>0</v>
      </c>
      <c r="D5" s="3881"/>
      <c r="E5" s="1371" t="s">
        <v>1694</v>
      </c>
    </row>
    <row r="6" spans="1:5" ht="22.5" customHeight="1">
      <c r="A6" s="3880" t="s">
        <v>1739</v>
      </c>
      <c r="B6" s="3880"/>
      <c r="C6" s="3881">
        <f>基本情况!B35</f>
        <v>0</v>
      </c>
      <c r="D6" s="3881"/>
      <c r="E6" s="1371" t="s">
        <v>1694</v>
      </c>
    </row>
    <row r="7" spans="1:5" ht="22.5" customHeight="1">
      <c r="A7" s="3880" t="s">
        <v>6789</v>
      </c>
      <c r="B7" s="3880"/>
      <c r="C7" s="3881">
        <f>ROUND(基本情况!B57/10000,2)</f>
        <v>0</v>
      </c>
      <c r="D7" s="3881"/>
      <c r="E7" s="1371" t="s">
        <v>1694</v>
      </c>
    </row>
    <row r="8" spans="1:5" ht="22.5" customHeight="1">
      <c r="A8" s="3880" t="s">
        <v>6790</v>
      </c>
      <c r="B8" s="3880"/>
      <c r="C8" s="3881">
        <f>ROUND(基本情况!B58/10000,2)</f>
        <v>0</v>
      </c>
      <c r="D8" s="3881"/>
      <c r="E8" s="1371" t="s">
        <v>1694</v>
      </c>
    </row>
    <row r="9" spans="1:5" ht="26.25" customHeight="1">
      <c r="A9" s="3880" t="s">
        <v>1740</v>
      </c>
      <c r="B9" s="3880"/>
      <c r="C9" s="3881" t="str">
        <f>LEFT(基本情况!B41,3)</f>
        <v>0</v>
      </c>
      <c r="D9" s="3881"/>
      <c r="E9" s="1371" t="s">
        <v>1741</v>
      </c>
    </row>
    <row r="10" spans="1:5" ht="22.5" customHeight="1">
      <c r="A10" s="3880" t="s">
        <v>1742</v>
      </c>
      <c r="B10" s="3880"/>
      <c r="C10" s="3881">
        <f>基本情况!B46</f>
        <v>0</v>
      </c>
      <c r="D10" s="3881"/>
      <c r="E10" s="1371" t="s">
        <v>1694</v>
      </c>
    </row>
    <row r="11" spans="1:5" ht="30" customHeight="1">
      <c r="A11" s="3880" t="s">
        <v>1743</v>
      </c>
      <c r="B11" s="3880"/>
      <c r="C11" s="3881" t="str">
        <f>LEFT(基本情况!B42)</f>
        <v>0</v>
      </c>
      <c r="D11" s="3881"/>
      <c r="E11" s="1371" t="s">
        <v>1741</v>
      </c>
    </row>
    <row r="12" spans="1:5" ht="22.5" customHeight="1">
      <c r="A12" s="3882" t="s">
        <v>1744</v>
      </c>
      <c r="B12" s="3882"/>
      <c r="C12" s="3883"/>
      <c r="D12" s="3883"/>
      <c r="E12" s="1371" t="s">
        <v>1702</v>
      </c>
    </row>
    <row r="13" spans="1:5" ht="22.5" customHeight="1">
      <c r="A13" s="3868" t="s">
        <v>1745</v>
      </c>
      <c r="B13" s="3873"/>
      <c r="C13" s="3873"/>
      <c r="D13" s="3869"/>
      <c r="E13" s="1371"/>
    </row>
    <row r="14" spans="1:5" ht="58.5" customHeight="1">
      <c r="A14" s="3880" t="s">
        <v>1746</v>
      </c>
      <c r="B14" s="3880"/>
      <c r="C14" s="3884" t="str">
        <f>A000000企业基础信息表!B11</f>
        <v>小企业会计准则</v>
      </c>
      <c r="D14" s="3885"/>
      <c r="E14" s="1356" t="s">
        <v>1747</v>
      </c>
    </row>
    <row r="15" spans="1:5" ht="42.75" customHeight="1">
      <c r="A15" s="1372" t="s">
        <v>1748</v>
      </c>
      <c r="B15" s="1373" t="str">
        <f>[0]!本年度&amp;"-"&amp;[0]!起始月&amp;"-"&amp;[0]!起始日</f>
        <v>2016-01-01</v>
      </c>
      <c r="C15" s="1372" t="s">
        <v>1749</v>
      </c>
      <c r="D15" s="1374" t="str">
        <f>[0]!本年度&amp;"-"&amp;[0]!截止月&amp;"-"&amp;[0]!截止日</f>
        <v>2016-12-31</v>
      </c>
      <c r="E15" s="1356" t="s">
        <v>1750</v>
      </c>
    </row>
    <row r="16" spans="1:5" ht="118.5" customHeight="1">
      <c r="A16" s="3886" t="s">
        <v>1751</v>
      </c>
      <c r="B16" s="3887"/>
      <c r="C16" s="3875"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75"/>
      <c r="E16" s="1356" t="s">
        <v>1752</v>
      </c>
    </row>
    <row r="17" spans="1:5" ht="30.75" customHeight="1">
      <c r="A17" s="3888" t="s">
        <v>1753</v>
      </c>
      <c r="B17" s="3889"/>
      <c r="C17" s="3889"/>
      <c r="D17" s="3890"/>
      <c r="E17" s="1375" t="s">
        <v>1754</v>
      </c>
    </row>
    <row r="18" spans="1:5" ht="72" customHeight="1">
      <c r="A18" s="3888" t="s">
        <v>1755</v>
      </c>
      <c r="B18" s="3890"/>
      <c r="C18" s="3891"/>
      <c r="D18" s="3892"/>
      <c r="E18" s="1371" t="s">
        <v>1702</v>
      </c>
    </row>
    <row r="19" spans="1:5" ht="42.75" customHeight="1">
      <c r="A19" s="3877" t="s">
        <v>1756</v>
      </c>
      <c r="B19" s="3878"/>
      <c r="C19" s="3878"/>
      <c r="D19" s="3879"/>
      <c r="E19" s="1375" t="s">
        <v>1757</v>
      </c>
    </row>
    <row r="20" spans="1:5" ht="19.5" customHeight="1">
      <c r="A20" s="3868" t="s">
        <v>1758</v>
      </c>
      <c r="B20" s="3873"/>
      <c r="C20" s="3873"/>
      <c r="D20" s="3869"/>
      <c r="E20" s="1371"/>
    </row>
    <row r="21" spans="1:5" ht="35.25" customHeight="1">
      <c r="A21" s="1308" t="s">
        <v>828</v>
      </c>
      <c r="B21" s="1309" t="s">
        <v>829</v>
      </c>
      <c r="C21" s="1309" t="s">
        <v>830</v>
      </c>
      <c r="D21" s="1309" t="s">
        <v>831</v>
      </c>
      <c r="E21" s="1371" t="s">
        <v>832</v>
      </c>
    </row>
    <row r="22" spans="1:5" ht="69" customHeight="1">
      <c r="A22" s="1308" t="s">
        <v>819</v>
      </c>
      <c r="B22" s="1376" t="str">
        <f>基本情况!B60</f>
        <v>否</v>
      </c>
      <c r="C22" s="1376" t="str">
        <f>基本情况!C60</f>
        <v>0</v>
      </c>
      <c r="D22" s="1376">
        <f>基本情况!D60</f>
        <v>0</v>
      </c>
      <c r="E22" s="1307" t="s">
        <v>7422</v>
      </c>
    </row>
    <row r="23" spans="1:5" ht="69" customHeight="1">
      <c r="A23" s="1308" t="s">
        <v>821</v>
      </c>
      <c r="B23" s="1376" t="str">
        <f>基本情况!B61</f>
        <v>否</v>
      </c>
      <c r="C23" s="1376" t="str">
        <f>基本情况!C61</f>
        <v>0</v>
      </c>
      <c r="D23" s="1376">
        <f>基本情况!D61</f>
        <v>0</v>
      </c>
      <c r="E23" s="1371" t="s">
        <v>822</v>
      </c>
    </row>
    <row r="24" spans="1:5" ht="69" customHeight="1">
      <c r="A24" s="1308" t="s">
        <v>823</v>
      </c>
      <c r="B24" s="1376" t="str">
        <f>基本情况!B62</f>
        <v>否</v>
      </c>
      <c r="C24" s="1376" t="str">
        <f>基本情况!C62</f>
        <v>0</v>
      </c>
      <c r="D24" s="1376">
        <f>基本情况!D62</f>
        <v>0</v>
      </c>
      <c r="E24" s="1371" t="s">
        <v>824</v>
      </c>
    </row>
    <row r="25" spans="1:5" ht="69" customHeight="1">
      <c r="A25" s="1308" t="s">
        <v>825</v>
      </c>
      <c r="B25" s="1376" t="str">
        <f>基本情况!B63</f>
        <v>否</v>
      </c>
      <c r="C25" s="1376" t="str">
        <f>基本情况!C63</f>
        <v>0</v>
      </c>
      <c r="D25" s="1376">
        <f>基本情况!D63</f>
        <v>0</v>
      </c>
      <c r="E25" s="1371" t="s">
        <v>826</v>
      </c>
    </row>
    <row r="26" spans="1:5" ht="296.25" customHeight="1">
      <c r="A26" s="1308" t="s">
        <v>83</v>
      </c>
      <c r="B26" s="1376" t="str">
        <f>基本情况!B64</f>
        <v>是</v>
      </c>
      <c r="C26" s="3874" t="str">
        <f>基本情况!C64</f>
        <v>1、本报告仅供贵单位向主管税务机关办理企业所得税年度纳税申报时使用，不作其他用途。因使用不当造成的后果，与执行本审核业务的税务师事务所及其注册税务师无关。</v>
      </c>
      <c r="D26" s="3875"/>
      <c r="E26" s="1371" t="s">
        <v>827</v>
      </c>
    </row>
    <row r="27" spans="1:5" ht="10.5" customHeight="1"/>
    <row r="28" spans="1:5" ht="10.5" customHeight="1"/>
    <row r="29" spans="1:5" ht="10.5" customHeight="1"/>
    <row r="30" spans="1:5" ht="5.25" customHeight="1"/>
    <row r="31" spans="1:5" ht="17.25" customHeight="1">
      <c r="A31" s="3876" t="s">
        <v>1759</v>
      </c>
      <c r="B31" s="3876"/>
      <c r="C31" s="3876"/>
      <c r="D31" s="3876"/>
      <c r="E31" s="3876"/>
    </row>
    <row r="32" spans="1:5" ht="21" customHeight="1">
      <c r="A32" s="2823" t="s">
        <v>718</v>
      </c>
      <c r="B32" s="2823"/>
      <c r="D32" s="2823" t="s">
        <v>719</v>
      </c>
      <c r="E32" s="2823"/>
    </row>
    <row r="33" spans="1:5" ht="21" customHeight="1">
      <c r="A33" s="1378">
        <v>100</v>
      </c>
      <c r="B33" s="1379" t="s">
        <v>1760</v>
      </c>
      <c r="D33" s="1378" t="s">
        <v>720</v>
      </c>
      <c r="E33" s="1379" t="s">
        <v>1761</v>
      </c>
    </row>
    <row r="34" spans="1:5" ht="21" customHeight="1">
      <c r="A34" s="1378">
        <v>110</v>
      </c>
      <c r="B34" s="1379" t="s">
        <v>1762</v>
      </c>
      <c r="D34" s="1378" t="s">
        <v>1600</v>
      </c>
      <c r="E34" s="1379" t="s">
        <v>1763</v>
      </c>
    </row>
    <row r="35" spans="1:5" ht="21" customHeight="1">
      <c r="A35" s="1378">
        <v>120</v>
      </c>
      <c r="B35" s="1379" t="s">
        <v>1764</v>
      </c>
      <c r="D35" s="1378" t="s">
        <v>1616</v>
      </c>
      <c r="E35" s="1379" t="s">
        <v>1765</v>
      </c>
    </row>
    <row r="36" spans="1:5" ht="21" customHeight="1">
      <c r="A36" s="1378">
        <v>130</v>
      </c>
      <c r="B36" s="1379" t="s">
        <v>1766</v>
      </c>
      <c r="D36" s="1378" t="s">
        <v>721</v>
      </c>
      <c r="E36" s="1379" t="s">
        <v>1767</v>
      </c>
    </row>
    <row r="37" spans="1:5" ht="21" customHeight="1">
      <c r="A37" s="1378">
        <v>140</v>
      </c>
      <c r="B37" s="1379" t="s">
        <v>1768</v>
      </c>
      <c r="D37" s="1378" t="s">
        <v>505</v>
      </c>
      <c r="E37" s="1379" t="s">
        <v>1769</v>
      </c>
    </row>
    <row r="38" spans="1:5" ht="21" customHeight="1">
      <c r="A38" s="1378">
        <v>141</v>
      </c>
      <c r="B38" s="1379" t="s">
        <v>1770</v>
      </c>
      <c r="D38" s="1378" t="s">
        <v>722</v>
      </c>
      <c r="E38" s="1379" t="s">
        <v>1771</v>
      </c>
    </row>
    <row r="39" spans="1:5" ht="21" customHeight="1">
      <c r="A39" s="1378">
        <v>142</v>
      </c>
      <c r="B39" s="1379" t="s">
        <v>1772</v>
      </c>
      <c r="D39" s="1378" t="s">
        <v>1608</v>
      </c>
      <c r="E39" s="1379" t="s">
        <v>1773</v>
      </c>
    </row>
    <row r="40" spans="1:5" ht="21" customHeight="1">
      <c r="A40" s="1378">
        <v>143</v>
      </c>
      <c r="B40" s="1379" t="s">
        <v>1774</v>
      </c>
      <c r="D40" s="1378" t="s">
        <v>723</v>
      </c>
      <c r="E40" s="1379" t="s">
        <v>1775</v>
      </c>
    </row>
    <row r="41" spans="1:5" ht="21" customHeight="1">
      <c r="A41" s="1378">
        <v>149</v>
      </c>
      <c r="B41" s="1379" t="s">
        <v>1776</v>
      </c>
      <c r="D41" s="1378" t="s">
        <v>724</v>
      </c>
      <c r="E41" s="1379" t="s">
        <v>1777</v>
      </c>
    </row>
    <row r="42" spans="1:5" ht="21" customHeight="1">
      <c r="A42" s="1378">
        <v>150</v>
      </c>
      <c r="B42" s="1379" t="s">
        <v>1778</v>
      </c>
      <c r="D42" s="1378" t="s">
        <v>725</v>
      </c>
      <c r="E42" s="1379" t="s">
        <v>1779</v>
      </c>
    </row>
    <row r="43" spans="1:5" ht="21" customHeight="1">
      <c r="A43" s="1378">
        <v>151</v>
      </c>
      <c r="B43" s="1379" t="s">
        <v>1780</v>
      </c>
      <c r="D43" s="1378" t="s">
        <v>726</v>
      </c>
      <c r="E43" s="1379" t="s">
        <v>1781</v>
      </c>
    </row>
    <row r="44" spans="1:5" ht="21" customHeight="1">
      <c r="A44" s="1378">
        <v>159</v>
      </c>
      <c r="B44" s="1379" t="s">
        <v>1655</v>
      </c>
      <c r="D44" s="1378" t="s">
        <v>727</v>
      </c>
      <c r="E44" s="1379" t="s">
        <v>1654</v>
      </c>
    </row>
    <row r="45" spans="1:5" ht="21" customHeight="1">
      <c r="A45" s="1378">
        <v>160</v>
      </c>
      <c r="B45" s="1379" t="s">
        <v>1782</v>
      </c>
      <c r="D45" s="1378" t="s">
        <v>728</v>
      </c>
      <c r="E45" s="1379" t="s">
        <v>1783</v>
      </c>
    </row>
    <row r="46" spans="1:5" ht="21" customHeight="1">
      <c r="A46" s="1378">
        <v>170</v>
      </c>
      <c r="B46" s="1379" t="s">
        <v>1784</v>
      </c>
      <c r="D46" s="1378" t="s">
        <v>729</v>
      </c>
      <c r="E46" s="1379" t="s">
        <v>1785</v>
      </c>
    </row>
    <row r="47" spans="1:5" ht="21" customHeight="1">
      <c r="A47" s="1378">
        <v>171</v>
      </c>
      <c r="B47" s="1379" t="s">
        <v>1786</v>
      </c>
      <c r="D47" s="1378" t="s">
        <v>730</v>
      </c>
      <c r="E47" s="1379" t="s">
        <v>1787</v>
      </c>
    </row>
    <row r="48" spans="1:5" ht="21" customHeight="1">
      <c r="A48" s="1378">
        <v>172</v>
      </c>
      <c r="B48" s="1379" t="s">
        <v>1788</v>
      </c>
      <c r="D48" s="1378" t="s">
        <v>731</v>
      </c>
      <c r="E48" s="1379" t="s">
        <v>1789</v>
      </c>
    </row>
    <row r="49" spans="1:5" ht="21" customHeight="1">
      <c r="A49" s="1378">
        <v>173</v>
      </c>
      <c r="B49" s="1379" t="s">
        <v>1790</v>
      </c>
      <c r="D49" s="1378" t="s">
        <v>732</v>
      </c>
      <c r="E49" s="1379" t="s">
        <v>1791</v>
      </c>
    </row>
    <row r="50" spans="1:5" ht="21" customHeight="1">
      <c r="A50" s="1378">
        <v>174</v>
      </c>
      <c r="B50" s="1379" t="s">
        <v>1792</v>
      </c>
      <c r="D50" s="1378" t="s">
        <v>733</v>
      </c>
      <c r="E50" s="1379" t="s">
        <v>1793</v>
      </c>
    </row>
    <row r="51" spans="1:5" ht="21" customHeight="1">
      <c r="A51" s="1378">
        <v>175</v>
      </c>
      <c r="B51" s="1379" t="s">
        <v>1794</v>
      </c>
      <c r="D51" s="1378" t="s">
        <v>1612</v>
      </c>
      <c r="E51" s="1379" t="s">
        <v>1795</v>
      </c>
    </row>
    <row r="52" spans="1:5" ht="21" customHeight="1">
      <c r="A52" s="1378">
        <v>190</v>
      </c>
      <c r="B52" s="1379" t="s">
        <v>1796</v>
      </c>
      <c r="D52" s="1378" t="s">
        <v>1604</v>
      </c>
      <c r="E52" s="1379" t="s">
        <v>1797</v>
      </c>
    </row>
    <row r="53" spans="1:5" ht="21" customHeight="1">
      <c r="A53" s="1378">
        <v>200</v>
      </c>
      <c r="B53" s="1379" t="s">
        <v>1798</v>
      </c>
    </row>
    <row r="54" spans="1:5" ht="21" customHeight="1">
      <c r="A54" s="1378">
        <v>210</v>
      </c>
      <c r="B54" s="1379" t="s">
        <v>1799</v>
      </c>
    </row>
    <row r="55" spans="1:5" ht="21" customHeight="1">
      <c r="A55" s="1378">
        <v>220</v>
      </c>
      <c r="B55" s="1379" t="s">
        <v>1800</v>
      </c>
    </row>
    <row r="56" spans="1:5" ht="21" customHeight="1">
      <c r="A56" s="1378">
        <v>230</v>
      </c>
      <c r="B56" s="1379" t="s">
        <v>1801</v>
      </c>
    </row>
    <row r="57" spans="1:5" ht="21" customHeight="1">
      <c r="A57" s="1378">
        <v>240</v>
      </c>
      <c r="B57" s="1379" t="s">
        <v>1802</v>
      </c>
    </row>
    <row r="58" spans="1:5" ht="21" customHeight="1">
      <c r="A58" s="1378">
        <v>250</v>
      </c>
      <c r="B58" s="1379" t="s">
        <v>1803</v>
      </c>
    </row>
    <row r="59" spans="1:5" ht="21" customHeight="1">
      <c r="A59" s="1378">
        <v>251</v>
      </c>
      <c r="B59" s="1379" t="s">
        <v>1804</v>
      </c>
    </row>
    <row r="60" spans="1:5" ht="21" customHeight="1">
      <c r="A60" s="1378">
        <v>252</v>
      </c>
      <c r="B60" s="1379" t="s">
        <v>1805</v>
      </c>
    </row>
    <row r="61" spans="1:5" ht="21" customHeight="1">
      <c r="A61" s="1378">
        <v>253</v>
      </c>
      <c r="B61" s="1379" t="s">
        <v>1806</v>
      </c>
    </row>
    <row r="62" spans="1:5" ht="21" customHeight="1">
      <c r="A62" s="1378">
        <v>254</v>
      </c>
      <c r="B62" s="1379" t="s">
        <v>1807</v>
      </c>
    </row>
    <row r="63" spans="1:5" ht="21" customHeight="1">
      <c r="A63" s="1378">
        <v>259</v>
      </c>
      <c r="B63" s="1379" t="s">
        <v>1808</v>
      </c>
    </row>
    <row r="64" spans="1:5" ht="21" customHeight="1">
      <c r="A64" s="1378">
        <v>300</v>
      </c>
      <c r="B64" s="1379" t="s">
        <v>1809</v>
      </c>
    </row>
    <row r="65" spans="1:2" ht="21" customHeight="1">
      <c r="A65" s="1378">
        <v>310</v>
      </c>
      <c r="B65" s="1379" t="s">
        <v>1810</v>
      </c>
    </row>
    <row r="66" spans="1:2" ht="21" customHeight="1">
      <c r="A66" s="1378">
        <v>320</v>
      </c>
      <c r="B66" s="1379" t="s">
        <v>1811</v>
      </c>
    </row>
    <row r="67" spans="1:2" ht="21" customHeight="1">
      <c r="A67" s="1378">
        <v>330</v>
      </c>
      <c r="B67" s="1379" t="s">
        <v>1812</v>
      </c>
    </row>
    <row r="68" spans="1:2" ht="21" customHeight="1">
      <c r="A68" s="1378">
        <v>340</v>
      </c>
      <c r="B68" s="1379" t="s">
        <v>1813</v>
      </c>
    </row>
    <row r="69" spans="1:2" ht="21" customHeight="1">
      <c r="A69" s="1378">
        <v>350</v>
      </c>
      <c r="B69" s="1379" t="s">
        <v>1814</v>
      </c>
    </row>
    <row r="70" spans="1:2" ht="21" customHeight="1">
      <c r="A70" s="1378">
        <v>351</v>
      </c>
      <c r="B70" s="1379" t="s">
        <v>1815</v>
      </c>
    </row>
    <row r="71" spans="1:2" ht="21" customHeight="1">
      <c r="A71" s="1378">
        <v>352</v>
      </c>
      <c r="B71" s="1379" t="s">
        <v>1816</v>
      </c>
    </row>
    <row r="72" spans="1:2" ht="21" customHeight="1">
      <c r="A72" s="1378">
        <v>353</v>
      </c>
      <c r="B72" s="1379" t="s">
        <v>1817</v>
      </c>
    </row>
    <row r="73" spans="1:2" ht="21" customHeight="1">
      <c r="A73" s="1378">
        <v>354</v>
      </c>
      <c r="B73" s="1379" t="s">
        <v>1818</v>
      </c>
    </row>
    <row r="74" spans="1:2" ht="21" customHeight="1">
      <c r="A74" s="1378">
        <v>359</v>
      </c>
      <c r="B74" s="1379" t="s">
        <v>1819</v>
      </c>
    </row>
    <row r="75" spans="1:2" ht="21" customHeight="1">
      <c r="A75" s="1378">
        <v>400</v>
      </c>
      <c r="B75" s="1379" t="s">
        <v>1820</v>
      </c>
    </row>
    <row r="76" spans="1:2" ht="21" customHeight="1">
      <c r="A76" s="1378">
        <v>410</v>
      </c>
      <c r="B76" s="1379" t="s">
        <v>1821</v>
      </c>
    </row>
    <row r="77" spans="1:2" ht="21" customHeight="1">
      <c r="A77" s="1378">
        <v>411</v>
      </c>
      <c r="B77" s="1379" t="s">
        <v>1822</v>
      </c>
    </row>
    <row r="78" spans="1:2" ht="21" customHeight="1">
      <c r="A78" s="1378">
        <v>412</v>
      </c>
      <c r="B78" s="1379" t="s">
        <v>1823</v>
      </c>
    </row>
    <row r="79" spans="1:2" ht="21" customHeight="1">
      <c r="A79" s="1378">
        <v>413</v>
      </c>
      <c r="B79" s="1379" t="s">
        <v>1824</v>
      </c>
    </row>
    <row r="80" spans="1:2" ht="21" customHeight="1">
      <c r="A80" s="1378">
        <v>420</v>
      </c>
      <c r="B80" s="1379" t="s">
        <v>1825</v>
      </c>
    </row>
    <row r="81" spans="1:2" ht="21" customHeight="1">
      <c r="A81" s="1378">
        <v>421</v>
      </c>
      <c r="B81" s="1379" t="s">
        <v>1826</v>
      </c>
    </row>
    <row r="82" spans="1:2" ht="21" customHeight="1">
      <c r="A82" s="1378">
        <v>422</v>
      </c>
      <c r="B82" s="1379" t="s">
        <v>1827</v>
      </c>
    </row>
    <row r="83" spans="1:2" ht="21" customHeight="1">
      <c r="A83" s="1378">
        <v>423</v>
      </c>
      <c r="B83" s="1379" t="s">
        <v>1828</v>
      </c>
    </row>
    <row r="84" spans="1:2" ht="21" customHeight="1">
      <c r="A84" s="1378">
        <v>430</v>
      </c>
      <c r="B84" s="1379" t="s">
        <v>1483</v>
      </c>
    </row>
    <row r="85" spans="1:2" ht="21" customHeight="1">
      <c r="A85" s="1378">
        <v>431</v>
      </c>
      <c r="B85" s="1379" t="s">
        <v>1829</v>
      </c>
    </row>
    <row r="86" spans="1:2" ht="21" customHeight="1">
      <c r="A86" s="1378">
        <v>432</v>
      </c>
      <c r="B86" s="1379" t="s">
        <v>1830</v>
      </c>
    </row>
    <row r="87" spans="1:2" ht="21" customHeight="1">
      <c r="A87" s="1378">
        <v>433</v>
      </c>
      <c r="B87" s="1379" t="s">
        <v>1831</v>
      </c>
    </row>
    <row r="88" spans="1:2" ht="21" customHeight="1">
      <c r="A88" s="1378">
        <v>500</v>
      </c>
      <c r="B88" s="1379" t="s">
        <v>1832</v>
      </c>
    </row>
    <row r="89" spans="1:2" ht="21" customHeight="1">
      <c r="A89" s="1378">
        <v>510</v>
      </c>
      <c r="B89" s="1379" t="s">
        <v>1833</v>
      </c>
    </row>
    <row r="90" spans="1:2" ht="21" customHeight="1">
      <c r="A90" s="1378">
        <v>520</v>
      </c>
      <c r="B90" s="1379" t="s">
        <v>1834</v>
      </c>
    </row>
    <row r="91" spans="1:2" ht="21" customHeight="1">
      <c r="A91" s="1378">
        <v>521</v>
      </c>
      <c r="B91" s="1379" t="s">
        <v>1835</v>
      </c>
    </row>
    <row r="92" spans="1:2" ht="21" customHeight="1">
      <c r="A92" s="1378">
        <v>522</v>
      </c>
      <c r="B92" s="1379" t="s">
        <v>1836</v>
      </c>
    </row>
    <row r="93" spans="1:2" ht="21" customHeight="1">
      <c r="A93" s="1378">
        <v>523</v>
      </c>
      <c r="B93" s="1379" t="s">
        <v>1837</v>
      </c>
    </row>
    <row r="94" spans="1:2" ht="21" customHeight="1">
      <c r="A94" s="1378">
        <v>530</v>
      </c>
      <c r="B94" s="1379" t="s">
        <v>1838</v>
      </c>
    </row>
    <row r="95" spans="1:2" ht="21" customHeight="1">
      <c r="A95" s="1378">
        <v>540</v>
      </c>
      <c r="B95" s="1379" t="s">
        <v>1839</v>
      </c>
    </row>
    <row r="96" spans="1:2" ht="21" customHeight="1">
      <c r="A96" s="1378">
        <v>550</v>
      </c>
      <c r="B96" s="1379" t="s">
        <v>1840</v>
      </c>
    </row>
    <row r="97" spans="1:2" ht="21" customHeight="1">
      <c r="A97" s="1378">
        <v>560</v>
      </c>
      <c r="B97" s="1379" t="s">
        <v>1841</v>
      </c>
    </row>
  </sheetData>
  <mergeCells count="36">
    <mergeCell ref="A1:E1"/>
    <mergeCell ref="A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9:D19"/>
    <mergeCell ref="A11:B11"/>
    <mergeCell ref="C11:D11"/>
    <mergeCell ref="A12:B12"/>
    <mergeCell ref="C12:D12"/>
    <mergeCell ref="A13:D13"/>
    <mergeCell ref="A14:B14"/>
    <mergeCell ref="C14:D14"/>
    <mergeCell ref="A16:B16"/>
    <mergeCell ref="C16:D16"/>
    <mergeCell ref="A17:D17"/>
    <mergeCell ref="A18:B18"/>
    <mergeCell ref="C18:D18"/>
    <mergeCell ref="A20:D20"/>
    <mergeCell ref="C26:D26"/>
    <mergeCell ref="A31:E31"/>
    <mergeCell ref="A32:B32"/>
    <mergeCell ref="D32:E32"/>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94" t="s">
        <v>1842</v>
      </c>
      <c r="B1" s="3894"/>
      <c r="C1" s="3894"/>
      <c r="D1" s="3894"/>
      <c r="E1" s="1380"/>
    </row>
    <row r="2" spans="1:5" ht="23.25" customHeight="1">
      <c r="A2" s="3895" t="s">
        <v>1843</v>
      </c>
      <c r="B2" s="3896"/>
      <c r="C2" s="3896"/>
      <c r="D2" s="3896"/>
    </row>
    <row r="3" spans="1:5" ht="23.25" customHeight="1">
      <c r="A3" s="3896"/>
      <c r="B3" s="3896"/>
      <c r="C3" s="3896"/>
      <c r="D3" s="3896"/>
    </row>
    <row r="4" spans="1:5" ht="23.25" customHeight="1">
      <c r="A4" s="3896"/>
      <c r="B4" s="3896"/>
      <c r="C4" s="3896"/>
      <c r="D4" s="3896"/>
    </row>
    <row r="5" spans="1:5" ht="23.25" customHeight="1">
      <c r="A5" s="3896"/>
      <c r="B5" s="3896"/>
      <c r="C5" s="3896"/>
      <c r="D5" s="3896"/>
    </row>
    <row r="6" spans="1:5" ht="23.25" customHeight="1">
      <c r="A6" s="3896"/>
      <c r="B6" s="3896"/>
      <c r="C6" s="3896"/>
      <c r="D6" s="3896"/>
    </row>
    <row r="7" spans="1:5" ht="27.75" customHeight="1">
      <c r="A7" s="3897" t="s">
        <v>1844</v>
      </c>
      <c r="B7" s="3897"/>
      <c r="C7" s="3897"/>
      <c r="D7" s="3897"/>
    </row>
    <row r="8" spans="1:5" ht="27.75" customHeight="1">
      <c r="A8" s="1382" t="s">
        <v>1845</v>
      </c>
      <c r="B8" s="1382" t="s">
        <v>556</v>
      </c>
      <c r="C8" s="1383" t="s">
        <v>1846</v>
      </c>
      <c r="D8" s="1384" t="s">
        <v>1069</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69921875" style="1397" customWidth="1"/>
    <col min="5" max="5" width="19.69921875" style="1390" customWidth="1"/>
    <col min="6" max="256" width="9" style="1381"/>
    <col min="257" max="257" width="25.5" style="1381" customWidth="1"/>
    <col min="258" max="261" width="19.69921875" style="1381" customWidth="1"/>
    <col min="262" max="512" width="9" style="1381"/>
    <col min="513" max="513" width="25.5" style="1381" customWidth="1"/>
    <col min="514" max="517" width="19.69921875" style="1381" customWidth="1"/>
    <col min="518" max="768" width="9" style="1381"/>
    <col min="769" max="769" width="25.5" style="1381" customWidth="1"/>
    <col min="770" max="773" width="19.69921875" style="1381" customWidth="1"/>
    <col min="774" max="1024" width="9" style="1381"/>
    <col min="1025" max="1025" width="25.5" style="1381" customWidth="1"/>
    <col min="1026" max="1029" width="19.69921875" style="1381" customWidth="1"/>
    <col min="1030" max="1280" width="9" style="1381"/>
    <col min="1281" max="1281" width="25.5" style="1381" customWidth="1"/>
    <col min="1282" max="1285" width="19.69921875" style="1381" customWidth="1"/>
    <col min="1286" max="1536" width="9" style="1381"/>
    <col min="1537" max="1537" width="25.5" style="1381" customWidth="1"/>
    <col min="1538" max="1541" width="19.69921875" style="1381" customWidth="1"/>
    <col min="1542" max="1792" width="9" style="1381"/>
    <col min="1793" max="1793" width="25.5" style="1381" customWidth="1"/>
    <col min="1794" max="1797" width="19.69921875" style="1381" customWidth="1"/>
    <col min="1798" max="2048" width="9" style="1381"/>
    <col min="2049" max="2049" width="25.5" style="1381" customWidth="1"/>
    <col min="2050" max="2053" width="19.69921875" style="1381" customWidth="1"/>
    <col min="2054" max="2304" width="9" style="1381"/>
    <col min="2305" max="2305" width="25.5" style="1381" customWidth="1"/>
    <col min="2306" max="2309" width="19.69921875" style="1381" customWidth="1"/>
    <col min="2310" max="2560" width="9" style="1381"/>
    <col min="2561" max="2561" width="25.5" style="1381" customWidth="1"/>
    <col min="2562" max="2565" width="19.69921875" style="1381" customWidth="1"/>
    <col min="2566" max="2816" width="9" style="1381"/>
    <col min="2817" max="2817" width="25.5" style="1381" customWidth="1"/>
    <col min="2818" max="2821" width="19.69921875" style="1381" customWidth="1"/>
    <col min="2822" max="3072" width="9" style="1381"/>
    <col min="3073" max="3073" width="25.5" style="1381" customWidth="1"/>
    <col min="3074" max="3077" width="19.69921875" style="1381" customWidth="1"/>
    <col min="3078" max="3328" width="9" style="1381"/>
    <col min="3329" max="3329" width="25.5" style="1381" customWidth="1"/>
    <col min="3330" max="3333" width="19.69921875" style="1381" customWidth="1"/>
    <col min="3334" max="3584" width="9" style="1381"/>
    <col min="3585" max="3585" width="25.5" style="1381" customWidth="1"/>
    <col min="3586" max="3589" width="19.69921875" style="1381" customWidth="1"/>
    <col min="3590" max="3840" width="9" style="1381"/>
    <col min="3841" max="3841" width="25.5" style="1381" customWidth="1"/>
    <col min="3842" max="3845" width="19.69921875" style="1381" customWidth="1"/>
    <col min="3846" max="4096" width="9" style="1381"/>
    <col min="4097" max="4097" width="25.5" style="1381" customWidth="1"/>
    <col min="4098" max="4101" width="19.69921875" style="1381" customWidth="1"/>
    <col min="4102" max="4352" width="9" style="1381"/>
    <col min="4353" max="4353" width="25.5" style="1381" customWidth="1"/>
    <col min="4354" max="4357" width="19.69921875" style="1381" customWidth="1"/>
    <col min="4358" max="4608" width="9" style="1381"/>
    <col min="4609" max="4609" width="25.5" style="1381" customWidth="1"/>
    <col min="4610" max="4613" width="19.69921875" style="1381" customWidth="1"/>
    <col min="4614" max="4864" width="9" style="1381"/>
    <col min="4865" max="4865" width="25.5" style="1381" customWidth="1"/>
    <col min="4866" max="4869" width="19.69921875" style="1381" customWidth="1"/>
    <col min="4870" max="5120" width="9" style="1381"/>
    <col min="5121" max="5121" width="25.5" style="1381" customWidth="1"/>
    <col min="5122" max="5125" width="19.69921875" style="1381" customWidth="1"/>
    <col min="5126" max="5376" width="9" style="1381"/>
    <col min="5377" max="5377" width="25.5" style="1381" customWidth="1"/>
    <col min="5378" max="5381" width="19.69921875" style="1381" customWidth="1"/>
    <col min="5382" max="5632" width="9" style="1381"/>
    <col min="5633" max="5633" width="25.5" style="1381" customWidth="1"/>
    <col min="5634" max="5637" width="19.69921875" style="1381" customWidth="1"/>
    <col min="5638" max="5888" width="9" style="1381"/>
    <col min="5889" max="5889" width="25.5" style="1381" customWidth="1"/>
    <col min="5890" max="5893" width="19.69921875" style="1381" customWidth="1"/>
    <col min="5894" max="6144" width="9" style="1381"/>
    <col min="6145" max="6145" width="25.5" style="1381" customWidth="1"/>
    <col min="6146" max="6149" width="19.69921875" style="1381" customWidth="1"/>
    <col min="6150" max="6400" width="9" style="1381"/>
    <col min="6401" max="6401" width="25.5" style="1381" customWidth="1"/>
    <col min="6402" max="6405" width="19.69921875" style="1381" customWidth="1"/>
    <col min="6406" max="6656" width="9" style="1381"/>
    <col min="6657" max="6657" width="25.5" style="1381" customWidth="1"/>
    <col min="6658" max="6661" width="19.69921875" style="1381" customWidth="1"/>
    <col min="6662" max="6912" width="9" style="1381"/>
    <col min="6913" max="6913" width="25.5" style="1381" customWidth="1"/>
    <col min="6914" max="6917" width="19.69921875" style="1381" customWidth="1"/>
    <col min="6918" max="7168" width="9" style="1381"/>
    <col min="7169" max="7169" width="25.5" style="1381" customWidth="1"/>
    <col min="7170" max="7173" width="19.69921875" style="1381" customWidth="1"/>
    <col min="7174" max="7424" width="9" style="1381"/>
    <col min="7425" max="7425" width="25.5" style="1381" customWidth="1"/>
    <col min="7426" max="7429" width="19.69921875" style="1381" customWidth="1"/>
    <col min="7430" max="7680" width="9" style="1381"/>
    <col min="7681" max="7681" width="25.5" style="1381" customWidth="1"/>
    <col min="7682" max="7685" width="19.69921875" style="1381" customWidth="1"/>
    <col min="7686" max="7936" width="9" style="1381"/>
    <col min="7937" max="7937" width="25.5" style="1381" customWidth="1"/>
    <col min="7938" max="7941" width="19.69921875" style="1381" customWidth="1"/>
    <col min="7942" max="8192" width="9" style="1381"/>
    <col min="8193" max="8193" width="25.5" style="1381" customWidth="1"/>
    <col min="8194" max="8197" width="19.69921875" style="1381" customWidth="1"/>
    <col min="8198" max="8448" width="9" style="1381"/>
    <col min="8449" max="8449" width="25.5" style="1381" customWidth="1"/>
    <col min="8450" max="8453" width="19.69921875" style="1381" customWidth="1"/>
    <col min="8454" max="8704" width="9" style="1381"/>
    <col min="8705" max="8705" width="25.5" style="1381" customWidth="1"/>
    <col min="8706" max="8709" width="19.69921875" style="1381" customWidth="1"/>
    <col min="8710" max="8960" width="9" style="1381"/>
    <col min="8961" max="8961" width="25.5" style="1381" customWidth="1"/>
    <col min="8962" max="8965" width="19.69921875" style="1381" customWidth="1"/>
    <col min="8966" max="9216" width="9" style="1381"/>
    <col min="9217" max="9217" width="25.5" style="1381" customWidth="1"/>
    <col min="9218" max="9221" width="19.69921875" style="1381" customWidth="1"/>
    <col min="9222" max="9472" width="9" style="1381"/>
    <col min="9473" max="9473" width="25.5" style="1381" customWidth="1"/>
    <col min="9474" max="9477" width="19.69921875" style="1381" customWidth="1"/>
    <col min="9478" max="9728" width="9" style="1381"/>
    <col min="9729" max="9729" width="25.5" style="1381" customWidth="1"/>
    <col min="9730" max="9733" width="19.69921875" style="1381" customWidth="1"/>
    <col min="9734" max="9984" width="9" style="1381"/>
    <col min="9985" max="9985" width="25.5" style="1381" customWidth="1"/>
    <col min="9986" max="9989" width="19.69921875" style="1381" customWidth="1"/>
    <col min="9990" max="10240" width="9" style="1381"/>
    <col min="10241" max="10241" width="25.5" style="1381" customWidth="1"/>
    <col min="10242" max="10245" width="19.69921875" style="1381" customWidth="1"/>
    <col min="10246" max="10496" width="9" style="1381"/>
    <col min="10497" max="10497" width="25.5" style="1381" customWidth="1"/>
    <col min="10498" max="10501" width="19.69921875" style="1381" customWidth="1"/>
    <col min="10502" max="10752" width="9" style="1381"/>
    <col min="10753" max="10753" width="25.5" style="1381" customWidth="1"/>
    <col min="10754" max="10757" width="19.69921875" style="1381" customWidth="1"/>
    <col min="10758" max="11008" width="9" style="1381"/>
    <col min="11009" max="11009" width="25.5" style="1381" customWidth="1"/>
    <col min="11010" max="11013" width="19.69921875" style="1381" customWidth="1"/>
    <col min="11014" max="11264" width="9" style="1381"/>
    <col min="11265" max="11265" width="25.5" style="1381" customWidth="1"/>
    <col min="11266" max="11269" width="19.69921875" style="1381" customWidth="1"/>
    <col min="11270" max="11520" width="9" style="1381"/>
    <col min="11521" max="11521" width="25.5" style="1381" customWidth="1"/>
    <col min="11522" max="11525" width="19.69921875" style="1381" customWidth="1"/>
    <col min="11526" max="11776" width="9" style="1381"/>
    <col min="11777" max="11777" width="25.5" style="1381" customWidth="1"/>
    <col min="11778" max="11781" width="19.69921875" style="1381" customWidth="1"/>
    <col min="11782" max="12032" width="9" style="1381"/>
    <col min="12033" max="12033" width="25.5" style="1381" customWidth="1"/>
    <col min="12034" max="12037" width="19.69921875" style="1381" customWidth="1"/>
    <col min="12038" max="12288" width="9" style="1381"/>
    <col min="12289" max="12289" width="25.5" style="1381" customWidth="1"/>
    <col min="12290" max="12293" width="19.69921875" style="1381" customWidth="1"/>
    <col min="12294" max="12544" width="9" style="1381"/>
    <col min="12545" max="12545" width="25.5" style="1381" customWidth="1"/>
    <col min="12546" max="12549" width="19.69921875" style="1381" customWidth="1"/>
    <col min="12550" max="12800" width="9" style="1381"/>
    <col min="12801" max="12801" width="25.5" style="1381" customWidth="1"/>
    <col min="12802" max="12805" width="19.69921875" style="1381" customWidth="1"/>
    <col min="12806" max="13056" width="9" style="1381"/>
    <col min="13057" max="13057" width="25.5" style="1381" customWidth="1"/>
    <col min="13058" max="13061" width="19.69921875" style="1381" customWidth="1"/>
    <col min="13062" max="13312" width="9" style="1381"/>
    <col min="13313" max="13313" width="25.5" style="1381" customWidth="1"/>
    <col min="13314" max="13317" width="19.69921875" style="1381" customWidth="1"/>
    <col min="13318" max="13568" width="9" style="1381"/>
    <col min="13569" max="13569" width="25.5" style="1381" customWidth="1"/>
    <col min="13570" max="13573" width="19.69921875" style="1381" customWidth="1"/>
    <col min="13574" max="13824" width="9" style="1381"/>
    <col min="13825" max="13825" width="25.5" style="1381" customWidth="1"/>
    <col min="13826" max="13829" width="19.69921875" style="1381" customWidth="1"/>
    <col min="13830" max="14080" width="9" style="1381"/>
    <col min="14081" max="14081" width="25.5" style="1381" customWidth="1"/>
    <col min="14082" max="14085" width="19.69921875" style="1381" customWidth="1"/>
    <col min="14086" max="14336" width="9" style="1381"/>
    <col min="14337" max="14337" width="25.5" style="1381" customWidth="1"/>
    <col min="14338" max="14341" width="19.69921875" style="1381" customWidth="1"/>
    <col min="14342" max="14592" width="9" style="1381"/>
    <col min="14593" max="14593" width="25.5" style="1381" customWidth="1"/>
    <col min="14594" max="14597" width="19.69921875" style="1381" customWidth="1"/>
    <col min="14598" max="14848" width="9" style="1381"/>
    <col min="14849" max="14849" width="25.5" style="1381" customWidth="1"/>
    <col min="14850" max="14853" width="19.69921875" style="1381" customWidth="1"/>
    <col min="14854" max="15104" width="9" style="1381"/>
    <col min="15105" max="15105" width="25.5" style="1381" customWidth="1"/>
    <col min="15106" max="15109" width="19.69921875" style="1381" customWidth="1"/>
    <col min="15110" max="15360" width="9" style="1381"/>
    <col min="15361" max="15361" width="25.5" style="1381" customWidth="1"/>
    <col min="15362" max="15365" width="19.69921875" style="1381" customWidth="1"/>
    <col min="15366" max="15616" width="9" style="1381"/>
    <col min="15617" max="15617" width="25.5" style="1381" customWidth="1"/>
    <col min="15618" max="15621" width="19.69921875" style="1381" customWidth="1"/>
    <col min="15622" max="15872" width="9" style="1381"/>
    <col min="15873" max="15873" width="25.5" style="1381" customWidth="1"/>
    <col min="15874" max="15877" width="19.69921875" style="1381" customWidth="1"/>
    <col min="15878" max="16128" width="9" style="1381"/>
    <col min="16129" max="16129" width="25.5" style="1381" customWidth="1"/>
    <col min="16130" max="16133" width="19.69921875" style="1381" customWidth="1"/>
    <col min="16134" max="16384" width="9" style="1381"/>
  </cols>
  <sheetData>
    <row r="1" spans="1:5" s="1370" customFormat="1" ht="25.5" customHeight="1">
      <c r="A1" s="3898" t="s">
        <v>1847</v>
      </c>
      <c r="B1" s="3898"/>
      <c r="C1" s="3898"/>
      <c r="D1" s="3898"/>
      <c r="E1" s="3898"/>
    </row>
    <row r="2" spans="1:5" ht="23.25" customHeight="1">
      <c r="A2" s="3899" t="s">
        <v>7423</v>
      </c>
      <c r="B2" s="3900"/>
      <c r="C2" s="3900"/>
      <c r="D2" s="3900"/>
      <c r="E2" s="3900"/>
    </row>
    <row r="3" spans="1:5" ht="24" customHeight="1">
      <c r="A3" s="3900"/>
      <c r="B3" s="3900"/>
      <c r="C3" s="3900"/>
      <c r="D3" s="3900"/>
      <c r="E3" s="3900"/>
    </row>
    <row r="4" spans="1:5" ht="21" customHeight="1">
      <c r="A4" s="3900"/>
      <c r="B4" s="3900"/>
      <c r="C4" s="3900"/>
      <c r="D4" s="3900"/>
      <c r="E4" s="3900"/>
    </row>
    <row r="5" spans="1:5" ht="27.75" customHeight="1">
      <c r="A5" s="3901" t="s">
        <v>1848</v>
      </c>
      <c r="B5" s="3901"/>
      <c r="C5" s="3901"/>
      <c r="D5" s="3901"/>
      <c r="E5" s="3901"/>
    </row>
    <row r="6" spans="1:5" ht="40.5" customHeight="1">
      <c r="A6" s="1392" t="s">
        <v>1849</v>
      </c>
      <c r="B6" s="1393" t="s">
        <v>1850</v>
      </c>
      <c r="C6" s="1393" t="s">
        <v>1851</v>
      </c>
      <c r="D6" s="2557" t="s">
        <v>7424</v>
      </c>
      <c r="E6" s="1392" t="s">
        <v>1852</v>
      </c>
    </row>
    <row r="7" spans="1:5" ht="40.5" customHeight="1">
      <c r="A7" s="1394" t="s">
        <v>1692</v>
      </c>
      <c r="B7" s="1386" t="s">
        <v>1692</v>
      </c>
      <c r="C7" s="1386" t="s">
        <v>1692</v>
      </c>
      <c r="D7" s="1386" t="s">
        <v>1692</v>
      </c>
      <c r="E7" s="1387" t="s">
        <v>1692</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49"/>
  <sheetViews>
    <sheetView workbookViewId="0">
      <selection activeCell="B10" sqref="B10"/>
    </sheetView>
  </sheetViews>
  <sheetFormatPr defaultColWidth="8.8984375" defaultRowHeight="12"/>
  <cols>
    <col min="1" max="1" width="8.5" style="1521" bestFit="1" customWidth="1"/>
    <col min="2" max="2" width="60.19921875" style="1517" customWidth="1"/>
    <col min="3" max="3" width="11.69921875" style="1521" bestFit="1" customWidth="1"/>
    <col min="4" max="5" width="8.8984375" style="1517"/>
    <col min="6" max="6" width="13" style="1517" customWidth="1"/>
    <col min="7" max="7" width="14.5" style="1517" customWidth="1"/>
    <col min="8" max="256" width="8.8984375" style="1517"/>
    <col min="257" max="257" width="8.5" style="1517" bestFit="1" customWidth="1"/>
    <col min="258" max="258" width="60.19921875" style="1517" customWidth="1"/>
    <col min="259" max="259" width="10.09765625" style="1517" customWidth="1"/>
    <col min="260" max="512" width="8.8984375" style="1517"/>
    <col min="513" max="513" width="8.5" style="1517" bestFit="1" customWidth="1"/>
    <col min="514" max="514" width="60.19921875" style="1517" customWidth="1"/>
    <col min="515" max="515" width="10.09765625" style="1517" customWidth="1"/>
    <col min="516" max="768" width="8.8984375" style="1517"/>
    <col min="769" max="769" width="8.5" style="1517" bestFit="1" customWidth="1"/>
    <col min="770" max="770" width="60.19921875" style="1517" customWidth="1"/>
    <col min="771" max="771" width="10.09765625" style="1517" customWidth="1"/>
    <col min="772" max="1024" width="8.8984375" style="1517"/>
    <col min="1025" max="1025" width="8.5" style="1517" bestFit="1" customWidth="1"/>
    <col min="1026" max="1026" width="60.19921875" style="1517" customWidth="1"/>
    <col min="1027" max="1027" width="10.09765625" style="1517" customWidth="1"/>
    <col min="1028" max="1280" width="8.8984375" style="1517"/>
    <col min="1281" max="1281" width="8.5" style="1517" bestFit="1" customWidth="1"/>
    <col min="1282" max="1282" width="60.19921875" style="1517" customWidth="1"/>
    <col min="1283" max="1283" width="10.09765625" style="1517" customWidth="1"/>
    <col min="1284" max="1536" width="8.8984375" style="1517"/>
    <col min="1537" max="1537" width="8.5" style="1517" bestFit="1" customWidth="1"/>
    <col min="1538" max="1538" width="60.19921875" style="1517" customWidth="1"/>
    <col min="1539" max="1539" width="10.09765625" style="1517" customWidth="1"/>
    <col min="1540" max="1792" width="8.8984375" style="1517"/>
    <col min="1793" max="1793" width="8.5" style="1517" bestFit="1" customWidth="1"/>
    <col min="1794" max="1794" width="60.19921875" style="1517" customWidth="1"/>
    <col min="1795" max="1795" width="10.09765625" style="1517" customWidth="1"/>
    <col min="1796" max="2048" width="8.8984375" style="1517"/>
    <col min="2049" max="2049" width="8.5" style="1517" bestFit="1" customWidth="1"/>
    <col min="2050" max="2050" width="60.19921875" style="1517" customWidth="1"/>
    <col min="2051" max="2051" width="10.09765625" style="1517" customWidth="1"/>
    <col min="2052" max="2304" width="8.8984375" style="1517"/>
    <col min="2305" max="2305" width="8.5" style="1517" bestFit="1" customWidth="1"/>
    <col min="2306" max="2306" width="60.19921875" style="1517" customWidth="1"/>
    <col min="2307" max="2307" width="10.09765625" style="1517" customWidth="1"/>
    <col min="2308" max="2560" width="8.8984375" style="1517"/>
    <col min="2561" max="2561" width="8.5" style="1517" bestFit="1" customWidth="1"/>
    <col min="2562" max="2562" width="60.19921875" style="1517" customWidth="1"/>
    <col min="2563" max="2563" width="10.09765625" style="1517" customWidth="1"/>
    <col min="2564" max="2816" width="8.8984375" style="1517"/>
    <col min="2817" max="2817" width="8.5" style="1517" bestFit="1" customWidth="1"/>
    <col min="2818" max="2818" width="60.19921875" style="1517" customWidth="1"/>
    <col min="2819" max="2819" width="10.09765625" style="1517" customWidth="1"/>
    <col min="2820" max="3072" width="8.8984375" style="1517"/>
    <col min="3073" max="3073" width="8.5" style="1517" bestFit="1" customWidth="1"/>
    <col min="3074" max="3074" width="60.19921875" style="1517" customWidth="1"/>
    <col min="3075" max="3075" width="10.09765625" style="1517" customWidth="1"/>
    <col min="3076" max="3328" width="8.8984375" style="1517"/>
    <col min="3329" max="3329" width="8.5" style="1517" bestFit="1" customWidth="1"/>
    <col min="3330" max="3330" width="60.19921875" style="1517" customWidth="1"/>
    <col min="3331" max="3331" width="10.09765625" style="1517" customWidth="1"/>
    <col min="3332" max="3584" width="8.8984375" style="1517"/>
    <col min="3585" max="3585" width="8.5" style="1517" bestFit="1" customWidth="1"/>
    <col min="3586" max="3586" width="60.19921875" style="1517" customWidth="1"/>
    <col min="3587" max="3587" width="10.09765625" style="1517" customWidth="1"/>
    <col min="3588" max="3840" width="8.8984375" style="1517"/>
    <col min="3841" max="3841" width="8.5" style="1517" bestFit="1" customWidth="1"/>
    <col min="3842" max="3842" width="60.19921875" style="1517" customWidth="1"/>
    <col min="3843" max="3843" width="10.09765625" style="1517" customWidth="1"/>
    <col min="3844" max="4096" width="8.8984375" style="1517"/>
    <col min="4097" max="4097" width="8.5" style="1517" bestFit="1" customWidth="1"/>
    <col min="4098" max="4098" width="60.19921875" style="1517" customWidth="1"/>
    <col min="4099" max="4099" width="10.09765625" style="1517" customWidth="1"/>
    <col min="4100" max="4352" width="8.8984375" style="1517"/>
    <col min="4353" max="4353" width="8.5" style="1517" bestFit="1" customWidth="1"/>
    <col min="4354" max="4354" width="60.19921875" style="1517" customWidth="1"/>
    <col min="4355" max="4355" width="10.09765625" style="1517" customWidth="1"/>
    <col min="4356" max="4608" width="8.8984375" style="1517"/>
    <col min="4609" max="4609" width="8.5" style="1517" bestFit="1" customWidth="1"/>
    <col min="4610" max="4610" width="60.19921875" style="1517" customWidth="1"/>
    <col min="4611" max="4611" width="10.09765625" style="1517" customWidth="1"/>
    <col min="4612" max="4864" width="8.8984375" style="1517"/>
    <col min="4865" max="4865" width="8.5" style="1517" bestFit="1" customWidth="1"/>
    <col min="4866" max="4866" width="60.19921875" style="1517" customWidth="1"/>
    <col min="4867" max="4867" width="10.09765625" style="1517" customWidth="1"/>
    <col min="4868" max="5120" width="8.8984375" style="1517"/>
    <col min="5121" max="5121" width="8.5" style="1517" bestFit="1" customWidth="1"/>
    <col min="5122" max="5122" width="60.19921875" style="1517" customWidth="1"/>
    <col min="5123" max="5123" width="10.09765625" style="1517" customWidth="1"/>
    <col min="5124" max="5376" width="8.8984375" style="1517"/>
    <col min="5377" max="5377" width="8.5" style="1517" bestFit="1" customWidth="1"/>
    <col min="5378" max="5378" width="60.19921875" style="1517" customWidth="1"/>
    <col min="5379" max="5379" width="10.09765625" style="1517" customWidth="1"/>
    <col min="5380" max="5632" width="8.8984375" style="1517"/>
    <col min="5633" max="5633" width="8.5" style="1517" bestFit="1" customWidth="1"/>
    <col min="5634" max="5634" width="60.19921875" style="1517" customWidth="1"/>
    <col min="5635" max="5635" width="10.09765625" style="1517" customWidth="1"/>
    <col min="5636" max="5888" width="8.8984375" style="1517"/>
    <col min="5889" max="5889" width="8.5" style="1517" bestFit="1" customWidth="1"/>
    <col min="5890" max="5890" width="60.19921875" style="1517" customWidth="1"/>
    <col min="5891" max="5891" width="10.09765625" style="1517" customWidth="1"/>
    <col min="5892" max="6144" width="8.8984375" style="1517"/>
    <col min="6145" max="6145" width="8.5" style="1517" bestFit="1" customWidth="1"/>
    <col min="6146" max="6146" width="60.19921875" style="1517" customWidth="1"/>
    <col min="6147" max="6147" width="10.09765625" style="1517" customWidth="1"/>
    <col min="6148" max="6400" width="8.8984375" style="1517"/>
    <col min="6401" max="6401" width="8.5" style="1517" bestFit="1" customWidth="1"/>
    <col min="6402" max="6402" width="60.19921875" style="1517" customWidth="1"/>
    <col min="6403" max="6403" width="10.09765625" style="1517" customWidth="1"/>
    <col min="6404" max="6656" width="8.8984375" style="1517"/>
    <col min="6657" max="6657" width="8.5" style="1517" bestFit="1" customWidth="1"/>
    <col min="6658" max="6658" width="60.19921875" style="1517" customWidth="1"/>
    <col min="6659" max="6659" width="10.09765625" style="1517" customWidth="1"/>
    <col min="6660" max="6912" width="8.8984375" style="1517"/>
    <col min="6913" max="6913" width="8.5" style="1517" bestFit="1" customWidth="1"/>
    <col min="6914" max="6914" width="60.19921875" style="1517" customWidth="1"/>
    <col min="6915" max="6915" width="10.09765625" style="1517" customWidth="1"/>
    <col min="6916" max="7168" width="8.8984375" style="1517"/>
    <col min="7169" max="7169" width="8.5" style="1517" bestFit="1" customWidth="1"/>
    <col min="7170" max="7170" width="60.19921875" style="1517" customWidth="1"/>
    <col min="7171" max="7171" width="10.09765625" style="1517" customWidth="1"/>
    <col min="7172" max="7424" width="8.8984375" style="1517"/>
    <col min="7425" max="7425" width="8.5" style="1517" bestFit="1" customWidth="1"/>
    <col min="7426" max="7426" width="60.19921875" style="1517" customWidth="1"/>
    <col min="7427" max="7427" width="10.09765625" style="1517" customWidth="1"/>
    <col min="7428" max="7680" width="8.8984375" style="1517"/>
    <col min="7681" max="7681" width="8.5" style="1517" bestFit="1" customWidth="1"/>
    <col min="7682" max="7682" width="60.19921875" style="1517" customWidth="1"/>
    <col min="7683" max="7683" width="10.09765625" style="1517" customWidth="1"/>
    <col min="7684" max="7936" width="8.8984375" style="1517"/>
    <col min="7937" max="7937" width="8.5" style="1517" bestFit="1" customWidth="1"/>
    <col min="7938" max="7938" width="60.19921875" style="1517" customWidth="1"/>
    <col min="7939" max="7939" width="10.09765625" style="1517" customWidth="1"/>
    <col min="7940" max="8192" width="8.8984375" style="1517"/>
    <col min="8193" max="8193" width="8.5" style="1517" bestFit="1" customWidth="1"/>
    <col min="8194" max="8194" width="60.19921875" style="1517" customWidth="1"/>
    <col min="8195" max="8195" width="10.09765625" style="1517" customWidth="1"/>
    <col min="8196" max="8448" width="8.8984375" style="1517"/>
    <col min="8449" max="8449" width="8.5" style="1517" bestFit="1" customWidth="1"/>
    <col min="8450" max="8450" width="60.19921875" style="1517" customWidth="1"/>
    <col min="8451" max="8451" width="10.09765625" style="1517" customWidth="1"/>
    <col min="8452" max="8704" width="8.8984375" style="1517"/>
    <col min="8705" max="8705" width="8.5" style="1517" bestFit="1" customWidth="1"/>
    <col min="8706" max="8706" width="60.19921875" style="1517" customWidth="1"/>
    <col min="8707" max="8707" width="10.09765625" style="1517" customWidth="1"/>
    <col min="8708" max="8960" width="8.8984375" style="1517"/>
    <col min="8961" max="8961" width="8.5" style="1517" bestFit="1" customWidth="1"/>
    <col min="8962" max="8962" width="60.19921875" style="1517" customWidth="1"/>
    <col min="8963" max="8963" width="10.09765625" style="1517" customWidth="1"/>
    <col min="8964" max="9216" width="8.8984375" style="1517"/>
    <col min="9217" max="9217" width="8.5" style="1517" bestFit="1" customWidth="1"/>
    <col min="9218" max="9218" width="60.19921875" style="1517" customWidth="1"/>
    <col min="9219" max="9219" width="10.09765625" style="1517" customWidth="1"/>
    <col min="9220" max="9472" width="8.8984375" style="1517"/>
    <col min="9473" max="9473" width="8.5" style="1517" bestFit="1" customWidth="1"/>
    <col min="9474" max="9474" width="60.19921875" style="1517" customWidth="1"/>
    <col min="9475" max="9475" width="10.09765625" style="1517" customWidth="1"/>
    <col min="9476" max="9728" width="8.8984375" style="1517"/>
    <col min="9729" max="9729" width="8.5" style="1517" bestFit="1" customWidth="1"/>
    <col min="9730" max="9730" width="60.19921875" style="1517" customWidth="1"/>
    <col min="9731" max="9731" width="10.09765625" style="1517" customWidth="1"/>
    <col min="9732" max="9984" width="8.8984375" style="1517"/>
    <col min="9985" max="9985" width="8.5" style="1517" bestFit="1" customWidth="1"/>
    <col min="9986" max="9986" width="60.19921875" style="1517" customWidth="1"/>
    <col min="9987" max="9987" width="10.09765625" style="1517" customWidth="1"/>
    <col min="9988" max="10240" width="8.8984375" style="1517"/>
    <col min="10241" max="10241" width="8.5" style="1517" bestFit="1" customWidth="1"/>
    <col min="10242" max="10242" width="60.19921875" style="1517" customWidth="1"/>
    <col min="10243" max="10243" width="10.09765625" style="1517" customWidth="1"/>
    <col min="10244" max="10496" width="8.8984375" style="1517"/>
    <col min="10497" max="10497" width="8.5" style="1517" bestFit="1" customWidth="1"/>
    <col min="10498" max="10498" width="60.19921875" style="1517" customWidth="1"/>
    <col min="10499" max="10499" width="10.09765625" style="1517" customWidth="1"/>
    <col min="10500" max="10752" width="8.8984375" style="1517"/>
    <col min="10753" max="10753" width="8.5" style="1517" bestFit="1" customWidth="1"/>
    <col min="10754" max="10754" width="60.19921875" style="1517" customWidth="1"/>
    <col min="10755" max="10755" width="10.09765625" style="1517" customWidth="1"/>
    <col min="10756" max="11008" width="8.8984375" style="1517"/>
    <col min="11009" max="11009" width="8.5" style="1517" bestFit="1" customWidth="1"/>
    <col min="11010" max="11010" width="60.19921875" style="1517" customWidth="1"/>
    <col min="11011" max="11011" width="10.09765625" style="1517" customWidth="1"/>
    <col min="11012" max="11264" width="8.8984375" style="1517"/>
    <col min="11265" max="11265" width="8.5" style="1517" bestFit="1" customWidth="1"/>
    <col min="11266" max="11266" width="60.19921875" style="1517" customWidth="1"/>
    <col min="11267" max="11267" width="10.09765625" style="1517" customWidth="1"/>
    <col min="11268" max="11520" width="8.8984375" style="1517"/>
    <col min="11521" max="11521" width="8.5" style="1517" bestFit="1" customWidth="1"/>
    <col min="11522" max="11522" width="60.19921875" style="1517" customWidth="1"/>
    <col min="11523" max="11523" width="10.09765625" style="1517" customWidth="1"/>
    <col min="11524" max="11776" width="8.8984375" style="1517"/>
    <col min="11777" max="11777" width="8.5" style="1517" bestFit="1" customWidth="1"/>
    <col min="11778" max="11778" width="60.19921875" style="1517" customWidth="1"/>
    <col min="11779" max="11779" width="10.09765625" style="1517" customWidth="1"/>
    <col min="11780" max="12032" width="8.8984375" style="1517"/>
    <col min="12033" max="12033" width="8.5" style="1517" bestFit="1" customWidth="1"/>
    <col min="12034" max="12034" width="60.19921875" style="1517" customWidth="1"/>
    <col min="12035" max="12035" width="10.09765625" style="1517" customWidth="1"/>
    <col min="12036" max="12288" width="8.8984375" style="1517"/>
    <col min="12289" max="12289" width="8.5" style="1517" bestFit="1" customWidth="1"/>
    <col min="12290" max="12290" width="60.19921875" style="1517" customWidth="1"/>
    <col min="12291" max="12291" width="10.09765625" style="1517" customWidth="1"/>
    <col min="12292" max="12544" width="8.8984375" style="1517"/>
    <col min="12545" max="12545" width="8.5" style="1517" bestFit="1" customWidth="1"/>
    <col min="12546" max="12546" width="60.19921875" style="1517" customWidth="1"/>
    <col min="12547" max="12547" width="10.09765625" style="1517" customWidth="1"/>
    <col min="12548" max="12800" width="8.8984375" style="1517"/>
    <col min="12801" max="12801" width="8.5" style="1517" bestFit="1" customWidth="1"/>
    <col min="12802" max="12802" width="60.19921875" style="1517" customWidth="1"/>
    <col min="12803" max="12803" width="10.09765625" style="1517" customWidth="1"/>
    <col min="12804" max="13056" width="8.8984375" style="1517"/>
    <col min="13057" max="13057" width="8.5" style="1517" bestFit="1" customWidth="1"/>
    <col min="13058" max="13058" width="60.19921875" style="1517" customWidth="1"/>
    <col min="13059" max="13059" width="10.09765625" style="1517" customWidth="1"/>
    <col min="13060" max="13312" width="8.8984375" style="1517"/>
    <col min="13313" max="13313" width="8.5" style="1517" bestFit="1" customWidth="1"/>
    <col min="13314" max="13314" width="60.19921875" style="1517" customWidth="1"/>
    <col min="13315" max="13315" width="10.09765625" style="1517" customWidth="1"/>
    <col min="13316" max="13568" width="8.8984375" style="1517"/>
    <col min="13569" max="13569" width="8.5" style="1517" bestFit="1" customWidth="1"/>
    <col min="13570" max="13570" width="60.19921875" style="1517" customWidth="1"/>
    <col min="13571" max="13571" width="10.09765625" style="1517" customWidth="1"/>
    <col min="13572" max="13824" width="8.8984375" style="1517"/>
    <col min="13825" max="13825" width="8.5" style="1517" bestFit="1" customWidth="1"/>
    <col min="13826" max="13826" width="60.19921875" style="1517" customWidth="1"/>
    <col min="13827" max="13827" width="10.09765625" style="1517" customWidth="1"/>
    <col min="13828" max="14080" width="8.8984375" style="1517"/>
    <col min="14081" max="14081" width="8.5" style="1517" bestFit="1" customWidth="1"/>
    <col min="14082" max="14082" width="60.19921875" style="1517" customWidth="1"/>
    <col min="14083" max="14083" width="10.09765625" style="1517" customWidth="1"/>
    <col min="14084" max="14336" width="8.8984375" style="1517"/>
    <col min="14337" max="14337" width="8.5" style="1517" bestFit="1" customWidth="1"/>
    <col min="14338" max="14338" width="60.19921875" style="1517" customWidth="1"/>
    <col min="14339" max="14339" width="10.09765625" style="1517" customWidth="1"/>
    <col min="14340" max="14592" width="8.8984375" style="1517"/>
    <col min="14593" max="14593" width="8.5" style="1517" bestFit="1" customWidth="1"/>
    <col min="14594" max="14594" width="60.19921875" style="1517" customWidth="1"/>
    <col min="14595" max="14595" width="10.09765625" style="1517" customWidth="1"/>
    <col min="14596" max="14848" width="8.8984375" style="1517"/>
    <col min="14849" max="14849" width="8.5" style="1517" bestFit="1" customWidth="1"/>
    <col min="14850" max="14850" width="60.19921875" style="1517" customWidth="1"/>
    <col min="14851" max="14851" width="10.09765625" style="1517" customWidth="1"/>
    <col min="14852" max="15104" width="8.8984375" style="1517"/>
    <col min="15105" max="15105" width="8.5" style="1517" bestFit="1" customWidth="1"/>
    <col min="15106" max="15106" width="60.19921875" style="1517" customWidth="1"/>
    <col min="15107" max="15107" width="10.09765625" style="1517" customWidth="1"/>
    <col min="15108" max="15360" width="8.8984375" style="1517"/>
    <col min="15361" max="15361" width="8.5" style="1517" bestFit="1" customWidth="1"/>
    <col min="15362" max="15362" width="60.19921875" style="1517" customWidth="1"/>
    <col min="15363" max="15363" width="10.09765625" style="1517" customWidth="1"/>
    <col min="15364" max="15616" width="8.8984375" style="1517"/>
    <col min="15617" max="15617" width="8.5" style="1517" bestFit="1" customWidth="1"/>
    <col min="15618" max="15618" width="60.19921875" style="1517" customWidth="1"/>
    <col min="15619" max="15619" width="10.09765625" style="1517" customWidth="1"/>
    <col min="15620" max="15872" width="8.8984375" style="1517"/>
    <col min="15873" max="15873" width="8.5" style="1517" bestFit="1" customWidth="1"/>
    <col min="15874" max="15874" width="60.19921875" style="1517" customWidth="1"/>
    <col min="15875" max="15875" width="10.09765625" style="1517" customWidth="1"/>
    <col min="15876" max="16128" width="8.8984375" style="1517"/>
    <col min="16129" max="16129" width="8.5" style="1517" bestFit="1" customWidth="1"/>
    <col min="16130" max="16130" width="60.19921875" style="1517" customWidth="1"/>
    <col min="16131" max="16131" width="10.09765625" style="1517" customWidth="1"/>
    <col min="16132" max="16384" width="8.8984375" style="1517"/>
  </cols>
  <sheetData>
    <row r="1" spans="1:7" ht="25.5" customHeight="1">
      <c r="A1" s="3902" t="s">
        <v>5970</v>
      </c>
      <c r="B1" s="3902"/>
      <c r="C1" s="3902"/>
    </row>
    <row r="2" spans="1:7" ht="23.25" customHeight="1">
      <c r="A2" s="2568" t="s">
        <v>7425</v>
      </c>
      <c r="B2" s="2568" t="s">
        <v>2474</v>
      </c>
      <c r="C2" s="2569" t="s">
        <v>2475</v>
      </c>
    </row>
    <row r="3" spans="1:7" ht="14.25" customHeight="1">
      <c r="A3" s="2569" t="s">
        <v>2557</v>
      </c>
      <c r="B3" s="2109" t="s">
        <v>2476</v>
      </c>
      <c r="C3" s="1997" t="s">
        <v>1077</v>
      </c>
    </row>
    <row r="4" spans="1:7" ht="14.25" customHeight="1">
      <c r="A4" s="2569" t="s">
        <v>2477</v>
      </c>
      <c r="B4" s="2109" t="s">
        <v>2478</v>
      </c>
      <c r="C4" s="1997" t="s">
        <v>1077</v>
      </c>
    </row>
    <row r="5" spans="1:7" ht="14.25" customHeight="1">
      <c r="A5" s="2569" t="s">
        <v>6600</v>
      </c>
      <c r="B5" s="2109" t="s">
        <v>2479</v>
      </c>
      <c r="C5" s="1997" t="str">
        <f>F5</f>
        <v>否</v>
      </c>
      <c r="F5" s="1517" t="str">
        <f>IF(OR(A101010一般企业收入明细表!C4&lt;&gt;0,A101010一般企业收入明细表!C19&lt;&gt;0),"是","否")</f>
        <v>否</v>
      </c>
      <c r="G5" s="1517" t="str">
        <f t="shared" ref="G5:G43" si="0">IF(F5="是","否","是")</f>
        <v>是</v>
      </c>
    </row>
    <row r="6" spans="1:7" ht="14.25" customHeight="1">
      <c r="A6" s="2569" t="s">
        <v>2480</v>
      </c>
      <c r="B6" s="2109" t="s">
        <v>2481</v>
      </c>
      <c r="C6" s="1997" t="str">
        <f t="shared" ref="C6:C48" si="1">F6</f>
        <v>否</v>
      </c>
      <c r="F6" s="1517" t="str">
        <f>IF(OR(A101020金融企业收入明细表!C4&lt;&gt;0,A101020金融企业收入明细表!C38&lt;&gt;0),"是","否")</f>
        <v>否</v>
      </c>
      <c r="G6" s="1517" t="str">
        <f t="shared" si="0"/>
        <v>是</v>
      </c>
    </row>
    <row r="7" spans="1:7" ht="14.25" customHeight="1">
      <c r="A7" s="2569" t="s">
        <v>2482</v>
      </c>
      <c r="B7" s="2109" t="s">
        <v>2483</v>
      </c>
      <c r="C7" s="1997" t="str">
        <f t="shared" si="1"/>
        <v>否</v>
      </c>
      <c r="F7" s="1517" t="str">
        <f>IF(OR(A102010一般企业成本支出明细表!C4&lt;&gt;0,A102010一般企业成本支出明细表!C19&lt;&gt;0),"是","否")</f>
        <v>否</v>
      </c>
      <c r="G7" s="1517" t="str">
        <f t="shared" si="0"/>
        <v>是</v>
      </c>
    </row>
    <row r="8" spans="1:7" ht="14.25" customHeight="1">
      <c r="A8" s="2569" t="s">
        <v>2484</v>
      </c>
      <c r="B8" s="2109" t="s">
        <v>2485</v>
      </c>
      <c r="C8" s="1997" t="str">
        <f t="shared" si="1"/>
        <v>否</v>
      </c>
      <c r="F8" s="1517" t="str">
        <f>IF(OR(A102020金融企业支出明细表!C4&lt;&gt;0,A102020金融企业支出明细表!C36&lt;&gt;0),"是","否")</f>
        <v>否</v>
      </c>
      <c r="G8" s="1517" t="str">
        <f t="shared" si="0"/>
        <v>是</v>
      </c>
    </row>
    <row r="9" spans="1:7" ht="14.25" customHeight="1">
      <c r="A9" s="2569" t="s">
        <v>2486</v>
      </c>
      <c r="B9" s="2109" t="s">
        <v>2487</v>
      </c>
      <c r="C9" s="1997"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69" t="s">
        <v>2488</v>
      </c>
      <c r="B10" s="2109" t="s">
        <v>2489</v>
      </c>
      <c r="C10" s="1997" t="str">
        <f t="shared" si="1"/>
        <v>否</v>
      </c>
      <c r="F10" s="1517" t="str">
        <f>IF(OR(A104000期间费用明细表!C29&lt;&gt;0,A104000期间费用明细表!E29&lt;&gt;0,A104000期间费用明细表!G29&lt;&gt;0),"是","否")</f>
        <v>否</v>
      </c>
      <c r="G10" s="1517" t="str">
        <f t="shared" si="0"/>
        <v>是</v>
      </c>
    </row>
    <row r="11" spans="1:7" ht="14.25" customHeight="1">
      <c r="A11" s="2569" t="s">
        <v>2490</v>
      </c>
      <c r="B11" s="2109" t="s">
        <v>2491</v>
      </c>
      <c r="C11" s="1997"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69" t="s">
        <v>2492</v>
      </c>
      <c r="B12" s="2109" t="s">
        <v>2493</v>
      </c>
      <c r="C12" s="1997"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69" t="s">
        <v>2494</v>
      </c>
      <c r="B13" s="2109" t="s">
        <v>2495</v>
      </c>
      <c r="C13" s="1997"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69" t="s">
        <v>2496</v>
      </c>
      <c r="B14" s="2109" t="s">
        <v>2497</v>
      </c>
      <c r="C14" s="1997"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69" t="s">
        <v>2498</v>
      </c>
      <c r="B15" s="2109" t="s">
        <v>2499</v>
      </c>
      <c r="C15" s="1997" t="str">
        <f t="shared" si="1"/>
        <v>否</v>
      </c>
      <c r="F15" s="1517" t="str">
        <f>IF(OR(A105040专项用途财政性资金纳税调整表!D13&lt;&gt;0,A105040专项用途财政性资金纳税调整表!L13&lt;&gt;0),"是","否")</f>
        <v>否</v>
      </c>
      <c r="G15" s="1517" t="str">
        <f t="shared" si="0"/>
        <v>是</v>
      </c>
    </row>
    <row r="16" spans="1:7" ht="14.25" customHeight="1">
      <c r="A16" s="2569" t="s">
        <v>2500</v>
      </c>
      <c r="B16" s="2109" t="s">
        <v>2501</v>
      </c>
      <c r="C16" s="1997" t="str">
        <f t="shared" si="1"/>
        <v>否</v>
      </c>
      <c r="F16" s="1517" t="str">
        <f>IF(A105050职工薪酬纳税调整明细表!C17&lt;&gt;0,"是","否")</f>
        <v>否</v>
      </c>
      <c r="G16" s="1517" t="str">
        <f t="shared" si="0"/>
        <v>是</v>
      </c>
    </row>
    <row r="17" spans="1:7" ht="14.25" customHeight="1">
      <c r="A17" s="2569" t="s">
        <v>2502</v>
      </c>
      <c r="B17" s="2109" t="s">
        <v>2503</v>
      </c>
      <c r="C17" s="1997"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69" t="s">
        <v>2504</v>
      </c>
      <c r="B18" s="2109" t="s">
        <v>2505</v>
      </c>
      <c r="C18" s="1997" t="str">
        <f t="shared" si="1"/>
        <v>否</v>
      </c>
      <c r="F18" s="1517" t="str">
        <f>IF(A105070捐赠支出纳税调整明细表!C25+A105070捐赠支出纳税调整明细表!G25&lt;&gt;0,"是","否")</f>
        <v>否</v>
      </c>
      <c r="G18" s="1517" t="str">
        <f t="shared" si="0"/>
        <v>是</v>
      </c>
    </row>
    <row r="19" spans="1:7" ht="14.25" customHeight="1">
      <c r="A19" s="2569" t="s">
        <v>2506</v>
      </c>
      <c r="B19" s="2109" t="s">
        <v>2507</v>
      </c>
      <c r="C19" s="1997"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69" t="s">
        <v>2508</v>
      </c>
      <c r="B20" s="2109" t="s">
        <v>2509</v>
      </c>
      <c r="C20" s="1997"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69" t="s">
        <v>2510</v>
      </c>
      <c r="B21" s="2109" t="s">
        <v>2511</v>
      </c>
      <c r="C21" s="1997"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69" t="s">
        <v>2512</v>
      </c>
      <c r="B22" s="2109" t="s">
        <v>2513</v>
      </c>
      <c r="C22" s="1997"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69" t="s">
        <v>2514</v>
      </c>
      <c r="B23" s="2109" t="s">
        <v>2515</v>
      </c>
      <c r="C23" s="1997"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69" t="s">
        <v>2516</v>
      </c>
      <c r="B24" s="2109" t="s">
        <v>2517</v>
      </c>
      <c r="C24" s="1997"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69" t="s">
        <v>2518</v>
      </c>
      <c r="B25" s="2109" t="s">
        <v>2519</v>
      </c>
      <c r="C25" s="1997" t="str">
        <f t="shared" si="1"/>
        <v>否</v>
      </c>
      <c r="F25" s="1517" t="str">
        <f>IF(A105120特殊行业准备金纳税调整明细表!C34&lt;&gt;0,"是","否")</f>
        <v>否</v>
      </c>
      <c r="G25" s="1517" t="str">
        <f t="shared" si="0"/>
        <v>是</v>
      </c>
    </row>
    <row r="26" spans="1:7" ht="14.25" customHeight="1">
      <c r="A26" s="2569" t="s">
        <v>2520</v>
      </c>
      <c r="B26" s="2109" t="s">
        <v>2521</v>
      </c>
      <c r="C26" s="1997" t="s">
        <v>1077</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69" t="s">
        <v>2522</v>
      </c>
      <c r="B27" s="2109" t="s">
        <v>2523</v>
      </c>
      <c r="C27" s="1997" t="str">
        <f t="shared" si="1"/>
        <v>否</v>
      </c>
      <c r="F27" s="1517" t="str">
        <f>IF(A107010免税、减计收入及加计扣除优惠明细表!C30&lt;&gt;0,"是","否")</f>
        <v>否</v>
      </c>
      <c r="G27" s="1517" t="str">
        <f t="shared" si="0"/>
        <v>是</v>
      </c>
    </row>
    <row r="28" spans="1:7" ht="14.25" customHeight="1">
      <c r="A28" s="2569" t="s">
        <v>2524</v>
      </c>
      <c r="B28" s="2570" t="s">
        <v>2525</v>
      </c>
      <c r="C28" s="1997" t="str">
        <f t="shared" si="1"/>
        <v>否</v>
      </c>
      <c r="F28" s="1517" t="str">
        <f>IF(SUM(A107011股息红利优惠明细表!B6:B14)&lt;&gt;0,"是","否")</f>
        <v>否</v>
      </c>
      <c r="G28" s="1517" t="str">
        <f t="shared" si="0"/>
        <v>是</v>
      </c>
    </row>
    <row r="29" spans="1:7" ht="14.25" customHeight="1">
      <c r="A29" s="2569" t="s">
        <v>2526</v>
      </c>
      <c r="B29" s="2109" t="s">
        <v>2527</v>
      </c>
      <c r="C29" s="1997" t="str">
        <f t="shared" si="1"/>
        <v>否</v>
      </c>
      <c r="F29" s="1517" t="str">
        <f>IF(SUM(A107012综合利用资源生产产品取得的收入优惠明细表!B6:B14)&lt;&gt;0,"是","否")</f>
        <v>否</v>
      </c>
      <c r="G29" s="1517" t="str">
        <f t="shared" si="0"/>
        <v>是</v>
      </c>
    </row>
    <row r="30" spans="1:7" ht="14.25" customHeight="1">
      <c r="A30" s="2569" t="s">
        <v>2528</v>
      </c>
      <c r="B30" s="2109" t="s">
        <v>2529</v>
      </c>
      <c r="C30" s="1997"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69" t="s">
        <v>2530</v>
      </c>
      <c r="B31" s="2109" t="s">
        <v>2531</v>
      </c>
      <c r="C31" s="1997" t="str">
        <f t="shared" si="1"/>
        <v>否</v>
      </c>
      <c r="F31" s="1517" t="str">
        <f>IF(SUM(A107014研发费用加计扣除优惠明细表!T15)&lt;&gt;0,"是","否")</f>
        <v>否</v>
      </c>
      <c r="G31" s="1517" t="str">
        <f t="shared" si="0"/>
        <v>是</v>
      </c>
    </row>
    <row r="32" spans="1:7" ht="14.25" customHeight="1">
      <c r="A32" s="2569" t="s">
        <v>2532</v>
      </c>
      <c r="B32" s="2109" t="s">
        <v>2533</v>
      </c>
      <c r="C32" s="1997"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69" t="s">
        <v>2534</v>
      </c>
      <c r="B33" s="2109" t="s">
        <v>2535</v>
      </c>
      <c r="C33" s="1997" t="str">
        <f t="shared" si="1"/>
        <v>否</v>
      </c>
      <c r="F33" s="1517" t="str">
        <f>IF(OR(A107030抵扣应纳税所得额明细表!C9&lt;&gt;0,A107030抵扣应纳税所得额明细表!C17&lt;&gt;0),"是","否")</f>
        <v>否</v>
      </c>
      <c r="G33" s="1517" t="str">
        <f t="shared" si="0"/>
        <v>是</v>
      </c>
    </row>
    <row r="34" spans="1:7" ht="14.25" customHeight="1">
      <c r="A34" s="2569" t="s">
        <v>2536</v>
      </c>
      <c r="B34" s="2109" t="s">
        <v>2537</v>
      </c>
      <c r="C34" s="1997" t="str">
        <f t="shared" si="1"/>
        <v>否</v>
      </c>
      <c r="F34" s="1517" t="str">
        <f>IF(A107040减免所得税优惠明细表!D53&lt;&gt;0,"是","否")</f>
        <v>否</v>
      </c>
      <c r="G34" s="1517" t="str">
        <f t="shared" si="0"/>
        <v>是</v>
      </c>
    </row>
    <row r="35" spans="1:7" ht="14.25" customHeight="1">
      <c r="A35" s="2569" t="s">
        <v>2538</v>
      </c>
      <c r="B35" s="2109" t="s">
        <v>2539</v>
      </c>
      <c r="C35" s="1997" t="str">
        <f t="shared" si="1"/>
        <v>否</v>
      </c>
      <c r="F35" s="1517" t="str">
        <f>IF(A107041高新技术企业优惠情况及明细表!D4&lt;&gt;0,"是","否")</f>
        <v>否</v>
      </c>
      <c r="G35" s="1517" t="str">
        <f t="shared" si="0"/>
        <v>是</v>
      </c>
    </row>
    <row r="36" spans="1:7" ht="14.25" customHeight="1">
      <c r="A36" s="2569" t="s">
        <v>2540</v>
      </c>
      <c r="B36" s="2109" t="s">
        <v>2541</v>
      </c>
      <c r="C36" s="1997" t="str">
        <f t="shared" si="1"/>
        <v>否</v>
      </c>
      <c r="F36" s="1517" t="str">
        <f>IF(SUM(A107042软件、集成电路企业优惠情况及明细表!E6:E10)&lt;&gt;0,"是","否")</f>
        <v>否</v>
      </c>
      <c r="G36" s="1517" t="str">
        <f t="shared" si="0"/>
        <v>是</v>
      </c>
    </row>
    <row r="37" spans="1:7" ht="14.25" customHeight="1">
      <c r="A37" s="2569" t="s">
        <v>2542</v>
      </c>
      <c r="B37" s="2109" t="s">
        <v>2543</v>
      </c>
      <c r="C37" s="1997" t="str">
        <f t="shared" si="1"/>
        <v>否</v>
      </c>
      <c r="F37" s="1517" t="str">
        <f>IF(SUM(A107050税额抵免优惠明细表!E6:E11)&lt;&gt;0,"是","否")</f>
        <v>否</v>
      </c>
      <c r="G37" s="1517" t="str">
        <f t="shared" si="0"/>
        <v>是</v>
      </c>
    </row>
    <row r="38" spans="1:7" ht="14.25" customHeight="1">
      <c r="A38" s="2569" t="s">
        <v>2544</v>
      </c>
      <c r="B38" s="2109" t="s">
        <v>2545</v>
      </c>
      <c r="C38" s="1997" t="str">
        <f t="shared" si="1"/>
        <v>否</v>
      </c>
      <c r="F38" s="1517" t="str">
        <f>IF(SUM(A108000境外所得税收抵免明细表!B6:B14)&lt;&gt;0,"是","否")</f>
        <v>否</v>
      </c>
      <c r="G38" s="1517" t="str">
        <f t="shared" si="0"/>
        <v>是</v>
      </c>
    </row>
    <row r="39" spans="1:7" ht="14.25" customHeight="1">
      <c r="A39" s="2569" t="s">
        <v>2546</v>
      </c>
      <c r="B39" s="2570" t="s">
        <v>2547</v>
      </c>
      <c r="C39" s="1997" t="str">
        <f t="shared" si="1"/>
        <v>否</v>
      </c>
      <c r="F39" s="1517" t="str">
        <f>IF(SUM(A108010境外所得纳税调整后所得明细表!B6:B14)&lt;&gt;0,"是","否")</f>
        <v>否</v>
      </c>
      <c r="G39" s="1517" t="str">
        <f t="shared" si="0"/>
        <v>是</v>
      </c>
    </row>
    <row r="40" spans="1:7" ht="14.25" customHeight="1">
      <c r="A40" s="2569" t="s">
        <v>2548</v>
      </c>
      <c r="B40" s="2109" t="s">
        <v>2549</v>
      </c>
      <c r="C40" s="1997" t="str">
        <f t="shared" si="1"/>
        <v>否</v>
      </c>
      <c r="F40" s="1517" t="str">
        <f>IF(SUM(A108020境外分支机构弥补亏损明细表!B9:B17)&lt;&gt;0,"是","否")</f>
        <v>否</v>
      </c>
      <c r="G40" s="1517" t="str">
        <f t="shared" si="0"/>
        <v>是</v>
      </c>
    </row>
    <row r="41" spans="1:7" ht="14.25" customHeight="1">
      <c r="A41" s="2569" t="s">
        <v>2550</v>
      </c>
      <c r="B41" s="2109" t="s">
        <v>2551</v>
      </c>
      <c r="C41" s="1997" t="str">
        <f t="shared" si="1"/>
        <v>否</v>
      </c>
      <c r="F41" s="1517" t="str">
        <f>IF(SUM(A108030跨年度结转抵免境外所得税明细表!B6:B14)&lt;&gt;0,"是","否")</f>
        <v>否</v>
      </c>
      <c r="G41" s="1517" t="str">
        <f t="shared" si="0"/>
        <v>是</v>
      </c>
    </row>
    <row r="42" spans="1:7" ht="14.25" customHeight="1">
      <c r="A42" s="2569" t="s">
        <v>2552</v>
      </c>
      <c r="B42" s="2109" t="s">
        <v>2553</v>
      </c>
      <c r="C42" s="1997"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69" t="s">
        <v>2554</v>
      </c>
      <c r="B43" s="2110" t="s">
        <v>2555</v>
      </c>
      <c r="C43" s="1997"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ht="14.25" customHeight="1">
      <c r="A44" s="2569"/>
      <c r="B44" s="2110" t="s">
        <v>10288</v>
      </c>
      <c r="C44" s="1997" t="str">
        <f t="shared" si="1"/>
        <v>否</v>
      </c>
      <c r="F44" s="1517" t="s">
        <v>413</v>
      </c>
    </row>
    <row r="45" spans="1:7" ht="14.25" customHeight="1">
      <c r="A45" s="2569"/>
      <c r="B45" s="2110" t="s">
        <v>7420</v>
      </c>
      <c r="C45" s="1997" t="str">
        <f t="shared" si="1"/>
        <v>否</v>
      </c>
      <c r="F45" s="1517" t="s">
        <v>413</v>
      </c>
    </row>
    <row r="46" spans="1:7" ht="14.25" customHeight="1">
      <c r="A46" s="2569"/>
      <c r="B46" s="2110" t="s">
        <v>10289</v>
      </c>
      <c r="C46" s="1997" t="str">
        <f t="shared" si="1"/>
        <v>否</v>
      </c>
      <c r="F46" s="1517" t="s">
        <v>413</v>
      </c>
    </row>
    <row r="47" spans="1:7" ht="14.25" customHeight="1">
      <c r="A47" s="2569"/>
      <c r="B47" s="2110" t="s">
        <v>10292</v>
      </c>
      <c r="C47" s="1997" t="str">
        <f t="shared" si="1"/>
        <v>否</v>
      </c>
      <c r="F47" s="1517" t="s">
        <v>413</v>
      </c>
    </row>
    <row r="48" spans="1:7" ht="14.25" customHeight="1">
      <c r="A48" s="2569"/>
      <c r="B48" s="2691" t="s">
        <v>10291</v>
      </c>
      <c r="C48" s="1997" t="str">
        <f t="shared" si="1"/>
        <v>否</v>
      </c>
      <c r="F48" s="1517" t="str">
        <f>IF(研发项目可加计扣除研究开发费用情况归集表!D79&lt;&gt;0,"是","否")</f>
        <v>否</v>
      </c>
    </row>
    <row r="49" spans="1:3" ht="14.25" customHeight="1">
      <c r="A49" s="3498" t="s">
        <v>2556</v>
      </c>
      <c r="B49" s="3498"/>
      <c r="C49" s="3498"/>
    </row>
  </sheetData>
  <dataConsolidate/>
  <mergeCells count="2">
    <mergeCell ref="A1:C1"/>
    <mergeCell ref="A49:C49"/>
  </mergeCells>
  <phoneticPr fontId="51" type="noConversion"/>
  <dataValidations count="40">
    <dataValidation type="list" allowBlank="1" showInputMessage="1" showErrorMessage="1" sqref="WVK983050:WVK983088 IY5:IY48 SU5:SU48 ACQ5:ACQ48 AMM5:AMM48 AWI5:AWI48 BGE5:BGE48 BQA5:BQA48 BZW5:BZW48 CJS5:CJS48 CTO5:CTO48 DDK5:DDK48 DNG5:DNG48 DXC5:DXC48 EGY5:EGY48 EQU5:EQU48 FAQ5:FAQ48 FKM5:FKM48 FUI5:FUI48 GEE5:GEE48 GOA5:GOA48 GXW5:GXW48 HHS5:HHS48 HRO5:HRO48 IBK5:IBK48 ILG5:ILG48 IVC5:IVC48 JEY5:JEY48 JOU5:JOU48 JYQ5:JYQ48 KIM5:KIM48 KSI5:KSI48 LCE5:LCE48 LMA5:LMA48 LVW5:LVW48 MFS5:MFS48 MPO5:MPO48 MZK5:MZK48 NJG5:NJG48 NTC5:NTC48 OCY5:OCY48 OMU5:OMU48 OWQ5:OWQ48 PGM5:PGM48 PQI5:PQI48 QAE5:QAE48 QKA5:QKA48 QTW5:QTW48 RDS5:RDS48 RNO5:RNO48 RXK5:RXK48 SHG5:SHG48 SRC5:SRC48 TAY5:TAY48 TKU5:TKU48 TUQ5:TUQ48 UEM5:UEM48 UOI5:UOI48 UYE5:UYE48 VIA5:VIA48 VRW5:VRW48 WBS5:WBS48 WLO5:WLO48 WVK5:WVK48 C65546:C65584 IY65546:IY65584 SU65546:SU65584 ACQ65546:ACQ65584 AMM65546:AMM65584 AWI65546:AWI65584 BGE65546:BGE65584 BQA65546:BQA65584 BZW65546:BZW65584 CJS65546:CJS65584 CTO65546:CTO65584 DDK65546:DDK65584 DNG65546:DNG65584 DXC65546:DXC65584 EGY65546:EGY65584 EQU65546:EQU65584 FAQ65546:FAQ65584 FKM65546:FKM65584 FUI65546:FUI65584 GEE65546:GEE65584 GOA65546:GOA65584 GXW65546:GXW65584 HHS65546:HHS65584 HRO65546:HRO65584 IBK65546:IBK65584 ILG65546:ILG65584 IVC65546:IVC65584 JEY65546:JEY65584 JOU65546:JOU65584 JYQ65546:JYQ65584 KIM65546:KIM65584 KSI65546:KSI65584 LCE65546:LCE65584 LMA65546:LMA65584 LVW65546:LVW65584 MFS65546:MFS65584 MPO65546:MPO65584 MZK65546:MZK65584 NJG65546:NJG65584 NTC65546:NTC65584 OCY65546:OCY65584 OMU65546:OMU65584 OWQ65546:OWQ65584 PGM65546:PGM65584 PQI65546:PQI65584 QAE65546:QAE65584 QKA65546:QKA65584 QTW65546:QTW65584 RDS65546:RDS65584 RNO65546:RNO65584 RXK65546:RXK65584 SHG65546:SHG65584 SRC65546:SRC65584 TAY65546:TAY65584 TKU65546:TKU65584 TUQ65546:TUQ65584 UEM65546:UEM65584 UOI65546:UOI65584 UYE65546:UYE65584 VIA65546:VIA65584 VRW65546:VRW65584 WBS65546:WBS65584 WLO65546:WLO65584 WVK65546:WVK65584 C131082:C131120 IY131082:IY131120 SU131082:SU131120 ACQ131082:ACQ131120 AMM131082:AMM131120 AWI131082:AWI131120 BGE131082:BGE131120 BQA131082:BQA131120 BZW131082:BZW131120 CJS131082:CJS131120 CTO131082:CTO131120 DDK131082:DDK131120 DNG131082:DNG131120 DXC131082:DXC131120 EGY131082:EGY131120 EQU131082:EQU131120 FAQ131082:FAQ131120 FKM131082:FKM131120 FUI131082:FUI131120 GEE131082:GEE131120 GOA131082:GOA131120 GXW131082:GXW131120 HHS131082:HHS131120 HRO131082:HRO131120 IBK131082:IBK131120 ILG131082:ILG131120 IVC131082:IVC131120 JEY131082:JEY131120 JOU131082:JOU131120 JYQ131082:JYQ131120 KIM131082:KIM131120 KSI131082:KSI131120 LCE131082:LCE131120 LMA131082:LMA131120 LVW131082:LVW131120 MFS131082:MFS131120 MPO131082:MPO131120 MZK131082:MZK131120 NJG131082:NJG131120 NTC131082:NTC131120 OCY131082:OCY131120 OMU131082:OMU131120 OWQ131082:OWQ131120 PGM131082:PGM131120 PQI131082:PQI131120 QAE131082:QAE131120 QKA131082:QKA131120 QTW131082:QTW131120 RDS131082:RDS131120 RNO131082:RNO131120 RXK131082:RXK131120 SHG131082:SHG131120 SRC131082:SRC131120 TAY131082:TAY131120 TKU131082:TKU131120 TUQ131082:TUQ131120 UEM131082:UEM131120 UOI131082:UOI131120 UYE131082:UYE131120 VIA131082:VIA131120 VRW131082:VRW131120 WBS131082:WBS131120 WLO131082:WLO131120 WVK131082:WVK131120 C196618:C196656 IY196618:IY196656 SU196618:SU196656 ACQ196618:ACQ196656 AMM196618:AMM196656 AWI196618:AWI196656 BGE196618:BGE196656 BQA196618:BQA196656 BZW196618:BZW196656 CJS196618:CJS196656 CTO196618:CTO196656 DDK196618:DDK196656 DNG196618:DNG196656 DXC196618:DXC196656 EGY196618:EGY196656 EQU196618:EQU196656 FAQ196618:FAQ196656 FKM196618:FKM196656 FUI196618:FUI196656 GEE196618:GEE196656 GOA196618:GOA196656 GXW196618:GXW196656 HHS196618:HHS196656 HRO196618:HRO196656 IBK196618:IBK196656 ILG196618:ILG196656 IVC196618:IVC196656 JEY196618:JEY196656 JOU196618:JOU196656 JYQ196618:JYQ196656 KIM196618:KIM196656 KSI196618:KSI196656 LCE196618:LCE196656 LMA196618:LMA196656 LVW196618:LVW196656 MFS196618:MFS196656 MPO196618:MPO196656 MZK196618:MZK196656 NJG196618:NJG196656 NTC196618:NTC196656 OCY196618:OCY196656 OMU196618:OMU196656 OWQ196618:OWQ196656 PGM196618:PGM196656 PQI196618:PQI196656 QAE196618:QAE196656 QKA196618:QKA196656 QTW196618:QTW196656 RDS196618:RDS196656 RNO196618:RNO196656 RXK196618:RXK196656 SHG196618:SHG196656 SRC196618:SRC196656 TAY196618:TAY196656 TKU196618:TKU196656 TUQ196618:TUQ196656 UEM196618:UEM196656 UOI196618:UOI196656 UYE196618:UYE196656 VIA196618:VIA196656 VRW196618:VRW196656 WBS196618:WBS196656 WLO196618:WLO196656 WVK196618:WVK196656 C262154:C262192 IY262154:IY262192 SU262154:SU262192 ACQ262154:ACQ262192 AMM262154:AMM262192 AWI262154:AWI262192 BGE262154:BGE262192 BQA262154:BQA262192 BZW262154:BZW262192 CJS262154:CJS262192 CTO262154:CTO262192 DDK262154:DDK262192 DNG262154:DNG262192 DXC262154:DXC262192 EGY262154:EGY262192 EQU262154:EQU262192 FAQ262154:FAQ262192 FKM262154:FKM262192 FUI262154:FUI262192 GEE262154:GEE262192 GOA262154:GOA262192 GXW262154:GXW262192 HHS262154:HHS262192 HRO262154:HRO262192 IBK262154:IBK262192 ILG262154:ILG262192 IVC262154:IVC262192 JEY262154:JEY262192 JOU262154:JOU262192 JYQ262154:JYQ262192 KIM262154:KIM262192 KSI262154:KSI262192 LCE262154:LCE262192 LMA262154:LMA262192 LVW262154:LVW262192 MFS262154:MFS262192 MPO262154:MPO262192 MZK262154:MZK262192 NJG262154:NJG262192 NTC262154:NTC262192 OCY262154:OCY262192 OMU262154:OMU262192 OWQ262154:OWQ262192 PGM262154:PGM262192 PQI262154:PQI262192 QAE262154:QAE262192 QKA262154:QKA262192 QTW262154:QTW262192 RDS262154:RDS262192 RNO262154:RNO262192 RXK262154:RXK262192 SHG262154:SHG262192 SRC262154:SRC262192 TAY262154:TAY262192 TKU262154:TKU262192 TUQ262154:TUQ262192 UEM262154:UEM262192 UOI262154:UOI262192 UYE262154:UYE262192 VIA262154:VIA262192 VRW262154:VRW262192 WBS262154:WBS262192 WLO262154:WLO262192 WVK262154:WVK262192 C327690:C327728 IY327690:IY327728 SU327690:SU327728 ACQ327690:ACQ327728 AMM327690:AMM327728 AWI327690:AWI327728 BGE327690:BGE327728 BQA327690:BQA327728 BZW327690:BZW327728 CJS327690:CJS327728 CTO327690:CTO327728 DDK327690:DDK327728 DNG327690:DNG327728 DXC327690:DXC327728 EGY327690:EGY327728 EQU327690:EQU327728 FAQ327690:FAQ327728 FKM327690:FKM327728 FUI327690:FUI327728 GEE327690:GEE327728 GOA327690:GOA327728 GXW327690:GXW327728 HHS327690:HHS327728 HRO327690:HRO327728 IBK327690:IBK327728 ILG327690:ILG327728 IVC327690:IVC327728 JEY327690:JEY327728 JOU327690:JOU327728 JYQ327690:JYQ327728 KIM327690:KIM327728 KSI327690:KSI327728 LCE327690:LCE327728 LMA327690:LMA327728 LVW327690:LVW327728 MFS327690:MFS327728 MPO327690:MPO327728 MZK327690:MZK327728 NJG327690:NJG327728 NTC327690:NTC327728 OCY327690:OCY327728 OMU327690:OMU327728 OWQ327690:OWQ327728 PGM327690:PGM327728 PQI327690:PQI327728 QAE327690:QAE327728 QKA327690:QKA327728 QTW327690:QTW327728 RDS327690:RDS327728 RNO327690:RNO327728 RXK327690:RXK327728 SHG327690:SHG327728 SRC327690:SRC327728 TAY327690:TAY327728 TKU327690:TKU327728 TUQ327690:TUQ327728 UEM327690:UEM327728 UOI327690:UOI327728 UYE327690:UYE327728 VIA327690:VIA327728 VRW327690:VRW327728 WBS327690:WBS327728 WLO327690:WLO327728 WVK327690:WVK327728 C393226:C393264 IY393226:IY393264 SU393226:SU393264 ACQ393226:ACQ393264 AMM393226:AMM393264 AWI393226:AWI393264 BGE393226:BGE393264 BQA393226:BQA393264 BZW393226:BZW393264 CJS393226:CJS393264 CTO393226:CTO393264 DDK393226:DDK393264 DNG393226:DNG393264 DXC393226:DXC393264 EGY393226:EGY393264 EQU393226:EQU393264 FAQ393226:FAQ393264 FKM393226:FKM393264 FUI393226:FUI393264 GEE393226:GEE393264 GOA393226:GOA393264 GXW393226:GXW393264 HHS393226:HHS393264 HRO393226:HRO393264 IBK393226:IBK393264 ILG393226:ILG393264 IVC393226:IVC393264 JEY393226:JEY393264 JOU393226:JOU393264 JYQ393226:JYQ393264 KIM393226:KIM393264 KSI393226:KSI393264 LCE393226:LCE393264 LMA393226:LMA393264 LVW393226:LVW393264 MFS393226:MFS393264 MPO393226:MPO393264 MZK393226:MZK393264 NJG393226:NJG393264 NTC393226:NTC393264 OCY393226:OCY393264 OMU393226:OMU393264 OWQ393226:OWQ393264 PGM393226:PGM393264 PQI393226:PQI393264 QAE393226:QAE393264 QKA393226:QKA393264 QTW393226:QTW393264 RDS393226:RDS393264 RNO393226:RNO393264 RXK393226:RXK393264 SHG393226:SHG393264 SRC393226:SRC393264 TAY393226:TAY393264 TKU393226:TKU393264 TUQ393226:TUQ393264 UEM393226:UEM393264 UOI393226:UOI393264 UYE393226:UYE393264 VIA393226:VIA393264 VRW393226:VRW393264 WBS393226:WBS393264 WLO393226:WLO393264 WVK393226:WVK393264 C458762:C458800 IY458762:IY458800 SU458762:SU458800 ACQ458762:ACQ458800 AMM458762:AMM458800 AWI458762:AWI458800 BGE458762:BGE458800 BQA458762:BQA458800 BZW458762:BZW458800 CJS458762:CJS458800 CTO458762:CTO458800 DDK458762:DDK458800 DNG458762:DNG458800 DXC458762:DXC458800 EGY458762:EGY458800 EQU458762:EQU458800 FAQ458762:FAQ458800 FKM458762:FKM458800 FUI458762:FUI458800 GEE458762:GEE458800 GOA458762:GOA458800 GXW458762:GXW458800 HHS458762:HHS458800 HRO458762:HRO458800 IBK458762:IBK458800 ILG458762:ILG458800 IVC458762:IVC458800 JEY458762:JEY458800 JOU458762:JOU458800 JYQ458762:JYQ458800 KIM458762:KIM458800 KSI458762:KSI458800 LCE458762:LCE458800 LMA458762:LMA458800 LVW458762:LVW458800 MFS458762:MFS458800 MPO458762:MPO458800 MZK458762:MZK458800 NJG458762:NJG458800 NTC458762:NTC458800 OCY458762:OCY458800 OMU458762:OMU458800 OWQ458762:OWQ458800 PGM458762:PGM458800 PQI458762:PQI458800 QAE458762:QAE458800 QKA458762:QKA458800 QTW458762:QTW458800 RDS458762:RDS458800 RNO458762:RNO458800 RXK458762:RXK458800 SHG458762:SHG458800 SRC458762:SRC458800 TAY458762:TAY458800 TKU458762:TKU458800 TUQ458762:TUQ458800 UEM458762:UEM458800 UOI458762:UOI458800 UYE458762:UYE458800 VIA458762:VIA458800 VRW458762:VRW458800 WBS458762:WBS458800 WLO458762:WLO458800 WVK458762:WVK458800 C524298:C524336 IY524298:IY524336 SU524298:SU524336 ACQ524298:ACQ524336 AMM524298:AMM524336 AWI524298:AWI524336 BGE524298:BGE524336 BQA524298:BQA524336 BZW524298:BZW524336 CJS524298:CJS524336 CTO524298:CTO524336 DDK524298:DDK524336 DNG524298:DNG524336 DXC524298:DXC524336 EGY524298:EGY524336 EQU524298:EQU524336 FAQ524298:FAQ524336 FKM524298:FKM524336 FUI524298:FUI524336 GEE524298:GEE524336 GOA524298:GOA524336 GXW524298:GXW524336 HHS524298:HHS524336 HRO524298:HRO524336 IBK524298:IBK524336 ILG524298:ILG524336 IVC524298:IVC524336 JEY524298:JEY524336 JOU524298:JOU524336 JYQ524298:JYQ524336 KIM524298:KIM524336 KSI524298:KSI524336 LCE524298:LCE524336 LMA524298:LMA524336 LVW524298:LVW524336 MFS524298:MFS524336 MPO524298:MPO524336 MZK524298:MZK524336 NJG524298:NJG524336 NTC524298:NTC524336 OCY524298:OCY524336 OMU524298:OMU524336 OWQ524298:OWQ524336 PGM524298:PGM524336 PQI524298:PQI524336 QAE524298:QAE524336 QKA524298:QKA524336 QTW524298:QTW524336 RDS524298:RDS524336 RNO524298:RNO524336 RXK524298:RXK524336 SHG524298:SHG524336 SRC524298:SRC524336 TAY524298:TAY524336 TKU524298:TKU524336 TUQ524298:TUQ524336 UEM524298:UEM524336 UOI524298:UOI524336 UYE524298:UYE524336 VIA524298:VIA524336 VRW524298:VRW524336 WBS524298:WBS524336 WLO524298:WLO524336 WVK524298:WVK524336 C589834:C589872 IY589834:IY589872 SU589834:SU589872 ACQ589834:ACQ589872 AMM589834:AMM589872 AWI589834:AWI589872 BGE589834:BGE589872 BQA589834:BQA589872 BZW589834:BZW589872 CJS589834:CJS589872 CTO589834:CTO589872 DDK589834:DDK589872 DNG589834:DNG589872 DXC589834:DXC589872 EGY589834:EGY589872 EQU589834:EQU589872 FAQ589834:FAQ589872 FKM589834:FKM589872 FUI589834:FUI589872 GEE589834:GEE589872 GOA589834:GOA589872 GXW589834:GXW589872 HHS589834:HHS589872 HRO589834:HRO589872 IBK589834:IBK589872 ILG589834:ILG589872 IVC589834:IVC589872 JEY589834:JEY589872 JOU589834:JOU589872 JYQ589834:JYQ589872 KIM589834:KIM589872 KSI589834:KSI589872 LCE589834:LCE589872 LMA589834:LMA589872 LVW589834:LVW589872 MFS589834:MFS589872 MPO589834:MPO589872 MZK589834:MZK589872 NJG589834:NJG589872 NTC589834:NTC589872 OCY589834:OCY589872 OMU589834:OMU589872 OWQ589834:OWQ589872 PGM589834:PGM589872 PQI589834:PQI589872 QAE589834:QAE589872 QKA589834:QKA589872 QTW589834:QTW589872 RDS589834:RDS589872 RNO589834:RNO589872 RXK589834:RXK589872 SHG589834:SHG589872 SRC589834:SRC589872 TAY589834:TAY589872 TKU589834:TKU589872 TUQ589834:TUQ589872 UEM589834:UEM589872 UOI589834:UOI589872 UYE589834:UYE589872 VIA589834:VIA589872 VRW589834:VRW589872 WBS589834:WBS589872 WLO589834:WLO589872 WVK589834:WVK589872 C655370:C655408 IY655370:IY655408 SU655370:SU655408 ACQ655370:ACQ655408 AMM655370:AMM655408 AWI655370:AWI655408 BGE655370:BGE655408 BQA655370:BQA655408 BZW655370:BZW655408 CJS655370:CJS655408 CTO655370:CTO655408 DDK655370:DDK655408 DNG655370:DNG655408 DXC655370:DXC655408 EGY655370:EGY655408 EQU655370:EQU655408 FAQ655370:FAQ655408 FKM655370:FKM655408 FUI655370:FUI655408 GEE655370:GEE655408 GOA655370:GOA655408 GXW655370:GXW655408 HHS655370:HHS655408 HRO655370:HRO655408 IBK655370:IBK655408 ILG655370:ILG655408 IVC655370:IVC655408 JEY655370:JEY655408 JOU655370:JOU655408 JYQ655370:JYQ655408 KIM655370:KIM655408 KSI655370:KSI655408 LCE655370:LCE655408 LMA655370:LMA655408 LVW655370:LVW655408 MFS655370:MFS655408 MPO655370:MPO655408 MZK655370:MZK655408 NJG655370:NJG655408 NTC655370:NTC655408 OCY655370:OCY655408 OMU655370:OMU655408 OWQ655370:OWQ655408 PGM655370:PGM655408 PQI655370:PQI655408 QAE655370:QAE655408 QKA655370:QKA655408 QTW655370:QTW655408 RDS655370:RDS655408 RNO655370:RNO655408 RXK655370:RXK655408 SHG655370:SHG655408 SRC655370:SRC655408 TAY655370:TAY655408 TKU655370:TKU655408 TUQ655370:TUQ655408 UEM655370:UEM655408 UOI655370:UOI655408 UYE655370:UYE655408 VIA655370:VIA655408 VRW655370:VRW655408 WBS655370:WBS655408 WLO655370:WLO655408 WVK655370:WVK655408 C720906:C720944 IY720906:IY720944 SU720906:SU720944 ACQ720906:ACQ720944 AMM720906:AMM720944 AWI720906:AWI720944 BGE720906:BGE720944 BQA720906:BQA720944 BZW720906:BZW720944 CJS720906:CJS720944 CTO720906:CTO720944 DDK720906:DDK720944 DNG720906:DNG720944 DXC720906:DXC720944 EGY720906:EGY720944 EQU720906:EQU720944 FAQ720906:FAQ720944 FKM720906:FKM720944 FUI720906:FUI720944 GEE720906:GEE720944 GOA720906:GOA720944 GXW720906:GXW720944 HHS720906:HHS720944 HRO720906:HRO720944 IBK720906:IBK720944 ILG720906:ILG720944 IVC720906:IVC720944 JEY720906:JEY720944 JOU720906:JOU720944 JYQ720906:JYQ720944 KIM720906:KIM720944 KSI720906:KSI720944 LCE720906:LCE720944 LMA720906:LMA720944 LVW720906:LVW720944 MFS720906:MFS720944 MPO720906:MPO720944 MZK720906:MZK720944 NJG720906:NJG720944 NTC720906:NTC720944 OCY720906:OCY720944 OMU720906:OMU720944 OWQ720906:OWQ720944 PGM720906:PGM720944 PQI720906:PQI720944 QAE720906:QAE720944 QKA720906:QKA720944 QTW720906:QTW720944 RDS720906:RDS720944 RNO720906:RNO720944 RXK720906:RXK720944 SHG720906:SHG720944 SRC720906:SRC720944 TAY720906:TAY720944 TKU720906:TKU720944 TUQ720906:TUQ720944 UEM720906:UEM720944 UOI720906:UOI720944 UYE720906:UYE720944 VIA720906:VIA720944 VRW720906:VRW720944 WBS720906:WBS720944 WLO720906:WLO720944 WVK720906:WVK720944 C786442:C786480 IY786442:IY786480 SU786442:SU786480 ACQ786442:ACQ786480 AMM786442:AMM786480 AWI786442:AWI786480 BGE786442:BGE786480 BQA786442:BQA786480 BZW786442:BZW786480 CJS786442:CJS786480 CTO786442:CTO786480 DDK786442:DDK786480 DNG786442:DNG786480 DXC786442:DXC786480 EGY786442:EGY786480 EQU786442:EQU786480 FAQ786442:FAQ786480 FKM786442:FKM786480 FUI786442:FUI786480 GEE786442:GEE786480 GOA786442:GOA786480 GXW786442:GXW786480 HHS786442:HHS786480 HRO786442:HRO786480 IBK786442:IBK786480 ILG786442:ILG786480 IVC786442:IVC786480 JEY786442:JEY786480 JOU786442:JOU786480 JYQ786442:JYQ786480 KIM786442:KIM786480 KSI786442:KSI786480 LCE786442:LCE786480 LMA786442:LMA786480 LVW786442:LVW786480 MFS786442:MFS786480 MPO786442:MPO786480 MZK786442:MZK786480 NJG786442:NJG786480 NTC786442:NTC786480 OCY786442:OCY786480 OMU786442:OMU786480 OWQ786442:OWQ786480 PGM786442:PGM786480 PQI786442:PQI786480 QAE786442:QAE786480 QKA786442:QKA786480 QTW786442:QTW786480 RDS786442:RDS786480 RNO786442:RNO786480 RXK786442:RXK786480 SHG786442:SHG786480 SRC786442:SRC786480 TAY786442:TAY786480 TKU786442:TKU786480 TUQ786442:TUQ786480 UEM786442:UEM786480 UOI786442:UOI786480 UYE786442:UYE786480 VIA786442:VIA786480 VRW786442:VRW786480 WBS786442:WBS786480 WLO786442:WLO786480 WVK786442:WVK786480 C851978:C852016 IY851978:IY852016 SU851978:SU852016 ACQ851978:ACQ852016 AMM851978:AMM852016 AWI851978:AWI852016 BGE851978:BGE852016 BQA851978:BQA852016 BZW851978:BZW852016 CJS851978:CJS852016 CTO851978:CTO852016 DDK851978:DDK852016 DNG851978:DNG852016 DXC851978:DXC852016 EGY851978:EGY852016 EQU851978:EQU852016 FAQ851978:FAQ852016 FKM851978:FKM852016 FUI851978:FUI852016 GEE851978:GEE852016 GOA851978:GOA852016 GXW851978:GXW852016 HHS851978:HHS852016 HRO851978:HRO852016 IBK851978:IBK852016 ILG851978:ILG852016 IVC851978:IVC852016 JEY851978:JEY852016 JOU851978:JOU852016 JYQ851978:JYQ852016 KIM851978:KIM852016 KSI851978:KSI852016 LCE851978:LCE852016 LMA851978:LMA852016 LVW851978:LVW852016 MFS851978:MFS852016 MPO851978:MPO852016 MZK851978:MZK852016 NJG851978:NJG852016 NTC851978:NTC852016 OCY851978:OCY852016 OMU851978:OMU852016 OWQ851978:OWQ852016 PGM851978:PGM852016 PQI851978:PQI852016 QAE851978:QAE852016 QKA851978:QKA852016 QTW851978:QTW852016 RDS851978:RDS852016 RNO851978:RNO852016 RXK851978:RXK852016 SHG851978:SHG852016 SRC851978:SRC852016 TAY851978:TAY852016 TKU851978:TKU852016 TUQ851978:TUQ852016 UEM851978:UEM852016 UOI851978:UOI852016 UYE851978:UYE852016 VIA851978:VIA852016 VRW851978:VRW852016 WBS851978:WBS852016 WLO851978:WLO852016 WVK851978:WVK852016 C917514:C917552 IY917514:IY917552 SU917514:SU917552 ACQ917514:ACQ917552 AMM917514:AMM917552 AWI917514:AWI917552 BGE917514:BGE917552 BQA917514:BQA917552 BZW917514:BZW917552 CJS917514:CJS917552 CTO917514:CTO917552 DDK917514:DDK917552 DNG917514:DNG917552 DXC917514:DXC917552 EGY917514:EGY917552 EQU917514:EQU917552 FAQ917514:FAQ917552 FKM917514:FKM917552 FUI917514:FUI917552 GEE917514:GEE917552 GOA917514:GOA917552 GXW917514:GXW917552 HHS917514:HHS917552 HRO917514:HRO917552 IBK917514:IBK917552 ILG917514:ILG917552 IVC917514:IVC917552 JEY917514:JEY917552 JOU917514:JOU917552 JYQ917514:JYQ917552 KIM917514:KIM917552 KSI917514:KSI917552 LCE917514:LCE917552 LMA917514:LMA917552 LVW917514:LVW917552 MFS917514:MFS917552 MPO917514:MPO917552 MZK917514:MZK917552 NJG917514:NJG917552 NTC917514:NTC917552 OCY917514:OCY917552 OMU917514:OMU917552 OWQ917514:OWQ917552 PGM917514:PGM917552 PQI917514:PQI917552 QAE917514:QAE917552 QKA917514:QKA917552 QTW917514:QTW917552 RDS917514:RDS917552 RNO917514:RNO917552 RXK917514:RXK917552 SHG917514:SHG917552 SRC917514:SRC917552 TAY917514:TAY917552 TKU917514:TKU917552 TUQ917514:TUQ917552 UEM917514:UEM917552 UOI917514:UOI917552 UYE917514:UYE917552 VIA917514:VIA917552 VRW917514:VRW917552 WBS917514:WBS917552 WLO917514:WLO917552 WVK917514:WVK917552 C983050:C983088 IY983050:IY983088 SU983050:SU983088 ACQ983050:ACQ983088 AMM983050:AMM983088 AWI983050:AWI983088 BGE983050:BGE983088 BQA983050:BQA983088 BZW983050:BZW983088 CJS983050:CJS983088 CTO983050:CTO983088 DDK983050:DDK983088 DNG983050:DNG983088 DXC983050:DXC983088 EGY983050:EGY983088 EQU983050:EQU983088 FAQ983050:FAQ983088 FKM983050:FKM983088 FUI983050:FUI983088 GEE983050:GEE983088 GOA983050:GOA983088 GXW983050:GXW983088 HHS983050:HHS983088 HRO983050:HRO983088 IBK983050:IBK983088 ILG983050:ILG983088 IVC983050:IVC983088 JEY983050:JEY983088 JOU983050:JOU983088 JYQ983050:JYQ983088 KIM983050:KIM983088 KSI983050:KSI983088 LCE983050:LCE983088 LMA983050:LMA983088 LVW983050:LVW983088 MFS983050:MFS983088 MPO983050:MPO983088 MZK983050:MZK983088 NJG983050:NJG983088 NTC983050:NTC983088 OCY983050:OCY983088 OMU983050:OMU983088 OWQ983050:OWQ983088 PGM983050:PGM983088 PQI983050:PQI983088 QAE983050:QAE983088 QKA983050:QKA983088 QTW983050:QTW983088 RDS983050:RDS983088 RNO983050:RNO983088 RXK983050:RXK983088 SHG983050:SHG983088 SRC983050:SRC983088 TAY983050:TAY983088 TKU983050:TKU983088 TUQ983050:TUQ983088 UEM983050:UEM983088 UOI983050:UOI983088 UYE983050:UYE983088 VIA983050:VIA983088 VRW983050:VRW983088 WBS983050:WBS983088 WLO983050:WLO983088">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48">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8" location="研发项目可加计扣除研究开发费用情况归集表!A1" tooltip="#研发项目可加计扣除研究开发费用情况归集表!A1" display="研发项目可加计扣除研究开发费用情况归集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B8" sqref="B8"/>
    </sheetView>
  </sheetViews>
  <sheetFormatPr defaultRowHeight="15.6"/>
  <cols>
    <col min="1" max="1" width="19.19921875" style="172" customWidth="1"/>
    <col min="2" max="2" width="20.5" style="172" customWidth="1"/>
    <col min="3" max="3" width="25.09765625" style="172" customWidth="1"/>
    <col min="4" max="4" width="13" style="172" customWidth="1"/>
    <col min="5" max="5" width="12" style="172" customWidth="1"/>
    <col min="6" max="6" width="16.69921875" style="172" customWidth="1"/>
    <col min="7" max="10" width="9" style="172"/>
    <col min="11" max="11" width="12.8984375" style="172" customWidth="1"/>
    <col min="12" max="256" width="9" style="172"/>
    <col min="257" max="257" width="19.19921875" style="172" customWidth="1"/>
    <col min="258" max="258" width="20.5" style="172" customWidth="1"/>
    <col min="259" max="259" width="11.69921875" style="172" customWidth="1"/>
    <col min="260" max="260" width="13" style="172" customWidth="1"/>
    <col min="261" max="261" width="12" style="172" customWidth="1"/>
    <col min="262" max="262" width="16.69921875" style="172" customWidth="1"/>
    <col min="263" max="266" width="9" style="172"/>
    <col min="267" max="267" width="29.69921875" style="172" customWidth="1"/>
    <col min="268" max="512" width="9" style="172"/>
    <col min="513" max="513" width="19.19921875" style="172" customWidth="1"/>
    <col min="514" max="514" width="20.5" style="172" customWidth="1"/>
    <col min="515" max="515" width="11.69921875" style="172" customWidth="1"/>
    <col min="516" max="516" width="13" style="172" customWidth="1"/>
    <col min="517" max="517" width="12" style="172" customWidth="1"/>
    <col min="518" max="518" width="16.69921875" style="172" customWidth="1"/>
    <col min="519" max="522" width="9" style="172"/>
    <col min="523" max="523" width="29.69921875" style="172" customWidth="1"/>
    <col min="524" max="768" width="9" style="172"/>
    <col min="769" max="769" width="19.19921875" style="172" customWidth="1"/>
    <col min="770" max="770" width="20.5" style="172" customWidth="1"/>
    <col min="771" max="771" width="11.69921875" style="172" customWidth="1"/>
    <col min="772" max="772" width="13" style="172" customWidth="1"/>
    <col min="773" max="773" width="12" style="172" customWidth="1"/>
    <col min="774" max="774" width="16.69921875" style="172" customWidth="1"/>
    <col min="775" max="778" width="9" style="172"/>
    <col min="779" max="779" width="29.69921875" style="172" customWidth="1"/>
    <col min="780" max="1024" width="9" style="172"/>
    <col min="1025" max="1025" width="19.19921875" style="172" customWidth="1"/>
    <col min="1026" max="1026" width="20.5" style="172" customWidth="1"/>
    <col min="1027" max="1027" width="11.69921875" style="172" customWidth="1"/>
    <col min="1028" max="1028" width="13" style="172" customWidth="1"/>
    <col min="1029" max="1029" width="12" style="172" customWidth="1"/>
    <col min="1030" max="1030" width="16.69921875" style="172" customWidth="1"/>
    <col min="1031" max="1034" width="9" style="172"/>
    <col min="1035" max="1035" width="29.69921875" style="172" customWidth="1"/>
    <col min="1036" max="1280" width="9" style="172"/>
    <col min="1281" max="1281" width="19.19921875" style="172" customWidth="1"/>
    <col min="1282" max="1282" width="20.5" style="172" customWidth="1"/>
    <col min="1283" max="1283" width="11.69921875" style="172" customWidth="1"/>
    <col min="1284" max="1284" width="13" style="172" customWidth="1"/>
    <col min="1285" max="1285" width="12" style="172" customWidth="1"/>
    <col min="1286" max="1286" width="16.69921875" style="172" customWidth="1"/>
    <col min="1287" max="1290" width="9" style="172"/>
    <col min="1291" max="1291" width="29.69921875" style="172" customWidth="1"/>
    <col min="1292" max="1536" width="9" style="172"/>
    <col min="1537" max="1537" width="19.19921875" style="172" customWidth="1"/>
    <col min="1538" max="1538" width="20.5" style="172" customWidth="1"/>
    <col min="1539" max="1539" width="11.69921875" style="172" customWidth="1"/>
    <col min="1540" max="1540" width="13" style="172" customWidth="1"/>
    <col min="1541" max="1541" width="12" style="172" customWidth="1"/>
    <col min="1542" max="1542" width="16.69921875" style="172" customWidth="1"/>
    <col min="1543" max="1546" width="9" style="172"/>
    <col min="1547" max="1547" width="29.69921875" style="172" customWidth="1"/>
    <col min="1548" max="1792" width="9" style="172"/>
    <col min="1793" max="1793" width="19.19921875" style="172" customWidth="1"/>
    <col min="1794" max="1794" width="20.5" style="172" customWidth="1"/>
    <col min="1795" max="1795" width="11.69921875" style="172" customWidth="1"/>
    <col min="1796" max="1796" width="13" style="172" customWidth="1"/>
    <col min="1797" max="1797" width="12" style="172" customWidth="1"/>
    <col min="1798" max="1798" width="16.69921875" style="172" customWidth="1"/>
    <col min="1799" max="1802" width="9" style="172"/>
    <col min="1803" max="1803" width="29.69921875" style="172" customWidth="1"/>
    <col min="1804" max="2048" width="9" style="172"/>
    <col min="2049" max="2049" width="19.19921875" style="172" customWidth="1"/>
    <col min="2050" max="2050" width="20.5" style="172" customWidth="1"/>
    <col min="2051" max="2051" width="11.69921875" style="172" customWidth="1"/>
    <col min="2052" max="2052" width="13" style="172" customWidth="1"/>
    <col min="2053" max="2053" width="12" style="172" customWidth="1"/>
    <col min="2054" max="2054" width="16.69921875" style="172" customWidth="1"/>
    <col min="2055" max="2058" width="9" style="172"/>
    <col min="2059" max="2059" width="29.69921875" style="172" customWidth="1"/>
    <col min="2060" max="2304" width="9" style="172"/>
    <col min="2305" max="2305" width="19.19921875" style="172" customWidth="1"/>
    <col min="2306" max="2306" width="20.5" style="172" customWidth="1"/>
    <col min="2307" max="2307" width="11.69921875" style="172" customWidth="1"/>
    <col min="2308" max="2308" width="13" style="172" customWidth="1"/>
    <col min="2309" max="2309" width="12" style="172" customWidth="1"/>
    <col min="2310" max="2310" width="16.69921875" style="172" customWidth="1"/>
    <col min="2311" max="2314" width="9" style="172"/>
    <col min="2315" max="2315" width="29.69921875" style="172" customWidth="1"/>
    <col min="2316" max="2560" width="9" style="172"/>
    <col min="2561" max="2561" width="19.19921875" style="172" customWidth="1"/>
    <col min="2562" max="2562" width="20.5" style="172" customWidth="1"/>
    <col min="2563" max="2563" width="11.69921875" style="172" customWidth="1"/>
    <col min="2564" max="2564" width="13" style="172" customWidth="1"/>
    <col min="2565" max="2565" width="12" style="172" customWidth="1"/>
    <col min="2566" max="2566" width="16.69921875" style="172" customWidth="1"/>
    <col min="2567" max="2570" width="9" style="172"/>
    <col min="2571" max="2571" width="29.69921875" style="172" customWidth="1"/>
    <col min="2572" max="2816" width="9" style="172"/>
    <col min="2817" max="2817" width="19.19921875" style="172" customWidth="1"/>
    <col min="2818" max="2818" width="20.5" style="172" customWidth="1"/>
    <col min="2819" max="2819" width="11.69921875" style="172" customWidth="1"/>
    <col min="2820" max="2820" width="13" style="172" customWidth="1"/>
    <col min="2821" max="2821" width="12" style="172" customWidth="1"/>
    <col min="2822" max="2822" width="16.69921875" style="172" customWidth="1"/>
    <col min="2823" max="2826" width="9" style="172"/>
    <col min="2827" max="2827" width="29.69921875" style="172" customWidth="1"/>
    <col min="2828" max="3072" width="9" style="172"/>
    <col min="3073" max="3073" width="19.19921875" style="172" customWidth="1"/>
    <col min="3074" max="3074" width="20.5" style="172" customWidth="1"/>
    <col min="3075" max="3075" width="11.69921875" style="172" customWidth="1"/>
    <col min="3076" max="3076" width="13" style="172" customWidth="1"/>
    <col min="3077" max="3077" width="12" style="172" customWidth="1"/>
    <col min="3078" max="3078" width="16.69921875" style="172" customWidth="1"/>
    <col min="3079" max="3082" width="9" style="172"/>
    <col min="3083" max="3083" width="29.69921875" style="172" customWidth="1"/>
    <col min="3084" max="3328" width="9" style="172"/>
    <col min="3329" max="3329" width="19.19921875" style="172" customWidth="1"/>
    <col min="3330" max="3330" width="20.5" style="172" customWidth="1"/>
    <col min="3331" max="3331" width="11.69921875" style="172" customWidth="1"/>
    <col min="3332" max="3332" width="13" style="172" customWidth="1"/>
    <col min="3333" max="3333" width="12" style="172" customWidth="1"/>
    <col min="3334" max="3334" width="16.69921875" style="172" customWidth="1"/>
    <col min="3335" max="3338" width="9" style="172"/>
    <col min="3339" max="3339" width="29.69921875" style="172" customWidth="1"/>
    <col min="3340" max="3584" width="9" style="172"/>
    <col min="3585" max="3585" width="19.19921875" style="172" customWidth="1"/>
    <col min="3586" max="3586" width="20.5" style="172" customWidth="1"/>
    <col min="3587" max="3587" width="11.69921875" style="172" customWidth="1"/>
    <col min="3588" max="3588" width="13" style="172" customWidth="1"/>
    <col min="3589" max="3589" width="12" style="172" customWidth="1"/>
    <col min="3590" max="3590" width="16.69921875" style="172" customWidth="1"/>
    <col min="3591" max="3594" width="9" style="172"/>
    <col min="3595" max="3595" width="29.69921875" style="172" customWidth="1"/>
    <col min="3596" max="3840" width="9" style="172"/>
    <col min="3841" max="3841" width="19.19921875" style="172" customWidth="1"/>
    <col min="3842" max="3842" width="20.5" style="172" customWidth="1"/>
    <col min="3843" max="3843" width="11.69921875" style="172" customWidth="1"/>
    <col min="3844" max="3844" width="13" style="172" customWidth="1"/>
    <col min="3845" max="3845" width="12" style="172" customWidth="1"/>
    <col min="3846" max="3846" width="16.69921875" style="172" customWidth="1"/>
    <col min="3847" max="3850" width="9" style="172"/>
    <col min="3851" max="3851" width="29.69921875" style="172" customWidth="1"/>
    <col min="3852" max="4096" width="9" style="172"/>
    <col min="4097" max="4097" width="19.19921875" style="172" customWidth="1"/>
    <col min="4098" max="4098" width="20.5" style="172" customWidth="1"/>
    <col min="4099" max="4099" width="11.69921875" style="172" customWidth="1"/>
    <col min="4100" max="4100" width="13" style="172" customWidth="1"/>
    <col min="4101" max="4101" width="12" style="172" customWidth="1"/>
    <col min="4102" max="4102" width="16.69921875" style="172" customWidth="1"/>
    <col min="4103" max="4106" width="9" style="172"/>
    <col min="4107" max="4107" width="29.69921875" style="172" customWidth="1"/>
    <col min="4108" max="4352" width="9" style="172"/>
    <col min="4353" max="4353" width="19.19921875" style="172" customWidth="1"/>
    <col min="4354" max="4354" width="20.5" style="172" customWidth="1"/>
    <col min="4355" max="4355" width="11.69921875" style="172" customWidth="1"/>
    <col min="4356" max="4356" width="13" style="172" customWidth="1"/>
    <col min="4357" max="4357" width="12" style="172" customWidth="1"/>
    <col min="4358" max="4358" width="16.69921875" style="172" customWidth="1"/>
    <col min="4359" max="4362" width="9" style="172"/>
    <col min="4363" max="4363" width="29.69921875" style="172" customWidth="1"/>
    <col min="4364" max="4608" width="9" style="172"/>
    <col min="4609" max="4609" width="19.19921875" style="172" customWidth="1"/>
    <col min="4610" max="4610" width="20.5" style="172" customWidth="1"/>
    <col min="4611" max="4611" width="11.69921875" style="172" customWidth="1"/>
    <col min="4612" max="4612" width="13" style="172" customWidth="1"/>
    <col min="4613" max="4613" width="12" style="172" customWidth="1"/>
    <col min="4614" max="4614" width="16.69921875" style="172" customWidth="1"/>
    <col min="4615" max="4618" width="9" style="172"/>
    <col min="4619" max="4619" width="29.69921875" style="172" customWidth="1"/>
    <col min="4620" max="4864" width="9" style="172"/>
    <col min="4865" max="4865" width="19.19921875" style="172" customWidth="1"/>
    <col min="4866" max="4866" width="20.5" style="172" customWidth="1"/>
    <col min="4867" max="4867" width="11.69921875" style="172" customWidth="1"/>
    <col min="4868" max="4868" width="13" style="172" customWidth="1"/>
    <col min="4869" max="4869" width="12" style="172" customWidth="1"/>
    <col min="4870" max="4870" width="16.69921875" style="172" customWidth="1"/>
    <col min="4871" max="4874" width="9" style="172"/>
    <col min="4875" max="4875" width="29.69921875" style="172" customWidth="1"/>
    <col min="4876" max="5120" width="9" style="172"/>
    <col min="5121" max="5121" width="19.19921875" style="172" customWidth="1"/>
    <col min="5122" max="5122" width="20.5" style="172" customWidth="1"/>
    <col min="5123" max="5123" width="11.69921875" style="172" customWidth="1"/>
    <col min="5124" max="5124" width="13" style="172" customWidth="1"/>
    <col min="5125" max="5125" width="12" style="172" customWidth="1"/>
    <col min="5126" max="5126" width="16.69921875" style="172" customWidth="1"/>
    <col min="5127" max="5130" width="9" style="172"/>
    <col min="5131" max="5131" width="29.69921875" style="172" customWidth="1"/>
    <col min="5132" max="5376" width="9" style="172"/>
    <col min="5377" max="5377" width="19.19921875" style="172" customWidth="1"/>
    <col min="5378" max="5378" width="20.5" style="172" customWidth="1"/>
    <col min="5379" max="5379" width="11.69921875" style="172" customWidth="1"/>
    <col min="5380" max="5380" width="13" style="172" customWidth="1"/>
    <col min="5381" max="5381" width="12" style="172" customWidth="1"/>
    <col min="5382" max="5382" width="16.69921875" style="172" customWidth="1"/>
    <col min="5383" max="5386" width="9" style="172"/>
    <col min="5387" max="5387" width="29.69921875" style="172" customWidth="1"/>
    <col min="5388" max="5632" width="9" style="172"/>
    <col min="5633" max="5633" width="19.19921875" style="172" customWidth="1"/>
    <col min="5634" max="5634" width="20.5" style="172" customWidth="1"/>
    <col min="5635" max="5635" width="11.69921875" style="172" customWidth="1"/>
    <col min="5636" max="5636" width="13" style="172" customWidth="1"/>
    <col min="5637" max="5637" width="12" style="172" customWidth="1"/>
    <col min="5638" max="5638" width="16.69921875" style="172" customWidth="1"/>
    <col min="5639" max="5642" width="9" style="172"/>
    <col min="5643" max="5643" width="29.69921875" style="172" customWidth="1"/>
    <col min="5644" max="5888" width="9" style="172"/>
    <col min="5889" max="5889" width="19.19921875" style="172" customWidth="1"/>
    <col min="5890" max="5890" width="20.5" style="172" customWidth="1"/>
    <col min="5891" max="5891" width="11.69921875" style="172" customWidth="1"/>
    <col min="5892" max="5892" width="13" style="172" customWidth="1"/>
    <col min="5893" max="5893" width="12" style="172" customWidth="1"/>
    <col min="5894" max="5894" width="16.69921875" style="172" customWidth="1"/>
    <col min="5895" max="5898" width="9" style="172"/>
    <col min="5899" max="5899" width="29.69921875" style="172" customWidth="1"/>
    <col min="5900" max="6144" width="9" style="172"/>
    <col min="6145" max="6145" width="19.19921875" style="172" customWidth="1"/>
    <col min="6146" max="6146" width="20.5" style="172" customWidth="1"/>
    <col min="6147" max="6147" width="11.69921875" style="172" customWidth="1"/>
    <col min="6148" max="6148" width="13" style="172" customWidth="1"/>
    <col min="6149" max="6149" width="12" style="172" customWidth="1"/>
    <col min="6150" max="6150" width="16.69921875" style="172" customWidth="1"/>
    <col min="6151" max="6154" width="9" style="172"/>
    <col min="6155" max="6155" width="29.69921875" style="172" customWidth="1"/>
    <col min="6156" max="6400" width="9" style="172"/>
    <col min="6401" max="6401" width="19.19921875" style="172" customWidth="1"/>
    <col min="6402" max="6402" width="20.5" style="172" customWidth="1"/>
    <col min="6403" max="6403" width="11.69921875" style="172" customWidth="1"/>
    <col min="6404" max="6404" width="13" style="172" customWidth="1"/>
    <col min="6405" max="6405" width="12" style="172" customWidth="1"/>
    <col min="6406" max="6406" width="16.69921875" style="172" customWidth="1"/>
    <col min="6407" max="6410" width="9" style="172"/>
    <col min="6411" max="6411" width="29.69921875" style="172" customWidth="1"/>
    <col min="6412" max="6656" width="9" style="172"/>
    <col min="6657" max="6657" width="19.19921875" style="172" customWidth="1"/>
    <col min="6658" max="6658" width="20.5" style="172" customWidth="1"/>
    <col min="6659" max="6659" width="11.69921875" style="172" customWidth="1"/>
    <col min="6660" max="6660" width="13" style="172" customWidth="1"/>
    <col min="6661" max="6661" width="12" style="172" customWidth="1"/>
    <col min="6662" max="6662" width="16.69921875" style="172" customWidth="1"/>
    <col min="6663" max="6666" width="9" style="172"/>
    <col min="6667" max="6667" width="29.69921875" style="172" customWidth="1"/>
    <col min="6668" max="6912" width="9" style="172"/>
    <col min="6913" max="6913" width="19.19921875" style="172" customWidth="1"/>
    <col min="6914" max="6914" width="20.5" style="172" customWidth="1"/>
    <col min="6915" max="6915" width="11.69921875" style="172" customWidth="1"/>
    <col min="6916" max="6916" width="13" style="172" customWidth="1"/>
    <col min="6917" max="6917" width="12" style="172" customWidth="1"/>
    <col min="6918" max="6918" width="16.69921875" style="172" customWidth="1"/>
    <col min="6919" max="6922" width="9" style="172"/>
    <col min="6923" max="6923" width="29.69921875" style="172" customWidth="1"/>
    <col min="6924" max="7168" width="9" style="172"/>
    <col min="7169" max="7169" width="19.19921875" style="172" customWidth="1"/>
    <col min="7170" max="7170" width="20.5" style="172" customWidth="1"/>
    <col min="7171" max="7171" width="11.69921875" style="172" customWidth="1"/>
    <col min="7172" max="7172" width="13" style="172" customWidth="1"/>
    <col min="7173" max="7173" width="12" style="172" customWidth="1"/>
    <col min="7174" max="7174" width="16.69921875" style="172" customWidth="1"/>
    <col min="7175" max="7178" width="9" style="172"/>
    <col min="7179" max="7179" width="29.69921875" style="172" customWidth="1"/>
    <col min="7180" max="7424" width="9" style="172"/>
    <col min="7425" max="7425" width="19.19921875" style="172" customWidth="1"/>
    <col min="7426" max="7426" width="20.5" style="172" customWidth="1"/>
    <col min="7427" max="7427" width="11.69921875" style="172" customWidth="1"/>
    <col min="7428" max="7428" width="13" style="172" customWidth="1"/>
    <col min="7429" max="7429" width="12" style="172" customWidth="1"/>
    <col min="7430" max="7430" width="16.69921875" style="172" customWidth="1"/>
    <col min="7431" max="7434" width="9" style="172"/>
    <col min="7435" max="7435" width="29.69921875" style="172" customWidth="1"/>
    <col min="7436" max="7680" width="9" style="172"/>
    <col min="7681" max="7681" width="19.19921875" style="172" customWidth="1"/>
    <col min="7682" max="7682" width="20.5" style="172" customWidth="1"/>
    <col min="7683" max="7683" width="11.69921875" style="172" customWidth="1"/>
    <col min="7684" max="7684" width="13" style="172" customWidth="1"/>
    <col min="7685" max="7685" width="12" style="172" customWidth="1"/>
    <col min="7686" max="7686" width="16.69921875" style="172" customWidth="1"/>
    <col min="7687" max="7690" width="9" style="172"/>
    <col min="7691" max="7691" width="29.69921875" style="172" customWidth="1"/>
    <col min="7692" max="7936" width="9" style="172"/>
    <col min="7937" max="7937" width="19.19921875" style="172" customWidth="1"/>
    <col min="7938" max="7938" width="20.5" style="172" customWidth="1"/>
    <col min="7939" max="7939" width="11.69921875" style="172" customWidth="1"/>
    <col min="7940" max="7940" width="13" style="172" customWidth="1"/>
    <col min="7941" max="7941" width="12" style="172" customWidth="1"/>
    <col min="7942" max="7942" width="16.69921875" style="172" customWidth="1"/>
    <col min="7943" max="7946" width="9" style="172"/>
    <col min="7947" max="7947" width="29.69921875" style="172" customWidth="1"/>
    <col min="7948" max="8192" width="9" style="172"/>
    <col min="8193" max="8193" width="19.19921875" style="172" customWidth="1"/>
    <col min="8194" max="8194" width="20.5" style="172" customWidth="1"/>
    <col min="8195" max="8195" width="11.69921875" style="172" customWidth="1"/>
    <col min="8196" max="8196" width="13" style="172" customWidth="1"/>
    <col min="8197" max="8197" width="12" style="172" customWidth="1"/>
    <col min="8198" max="8198" width="16.69921875" style="172" customWidth="1"/>
    <col min="8199" max="8202" width="9" style="172"/>
    <col min="8203" max="8203" width="29.69921875" style="172" customWidth="1"/>
    <col min="8204" max="8448" width="9" style="172"/>
    <col min="8449" max="8449" width="19.19921875" style="172" customWidth="1"/>
    <col min="8450" max="8450" width="20.5" style="172" customWidth="1"/>
    <col min="8451" max="8451" width="11.69921875" style="172" customWidth="1"/>
    <col min="8452" max="8452" width="13" style="172" customWidth="1"/>
    <col min="8453" max="8453" width="12" style="172" customWidth="1"/>
    <col min="8454" max="8454" width="16.69921875" style="172" customWidth="1"/>
    <col min="8455" max="8458" width="9" style="172"/>
    <col min="8459" max="8459" width="29.69921875" style="172" customWidth="1"/>
    <col min="8460" max="8704" width="9" style="172"/>
    <col min="8705" max="8705" width="19.19921875" style="172" customWidth="1"/>
    <col min="8706" max="8706" width="20.5" style="172" customWidth="1"/>
    <col min="8707" max="8707" width="11.69921875" style="172" customWidth="1"/>
    <col min="8708" max="8708" width="13" style="172" customWidth="1"/>
    <col min="8709" max="8709" width="12" style="172" customWidth="1"/>
    <col min="8710" max="8710" width="16.69921875" style="172" customWidth="1"/>
    <col min="8711" max="8714" width="9" style="172"/>
    <col min="8715" max="8715" width="29.69921875" style="172" customWidth="1"/>
    <col min="8716" max="8960" width="9" style="172"/>
    <col min="8961" max="8961" width="19.19921875" style="172" customWidth="1"/>
    <col min="8962" max="8962" width="20.5" style="172" customWidth="1"/>
    <col min="8963" max="8963" width="11.69921875" style="172" customWidth="1"/>
    <col min="8964" max="8964" width="13" style="172" customWidth="1"/>
    <col min="8965" max="8965" width="12" style="172" customWidth="1"/>
    <col min="8966" max="8966" width="16.69921875" style="172" customWidth="1"/>
    <col min="8967" max="8970" width="9" style="172"/>
    <col min="8971" max="8971" width="29.69921875" style="172" customWidth="1"/>
    <col min="8972" max="9216" width="9" style="172"/>
    <col min="9217" max="9217" width="19.19921875" style="172" customWidth="1"/>
    <col min="9218" max="9218" width="20.5" style="172" customWidth="1"/>
    <col min="9219" max="9219" width="11.69921875" style="172" customWidth="1"/>
    <col min="9220" max="9220" width="13" style="172" customWidth="1"/>
    <col min="9221" max="9221" width="12" style="172" customWidth="1"/>
    <col min="9222" max="9222" width="16.69921875" style="172" customWidth="1"/>
    <col min="9223" max="9226" width="9" style="172"/>
    <col min="9227" max="9227" width="29.69921875" style="172" customWidth="1"/>
    <col min="9228" max="9472" width="9" style="172"/>
    <col min="9473" max="9473" width="19.19921875" style="172" customWidth="1"/>
    <col min="9474" max="9474" width="20.5" style="172" customWidth="1"/>
    <col min="9475" max="9475" width="11.69921875" style="172" customWidth="1"/>
    <col min="9476" max="9476" width="13" style="172" customWidth="1"/>
    <col min="9477" max="9477" width="12" style="172" customWidth="1"/>
    <col min="9478" max="9478" width="16.69921875" style="172" customWidth="1"/>
    <col min="9479" max="9482" width="9" style="172"/>
    <col min="9483" max="9483" width="29.69921875" style="172" customWidth="1"/>
    <col min="9484" max="9728" width="9" style="172"/>
    <col min="9729" max="9729" width="19.19921875" style="172" customWidth="1"/>
    <col min="9730" max="9730" width="20.5" style="172" customWidth="1"/>
    <col min="9731" max="9731" width="11.69921875" style="172" customWidth="1"/>
    <col min="9732" max="9732" width="13" style="172" customWidth="1"/>
    <col min="9733" max="9733" width="12" style="172" customWidth="1"/>
    <col min="9734" max="9734" width="16.69921875" style="172" customWidth="1"/>
    <col min="9735" max="9738" width="9" style="172"/>
    <col min="9739" max="9739" width="29.69921875" style="172" customWidth="1"/>
    <col min="9740" max="9984" width="9" style="172"/>
    <col min="9985" max="9985" width="19.19921875" style="172" customWidth="1"/>
    <col min="9986" max="9986" width="20.5" style="172" customWidth="1"/>
    <col min="9987" max="9987" width="11.69921875" style="172" customWidth="1"/>
    <col min="9988" max="9988" width="13" style="172" customWidth="1"/>
    <col min="9989" max="9989" width="12" style="172" customWidth="1"/>
    <col min="9990" max="9990" width="16.69921875" style="172" customWidth="1"/>
    <col min="9991" max="9994" width="9" style="172"/>
    <col min="9995" max="9995" width="29.69921875" style="172" customWidth="1"/>
    <col min="9996" max="10240" width="9" style="172"/>
    <col min="10241" max="10241" width="19.19921875" style="172" customWidth="1"/>
    <col min="10242" max="10242" width="20.5" style="172" customWidth="1"/>
    <col min="10243" max="10243" width="11.69921875" style="172" customWidth="1"/>
    <col min="10244" max="10244" width="13" style="172" customWidth="1"/>
    <col min="10245" max="10245" width="12" style="172" customWidth="1"/>
    <col min="10246" max="10246" width="16.69921875" style="172" customWidth="1"/>
    <col min="10247" max="10250" width="9" style="172"/>
    <col min="10251" max="10251" width="29.69921875" style="172" customWidth="1"/>
    <col min="10252" max="10496" width="9" style="172"/>
    <col min="10497" max="10497" width="19.19921875" style="172" customWidth="1"/>
    <col min="10498" max="10498" width="20.5" style="172" customWidth="1"/>
    <col min="10499" max="10499" width="11.69921875" style="172" customWidth="1"/>
    <col min="10500" max="10500" width="13" style="172" customWidth="1"/>
    <col min="10501" max="10501" width="12" style="172" customWidth="1"/>
    <col min="10502" max="10502" width="16.69921875" style="172" customWidth="1"/>
    <col min="10503" max="10506" width="9" style="172"/>
    <col min="10507" max="10507" width="29.69921875" style="172" customWidth="1"/>
    <col min="10508" max="10752" width="9" style="172"/>
    <col min="10753" max="10753" width="19.19921875" style="172" customWidth="1"/>
    <col min="10754" max="10754" width="20.5" style="172" customWidth="1"/>
    <col min="10755" max="10755" width="11.69921875" style="172" customWidth="1"/>
    <col min="10756" max="10756" width="13" style="172" customWidth="1"/>
    <col min="10757" max="10757" width="12" style="172" customWidth="1"/>
    <col min="10758" max="10758" width="16.69921875" style="172" customWidth="1"/>
    <col min="10759" max="10762" width="9" style="172"/>
    <col min="10763" max="10763" width="29.69921875" style="172" customWidth="1"/>
    <col min="10764" max="11008" width="9" style="172"/>
    <col min="11009" max="11009" width="19.19921875" style="172" customWidth="1"/>
    <col min="11010" max="11010" width="20.5" style="172" customWidth="1"/>
    <col min="11011" max="11011" width="11.69921875" style="172" customWidth="1"/>
    <col min="11012" max="11012" width="13" style="172" customWidth="1"/>
    <col min="11013" max="11013" width="12" style="172" customWidth="1"/>
    <col min="11014" max="11014" width="16.69921875" style="172" customWidth="1"/>
    <col min="11015" max="11018" width="9" style="172"/>
    <col min="11019" max="11019" width="29.69921875" style="172" customWidth="1"/>
    <col min="11020" max="11264" width="9" style="172"/>
    <col min="11265" max="11265" width="19.19921875" style="172" customWidth="1"/>
    <col min="11266" max="11266" width="20.5" style="172" customWidth="1"/>
    <col min="11267" max="11267" width="11.69921875" style="172" customWidth="1"/>
    <col min="11268" max="11268" width="13" style="172" customWidth="1"/>
    <col min="11269" max="11269" width="12" style="172" customWidth="1"/>
    <col min="11270" max="11270" width="16.69921875" style="172" customWidth="1"/>
    <col min="11271" max="11274" width="9" style="172"/>
    <col min="11275" max="11275" width="29.69921875" style="172" customWidth="1"/>
    <col min="11276" max="11520" width="9" style="172"/>
    <col min="11521" max="11521" width="19.19921875" style="172" customWidth="1"/>
    <col min="11522" max="11522" width="20.5" style="172" customWidth="1"/>
    <col min="11523" max="11523" width="11.69921875" style="172" customWidth="1"/>
    <col min="11524" max="11524" width="13" style="172" customWidth="1"/>
    <col min="11525" max="11525" width="12" style="172" customWidth="1"/>
    <col min="11526" max="11526" width="16.69921875" style="172" customWidth="1"/>
    <col min="11527" max="11530" width="9" style="172"/>
    <col min="11531" max="11531" width="29.69921875" style="172" customWidth="1"/>
    <col min="11532" max="11776" width="9" style="172"/>
    <col min="11777" max="11777" width="19.19921875" style="172" customWidth="1"/>
    <col min="11778" max="11778" width="20.5" style="172" customWidth="1"/>
    <col min="11779" max="11779" width="11.69921875" style="172" customWidth="1"/>
    <col min="11780" max="11780" width="13" style="172" customWidth="1"/>
    <col min="11781" max="11781" width="12" style="172" customWidth="1"/>
    <col min="11782" max="11782" width="16.69921875" style="172" customWidth="1"/>
    <col min="11783" max="11786" width="9" style="172"/>
    <col min="11787" max="11787" width="29.69921875" style="172" customWidth="1"/>
    <col min="11788" max="12032" width="9" style="172"/>
    <col min="12033" max="12033" width="19.19921875" style="172" customWidth="1"/>
    <col min="12034" max="12034" width="20.5" style="172" customWidth="1"/>
    <col min="12035" max="12035" width="11.69921875" style="172" customWidth="1"/>
    <col min="12036" max="12036" width="13" style="172" customWidth="1"/>
    <col min="12037" max="12037" width="12" style="172" customWidth="1"/>
    <col min="12038" max="12038" width="16.69921875" style="172" customWidth="1"/>
    <col min="12039" max="12042" width="9" style="172"/>
    <col min="12043" max="12043" width="29.69921875" style="172" customWidth="1"/>
    <col min="12044" max="12288" width="9" style="172"/>
    <col min="12289" max="12289" width="19.19921875" style="172" customWidth="1"/>
    <col min="12290" max="12290" width="20.5" style="172" customWidth="1"/>
    <col min="12291" max="12291" width="11.69921875" style="172" customWidth="1"/>
    <col min="12292" max="12292" width="13" style="172" customWidth="1"/>
    <col min="12293" max="12293" width="12" style="172" customWidth="1"/>
    <col min="12294" max="12294" width="16.69921875" style="172" customWidth="1"/>
    <col min="12295" max="12298" width="9" style="172"/>
    <col min="12299" max="12299" width="29.69921875" style="172" customWidth="1"/>
    <col min="12300" max="12544" width="9" style="172"/>
    <col min="12545" max="12545" width="19.19921875" style="172" customWidth="1"/>
    <col min="12546" max="12546" width="20.5" style="172" customWidth="1"/>
    <col min="12547" max="12547" width="11.69921875" style="172" customWidth="1"/>
    <col min="12548" max="12548" width="13" style="172" customWidth="1"/>
    <col min="12549" max="12549" width="12" style="172" customWidth="1"/>
    <col min="12550" max="12550" width="16.69921875" style="172" customWidth="1"/>
    <col min="12551" max="12554" width="9" style="172"/>
    <col min="12555" max="12555" width="29.69921875" style="172" customWidth="1"/>
    <col min="12556" max="12800" width="9" style="172"/>
    <col min="12801" max="12801" width="19.19921875" style="172" customWidth="1"/>
    <col min="12802" max="12802" width="20.5" style="172" customWidth="1"/>
    <col min="12803" max="12803" width="11.69921875" style="172" customWidth="1"/>
    <col min="12804" max="12804" width="13" style="172" customWidth="1"/>
    <col min="12805" max="12805" width="12" style="172" customWidth="1"/>
    <col min="12806" max="12806" width="16.69921875" style="172" customWidth="1"/>
    <col min="12807" max="12810" width="9" style="172"/>
    <col min="12811" max="12811" width="29.69921875" style="172" customWidth="1"/>
    <col min="12812" max="13056" width="9" style="172"/>
    <col min="13057" max="13057" width="19.19921875" style="172" customWidth="1"/>
    <col min="13058" max="13058" width="20.5" style="172" customWidth="1"/>
    <col min="13059" max="13059" width="11.69921875" style="172" customWidth="1"/>
    <col min="13060" max="13060" width="13" style="172" customWidth="1"/>
    <col min="13061" max="13061" width="12" style="172" customWidth="1"/>
    <col min="13062" max="13062" width="16.69921875" style="172" customWidth="1"/>
    <col min="13063" max="13066" width="9" style="172"/>
    <col min="13067" max="13067" width="29.69921875" style="172" customWidth="1"/>
    <col min="13068" max="13312" width="9" style="172"/>
    <col min="13313" max="13313" width="19.19921875" style="172" customWidth="1"/>
    <col min="13314" max="13314" width="20.5" style="172" customWidth="1"/>
    <col min="13315" max="13315" width="11.69921875" style="172" customWidth="1"/>
    <col min="13316" max="13316" width="13" style="172" customWidth="1"/>
    <col min="13317" max="13317" width="12" style="172" customWidth="1"/>
    <col min="13318" max="13318" width="16.69921875" style="172" customWidth="1"/>
    <col min="13319" max="13322" width="9" style="172"/>
    <col min="13323" max="13323" width="29.69921875" style="172" customWidth="1"/>
    <col min="13324" max="13568" width="9" style="172"/>
    <col min="13569" max="13569" width="19.19921875" style="172" customWidth="1"/>
    <col min="13570" max="13570" width="20.5" style="172" customWidth="1"/>
    <col min="13571" max="13571" width="11.69921875" style="172" customWidth="1"/>
    <col min="13572" max="13572" width="13" style="172" customWidth="1"/>
    <col min="13573" max="13573" width="12" style="172" customWidth="1"/>
    <col min="13574" max="13574" width="16.69921875" style="172" customWidth="1"/>
    <col min="13575" max="13578" width="9" style="172"/>
    <col min="13579" max="13579" width="29.69921875" style="172" customWidth="1"/>
    <col min="13580" max="13824" width="9" style="172"/>
    <col min="13825" max="13825" width="19.19921875" style="172" customWidth="1"/>
    <col min="13826" max="13826" width="20.5" style="172" customWidth="1"/>
    <col min="13827" max="13827" width="11.69921875" style="172" customWidth="1"/>
    <col min="13828" max="13828" width="13" style="172" customWidth="1"/>
    <col min="13829" max="13829" width="12" style="172" customWidth="1"/>
    <col min="13830" max="13830" width="16.69921875" style="172" customWidth="1"/>
    <col min="13831" max="13834" width="9" style="172"/>
    <col min="13835" max="13835" width="29.69921875" style="172" customWidth="1"/>
    <col min="13836" max="14080" width="9" style="172"/>
    <col min="14081" max="14081" width="19.19921875" style="172" customWidth="1"/>
    <col min="14082" max="14082" width="20.5" style="172" customWidth="1"/>
    <col min="14083" max="14083" width="11.69921875" style="172" customWidth="1"/>
    <col min="14084" max="14084" width="13" style="172" customWidth="1"/>
    <col min="14085" max="14085" width="12" style="172" customWidth="1"/>
    <col min="14086" max="14086" width="16.69921875" style="172" customWidth="1"/>
    <col min="14087" max="14090" width="9" style="172"/>
    <col min="14091" max="14091" width="29.69921875" style="172" customWidth="1"/>
    <col min="14092" max="14336" width="9" style="172"/>
    <col min="14337" max="14337" width="19.19921875" style="172" customWidth="1"/>
    <col min="14338" max="14338" width="20.5" style="172" customWidth="1"/>
    <col min="14339" max="14339" width="11.69921875" style="172" customWidth="1"/>
    <col min="14340" max="14340" width="13" style="172" customWidth="1"/>
    <col min="14341" max="14341" width="12" style="172" customWidth="1"/>
    <col min="14342" max="14342" width="16.69921875" style="172" customWidth="1"/>
    <col min="14343" max="14346" width="9" style="172"/>
    <col min="14347" max="14347" width="29.69921875" style="172" customWidth="1"/>
    <col min="14348" max="14592" width="9" style="172"/>
    <col min="14593" max="14593" width="19.19921875" style="172" customWidth="1"/>
    <col min="14594" max="14594" width="20.5" style="172" customWidth="1"/>
    <col min="14595" max="14595" width="11.69921875" style="172" customWidth="1"/>
    <col min="14596" max="14596" width="13" style="172" customWidth="1"/>
    <col min="14597" max="14597" width="12" style="172" customWidth="1"/>
    <col min="14598" max="14598" width="16.69921875" style="172" customWidth="1"/>
    <col min="14599" max="14602" width="9" style="172"/>
    <col min="14603" max="14603" width="29.69921875" style="172" customWidth="1"/>
    <col min="14604" max="14848" width="9" style="172"/>
    <col min="14849" max="14849" width="19.19921875" style="172" customWidth="1"/>
    <col min="14850" max="14850" width="20.5" style="172" customWidth="1"/>
    <col min="14851" max="14851" width="11.69921875" style="172" customWidth="1"/>
    <col min="14852" max="14852" width="13" style="172" customWidth="1"/>
    <col min="14853" max="14853" width="12" style="172" customWidth="1"/>
    <col min="14854" max="14854" width="16.69921875" style="172" customWidth="1"/>
    <col min="14855" max="14858" width="9" style="172"/>
    <col min="14859" max="14859" width="29.69921875" style="172" customWidth="1"/>
    <col min="14860" max="15104" width="9" style="172"/>
    <col min="15105" max="15105" width="19.19921875" style="172" customWidth="1"/>
    <col min="15106" max="15106" width="20.5" style="172" customWidth="1"/>
    <col min="15107" max="15107" width="11.69921875" style="172" customWidth="1"/>
    <col min="15108" max="15108" width="13" style="172" customWidth="1"/>
    <col min="15109" max="15109" width="12" style="172" customWidth="1"/>
    <col min="15110" max="15110" width="16.69921875" style="172" customWidth="1"/>
    <col min="15111" max="15114" width="9" style="172"/>
    <col min="15115" max="15115" width="29.69921875" style="172" customWidth="1"/>
    <col min="15116" max="15360" width="9" style="172"/>
    <col min="15361" max="15361" width="19.19921875" style="172" customWidth="1"/>
    <col min="15362" max="15362" width="20.5" style="172" customWidth="1"/>
    <col min="15363" max="15363" width="11.69921875" style="172" customWidth="1"/>
    <col min="15364" max="15364" width="13" style="172" customWidth="1"/>
    <col min="15365" max="15365" width="12" style="172" customWidth="1"/>
    <col min="15366" max="15366" width="16.69921875" style="172" customWidth="1"/>
    <col min="15367" max="15370" width="9" style="172"/>
    <col min="15371" max="15371" width="29.69921875" style="172" customWidth="1"/>
    <col min="15372" max="15616" width="9" style="172"/>
    <col min="15617" max="15617" width="19.19921875" style="172" customWidth="1"/>
    <col min="15618" max="15618" width="20.5" style="172" customWidth="1"/>
    <col min="15619" max="15619" width="11.69921875" style="172" customWidth="1"/>
    <col min="15620" max="15620" width="13" style="172" customWidth="1"/>
    <col min="15621" max="15621" width="12" style="172" customWidth="1"/>
    <col min="15622" max="15622" width="16.69921875" style="172" customWidth="1"/>
    <col min="15623" max="15626" width="9" style="172"/>
    <col min="15627" max="15627" width="29.69921875" style="172" customWidth="1"/>
    <col min="15628" max="15872" width="9" style="172"/>
    <col min="15873" max="15873" width="19.19921875" style="172" customWidth="1"/>
    <col min="15874" max="15874" width="20.5" style="172" customWidth="1"/>
    <col min="15875" max="15875" width="11.69921875" style="172" customWidth="1"/>
    <col min="15876" max="15876" width="13" style="172" customWidth="1"/>
    <col min="15877" max="15877" width="12" style="172" customWidth="1"/>
    <col min="15878" max="15878" width="16.69921875" style="172" customWidth="1"/>
    <col min="15879" max="15882" width="9" style="172"/>
    <col min="15883" max="15883" width="29.69921875" style="172" customWidth="1"/>
    <col min="15884" max="16128" width="9" style="172"/>
    <col min="16129" max="16129" width="19.19921875" style="172" customWidth="1"/>
    <col min="16130" max="16130" width="20.5" style="172" customWidth="1"/>
    <col min="16131" max="16131" width="11.69921875" style="172" customWidth="1"/>
    <col min="16132" max="16132" width="13" style="172" customWidth="1"/>
    <col min="16133" max="16133" width="12" style="172" customWidth="1"/>
    <col min="16134" max="16134" width="16.69921875" style="172" customWidth="1"/>
    <col min="16135" max="16138" width="9" style="172"/>
    <col min="16139" max="16139" width="29.69921875" style="172" customWidth="1"/>
    <col min="16140" max="16384" width="9" style="172"/>
  </cols>
  <sheetData>
    <row r="1" spans="1:15" ht="20.100000000000001" customHeight="1">
      <c r="A1" s="3907" t="s">
        <v>2557</v>
      </c>
      <c r="B1" s="3462"/>
      <c r="C1" s="3462"/>
      <c r="D1" s="3462"/>
      <c r="E1" s="3462"/>
      <c r="F1" s="3462"/>
    </row>
    <row r="2" spans="1:15" ht="25.5" customHeight="1">
      <c r="A2" s="3908" t="s">
        <v>2558</v>
      </c>
      <c r="B2" s="3908"/>
      <c r="C2" s="3908"/>
      <c r="D2" s="3908"/>
      <c r="E2" s="3908"/>
      <c r="F2" s="3908"/>
    </row>
    <row r="3" spans="1:15">
      <c r="A3" s="3410" t="s">
        <v>2559</v>
      </c>
      <c r="B3" s="3412"/>
      <c r="C3" s="3909" t="s">
        <v>2560</v>
      </c>
      <c r="D3" s="3910"/>
      <c r="E3" s="3910"/>
      <c r="F3" s="3911"/>
    </row>
    <row r="4" spans="1:15">
      <c r="A4" s="3912" t="s">
        <v>2561</v>
      </c>
      <c r="B4" s="3912"/>
      <c r="C4" s="3912"/>
      <c r="D4" s="3912"/>
      <c r="E4" s="3912"/>
      <c r="F4" s="3912"/>
    </row>
    <row r="5" spans="1:15">
      <c r="A5" s="2037" t="s">
        <v>2562</v>
      </c>
      <c r="B5" s="3905" t="s">
        <v>413</v>
      </c>
      <c r="C5" s="3913"/>
      <c r="D5" s="3913"/>
      <c r="E5" s="3913"/>
      <c r="F5" s="3906"/>
    </row>
    <row r="6" spans="1:15" ht="14.25" customHeight="1">
      <c r="A6" s="2043" t="s">
        <v>2563</v>
      </c>
      <c r="B6" s="2629">
        <f>ROUND(地税、基本情况!B8/10000,2)</f>
        <v>0</v>
      </c>
      <c r="C6" s="3903" t="s">
        <v>2564</v>
      </c>
      <c r="D6" s="3904"/>
      <c r="E6" s="3905" t="s">
        <v>413</v>
      </c>
      <c r="F6" s="3906"/>
    </row>
    <row r="7" spans="1:15" ht="14.25" customHeight="1">
      <c r="A7" s="2043" t="s">
        <v>2565</v>
      </c>
      <c r="B7" s="2645" t="str">
        <f>LEFT(地税、基本情况!F6,4)</f>
        <v/>
      </c>
      <c r="C7" s="3903" t="s">
        <v>6799</v>
      </c>
      <c r="D7" s="3904"/>
      <c r="E7" s="3905" t="s">
        <v>413</v>
      </c>
      <c r="F7" s="3906"/>
    </row>
    <row r="8" spans="1:15" ht="14.25" customHeight="1">
      <c r="A8" s="2037" t="s">
        <v>2566</v>
      </c>
      <c r="B8" s="2630">
        <f ca="1">IFERROR(ROUNDUP(AVERAGE(INDIRECT("社保明细工资人数!J"&amp; 8+VALUE(基本情况!F5) &amp;":J" &amp; 8+VALUE(基本情况!F6))),0),0)</f>
        <v>0</v>
      </c>
      <c r="C8" s="3498" t="s">
        <v>2567</v>
      </c>
      <c r="D8" s="3498"/>
      <c r="E8" s="3905" t="s">
        <v>413</v>
      </c>
      <c r="F8" s="3906"/>
    </row>
    <row r="9" spans="1:15" ht="14.25" customHeight="1">
      <c r="A9" s="2037" t="s">
        <v>2568</v>
      </c>
      <c r="B9" s="2630">
        <f>ROUND((资产负债!C35+资产负债!D35)/2/10000,2)</f>
        <v>0</v>
      </c>
      <c r="C9" s="3930" t="s">
        <v>2569</v>
      </c>
      <c r="D9" s="3930"/>
      <c r="E9" s="3931" t="s">
        <v>413</v>
      </c>
      <c r="F9" s="3931"/>
    </row>
    <row r="10" spans="1:15" ht="14.25" customHeight="1">
      <c r="A10" s="3914" t="s">
        <v>2570</v>
      </c>
      <c r="B10" s="3915"/>
      <c r="C10" s="3915"/>
      <c r="D10" s="3915"/>
      <c r="E10" s="3915"/>
      <c r="F10" s="3916"/>
    </row>
    <row r="11" spans="1:15" ht="27" customHeight="1">
      <c r="A11" s="2036" t="s">
        <v>2571</v>
      </c>
      <c r="B11" s="3932" t="str">
        <f>基本情况!B38</f>
        <v>小企业会计准则</v>
      </c>
      <c r="C11" s="3933"/>
      <c r="D11" s="3933"/>
      <c r="E11" s="3933"/>
      <c r="F11" s="3934"/>
    </row>
    <row r="12" spans="1:15">
      <c r="A12" s="2037" t="s">
        <v>2572</v>
      </c>
      <c r="B12" s="1522"/>
      <c r="C12" s="3498" t="s">
        <v>2573</v>
      </c>
      <c r="D12" s="3498"/>
      <c r="E12" s="3935"/>
      <c r="F12" s="3935"/>
    </row>
    <row r="13" spans="1:15" ht="23.25" customHeight="1">
      <c r="A13" s="2037" t="s">
        <v>2574</v>
      </c>
      <c r="B13" s="2045" t="s">
        <v>2575</v>
      </c>
      <c r="C13" s="3903" t="s">
        <v>2576</v>
      </c>
      <c r="D13" s="3904"/>
      <c r="E13" s="3909" t="s">
        <v>413</v>
      </c>
      <c r="F13" s="3911"/>
      <c r="H13" s="2000"/>
      <c r="I13" s="2000"/>
      <c r="J13" s="2000"/>
      <c r="K13" s="2000"/>
      <c r="L13" s="2000"/>
      <c r="M13" s="2000"/>
      <c r="N13" s="2000"/>
      <c r="O13" s="2000"/>
    </row>
    <row r="14" spans="1:15" ht="14.25" customHeight="1">
      <c r="A14" s="2043" t="s">
        <v>2577</v>
      </c>
      <c r="B14" s="3921"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22"/>
      <c r="D14" s="3922"/>
      <c r="E14" s="3922"/>
      <c r="F14" s="3923"/>
      <c r="H14" s="2039" t="b">
        <v>1</v>
      </c>
      <c r="I14" s="2039" t="b">
        <v>0</v>
      </c>
      <c r="J14" s="2039" t="b">
        <v>0</v>
      </c>
      <c r="K14" s="2039" t="b">
        <v>0</v>
      </c>
      <c r="L14" s="2039" t="b">
        <v>0</v>
      </c>
      <c r="M14" s="1708"/>
      <c r="N14" s="1708"/>
      <c r="O14" s="1708"/>
    </row>
    <row r="15" spans="1:15" ht="14.25" customHeight="1">
      <c r="A15" s="2043" t="s">
        <v>2578</v>
      </c>
      <c r="B15" s="3924" t="s">
        <v>7686</v>
      </c>
      <c r="C15" s="3925"/>
      <c r="D15" s="3925"/>
      <c r="E15" s="3925"/>
      <c r="F15" s="3926"/>
      <c r="H15" s="2039" t="b" ph="1">
        <v>0</v>
      </c>
      <c r="I15" s="2039" t="b" ph="1">
        <v>0</v>
      </c>
      <c r="J15" s="2039" t="b" ph="1">
        <v>1</v>
      </c>
      <c r="K15" s="2039" t="b" ph="1">
        <v>0</v>
      </c>
      <c r="L15" s="2039" t="b" ph="1">
        <v>0</v>
      </c>
      <c r="M15" s="2039" t="b" ph="1">
        <v>0</v>
      </c>
      <c r="N15" s="2039" t="b" ph="1">
        <v>0</v>
      </c>
      <c r="O15" s="2039" t="b" ph="1">
        <v>0</v>
      </c>
    </row>
    <row r="16" spans="1:15" ht="14.25" customHeight="1">
      <c r="A16" s="2043" t="s">
        <v>2579</v>
      </c>
      <c r="B16" s="3927" t="s">
        <v>7685</v>
      </c>
      <c r="C16" s="3928"/>
      <c r="D16" s="3928"/>
      <c r="E16" s="3928"/>
      <c r="F16" s="3929"/>
      <c r="H16" s="2000"/>
      <c r="I16" s="2000"/>
      <c r="J16" s="2000"/>
      <c r="K16" s="2000"/>
      <c r="L16" s="2000"/>
      <c r="M16" s="2000"/>
      <c r="N16" s="2000"/>
      <c r="O16" s="2000"/>
    </row>
    <row r="17" spans="1:8" ht="14.25" customHeight="1">
      <c r="A17" s="2043" t="s">
        <v>2580</v>
      </c>
      <c r="B17" s="3927" t="s">
        <v>2581</v>
      </c>
      <c r="C17" s="3928"/>
      <c r="D17" s="3928"/>
      <c r="E17" s="3928"/>
      <c r="F17" s="3929"/>
    </row>
    <row r="18" spans="1:8" ht="14.25" customHeight="1">
      <c r="A18" s="3914" t="s">
        <v>2582</v>
      </c>
      <c r="B18" s="3915"/>
      <c r="C18" s="3915"/>
      <c r="D18" s="3915"/>
      <c r="E18" s="3915"/>
      <c r="F18" s="3916"/>
    </row>
    <row r="19" spans="1:8">
      <c r="A19" s="3485" t="s">
        <v>2583</v>
      </c>
      <c r="B19" s="3486"/>
      <c r="C19" s="3486"/>
      <c r="D19" s="3486"/>
      <c r="E19" s="3486"/>
      <c r="F19" s="3917"/>
      <c r="H19" s="1709"/>
    </row>
    <row r="20" spans="1:8">
      <c r="A20" s="2034" t="s">
        <v>2584</v>
      </c>
      <c r="B20" s="2033" t="s">
        <v>2585</v>
      </c>
      <c r="C20" s="2033" t="s">
        <v>1656</v>
      </c>
      <c r="D20" s="2034" t="s">
        <v>2586</v>
      </c>
      <c r="E20" s="2565" t="s">
        <v>7687</v>
      </c>
      <c r="F20" s="2034" t="s">
        <v>2587</v>
      </c>
    </row>
    <row r="21" spans="1:8">
      <c r="A21" s="2626" t="str">
        <f>基本情况!A52</f>
        <v/>
      </c>
      <c r="B21" s="2627" t="s">
        <v>2588</v>
      </c>
      <c r="C21" s="2623"/>
      <c r="D21" s="2622">
        <v>430</v>
      </c>
      <c r="E21" s="2628" t="str">
        <f>IFERROR(ROUND(基本情况!C52*100,2),"")</f>
        <v/>
      </c>
      <c r="F21" s="2622">
        <v>156</v>
      </c>
    </row>
    <row r="22" spans="1:8">
      <c r="A22" s="2626" t="str">
        <f>基本情况!A53</f>
        <v/>
      </c>
      <c r="B22" s="2627"/>
      <c r="C22" s="2623"/>
      <c r="D22" s="2622"/>
      <c r="E22" s="2628" t="str">
        <f>IFERROR(ROUND(基本情况!C53*100,2),"")</f>
        <v/>
      </c>
      <c r="F22" s="2622"/>
    </row>
    <row r="23" spans="1:8">
      <c r="A23" s="2626" t="str">
        <f>基本情况!A54</f>
        <v/>
      </c>
      <c r="B23" s="2627"/>
      <c r="C23" s="2623"/>
      <c r="D23" s="2622"/>
      <c r="E23" s="2628" t="str">
        <f>IFERROR(ROUND(基本情况!C54*100,2),"")</f>
        <v/>
      </c>
      <c r="F23" s="2622"/>
    </row>
    <row r="24" spans="1:8">
      <c r="A24" s="2626" t="str">
        <f>基本情况!A55</f>
        <v/>
      </c>
      <c r="B24" s="2627"/>
      <c r="C24" s="2623"/>
      <c r="D24" s="2622"/>
      <c r="E24" s="2628" t="str">
        <f>IFERROR(ROUND(基本情况!C55*100,2),"")</f>
        <v/>
      </c>
      <c r="F24" s="2622"/>
    </row>
    <row r="25" spans="1:8">
      <c r="A25" s="2626" t="str">
        <f>基本情况!A56</f>
        <v/>
      </c>
      <c r="B25" s="2627"/>
      <c r="C25" s="2623"/>
      <c r="D25" s="2622"/>
      <c r="E25" s="2628" t="str">
        <f>IFERROR(ROUND(基本情况!C56*100,2),"")</f>
        <v/>
      </c>
      <c r="F25" s="2622"/>
    </row>
    <row r="26" spans="1:8">
      <c r="A26" s="3485" t="s">
        <v>2589</v>
      </c>
      <c r="B26" s="3486"/>
      <c r="C26" s="3486"/>
      <c r="D26" s="3486"/>
      <c r="E26" s="3486"/>
      <c r="F26" s="3917"/>
    </row>
    <row r="27" spans="1:8">
      <c r="A27" s="2034" t="s">
        <v>2590</v>
      </c>
      <c r="B27" s="2044" t="s">
        <v>1624</v>
      </c>
      <c r="C27" s="2034" t="s">
        <v>2586</v>
      </c>
      <c r="D27" s="2565" t="s">
        <v>7687</v>
      </c>
      <c r="E27" s="2034" t="s">
        <v>2591</v>
      </c>
      <c r="F27" s="2034" t="s">
        <v>1652</v>
      </c>
    </row>
    <row r="28" spans="1:8">
      <c r="A28" s="2622"/>
      <c r="B28" s="2623"/>
      <c r="C28" s="2624"/>
      <c r="D28" s="2625"/>
      <c r="E28" s="2625"/>
      <c r="F28" s="2622"/>
    </row>
    <row r="29" spans="1:8">
      <c r="A29" s="2622"/>
      <c r="B29" s="2623"/>
      <c r="C29" s="2624"/>
      <c r="D29" s="2625"/>
      <c r="E29" s="2625"/>
      <c r="F29" s="2622"/>
    </row>
    <row r="30" spans="1:8">
      <c r="A30" s="2622"/>
      <c r="B30" s="2623"/>
      <c r="C30" s="2624"/>
      <c r="D30" s="2625"/>
      <c r="E30" s="2625"/>
      <c r="F30" s="2622"/>
    </row>
    <row r="31" spans="1:8">
      <c r="A31" s="2622"/>
      <c r="B31" s="2623"/>
      <c r="C31" s="2624"/>
      <c r="D31" s="2625"/>
      <c r="E31" s="2625"/>
      <c r="F31" s="2622"/>
    </row>
    <row r="32" spans="1:8">
      <c r="A32" s="2622"/>
      <c r="B32" s="2623"/>
      <c r="C32" s="2624"/>
      <c r="D32" s="2625"/>
      <c r="E32" s="2625"/>
      <c r="F32" s="2622"/>
    </row>
    <row r="34" spans="1:6" s="2035" customFormat="1">
      <c r="A34" s="3920" t="s">
        <v>6567</v>
      </c>
      <c r="B34" s="3920"/>
      <c r="C34" s="3920"/>
      <c r="D34" s="3920"/>
      <c r="E34" s="3920"/>
      <c r="F34" s="3920"/>
    </row>
    <row r="35" spans="1:6" s="2035" customFormat="1">
      <c r="A35" s="3920"/>
      <c r="B35" s="3920"/>
      <c r="C35" s="3920"/>
      <c r="D35" s="3920"/>
      <c r="E35" s="3920"/>
      <c r="F35" s="3920"/>
    </row>
    <row r="36" spans="1:6" s="2035" customFormat="1">
      <c r="A36" s="3920" t="s">
        <v>6568</v>
      </c>
      <c r="B36" s="3920"/>
      <c r="C36" s="3920"/>
      <c r="D36" s="3920"/>
      <c r="E36" s="3920"/>
      <c r="F36" s="3920"/>
    </row>
    <row r="37" spans="1:6" s="2035" customFormat="1">
      <c r="A37" s="3920" t="s">
        <v>6569</v>
      </c>
      <c r="B37" s="3920"/>
      <c r="C37" s="3920"/>
      <c r="D37" s="3920"/>
      <c r="E37" s="3920"/>
      <c r="F37" s="3920"/>
    </row>
    <row r="38" spans="1:6" s="2035" customFormat="1">
      <c r="A38" s="3920" t="s">
        <v>6570</v>
      </c>
      <c r="B38" s="3920"/>
      <c r="C38" s="3920"/>
      <c r="D38" s="3920"/>
      <c r="E38" s="3920"/>
      <c r="F38" s="3920"/>
    </row>
    <row r="39" spans="1:6" s="2035" customFormat="1">
      <c r="A39" s="3920" t="s">
        <v>6571</v>
      </c>
      <c r="B39" s="3920"/>
      <c r="C39" s="3920"/>
      <c r="D39" s="3920"/>
      <c r="E39" s="3920"/>
      <c r="F39" s="3920"/>
    </row>
    <row r="40" spans="1:6" s="2035" customFormat="1" ht="28.5" customHeight="1">
      <c r="A40" s="3920" t="s">
        <v>6572</v>
      </c>
      <c r="B40" s="3920"/>
      <c r="C40" s="3920"/>
      <c r="D40" s="3920"/>
      <c r="E40" s="3920"/>
      <c r="F40" s="3920"/>
    </row>
    <row r="41" spans="1:6" s="2035" customFormat="1" ht="72.75" customHeight="1">
      <c r="A41" s="3920" t="s">
        <v>6573</v>
      </c>
      <c r="B41" s="3920"/>
      <c r="C41" s="3920"/>
      <c r="D41" s="3920"/>
      <c r="E41" s="3920"/>
      <c r="F41" s="3920"/>
    </row>
    <row r="42" spans="1:6" s="2035" customFormat="1" ht="28.5" customHeight="1">
      <c r="A42" s="3920" t="s">
        <v>6574</v>
      </c>
      <c r="B42" s="3920"/>
      <c r="C42" s="3920"/>
      <c r="D42" s="3920"/>
      <c r="E42" s="3920"/>
      <c r="F42" s="3920"/>
    </row>
    <row r="43" spans="1:6" s="2035" customFormat="1" ht="63.75" customHeight="1">
      <c r="A43" s="3920" t="s">
        <v>6801</v>
      </c>
      <c r="B43" s="3920"/>
      <c r="C43" s="3920"/>
      <c r="D43" s="3920"/>
      <c r="E43" s="3920"/>
      <c r="F43" s="3920"/>
    </row>
    <row r="44" spans="1:6" s="2035" customFormat="1" ht="42" customHeight="1">
      <c r="A44" s="3920" t="s">
        <v>6575</v>
      </c>
      <c r="B44" s="3920"/>
      <c r="C44" s="3920"/>
      <c r="D44" s="3920"/>
      <c r="E44" s="3920"/>
      <c r="F44" s="3920"/>
    </row>
    <row r="45" spans="1:6" s="2035" customFormat="1">
      <c r="A45" s="3920" t="s">
        <v>6576</v>
      </c>
      <c r="B45" s="3920"/>
      <c r="C45" s="3920"/>
      <c r="D45" s="3920"/>
      <c r="E45" s="3920"/>
      <c r="F45" s="3920"/>
    </row>
    <row r="46" spans="1:6" s="2035" customFormat="1">
      <c r="A46" s="3920" t="s">
        <v>6577</v>
      </c>
      <c r="B46" s="3920"/>
      <c r="C46" s="3920"/>
      <c r="D46" s="3920"/>
      <c r="E46" s="3920"/>
      <c r="F46" s="3920"/>
    </row>
    <row r="47" spans="1:6" s="2035" customFormat="1">
      <c r="A47" s="3920" t="s">
        <v>6578</v>
      </c>
      <c r="B47" s="3920"/>
      <c r="C47" s="3920"/>
      <c r="D47" s="3920"/>
      <c r="E47" s="3920"/>
      <c r="F47" s="3920"/>
    </row>
    <row r="48" spans="1:6" s="2035" customFormat="1">
      <c r="A48" s="3920" t="s">
        <v>6579</v>
      </c>
      <c r="B48" s="3920"/>
      <c r="C48" s="3920"/>
      <c r="D48" s="3920"/>
      <c r="E48" s="3920"/>
      <c r="F48" s="3920"/>
    </row>
    <row r="49" spans="1:6" s="2035" customFormat="1" ht="33.75" customHeight="1">
      <c r="A49" s="3920" t="s">
        <v>6580</v>
      </c>
      <c r="B49" s="3920"/>
      <c r="C49" s="3920"/>
      <c r="D49" s="3920"/>
      <c r="E49" s="3920"/>
      <c r="F49" s="3920"/>
    </row>
    <row r="50" spans="1:6" s="2035" customFormat="1" ht="48.75" customHeight="1">
      <c r="A50" s="3920" t="s">
        <v>6581</v>
      </c>
      <c r="B50" s="3920"/>
      <c r="C50" s="3920"/>
      <c r="D50" s="3920"/>
      <c r="E50" s="3920"/>
      <c r="F50" s="3920"/>
    </row>
    <row r="51" spans="1:6" s="2035" customFormat="1">
      <c r="A51" s="3920" t="s">
        <v>6800</v>
      </c>
      <c r="B51" s="3920"/>
      <c r="C51" s="3920"/>
      <c r="D51" s="3920"/>
      <c r="E51" s="3920"/>
      <c r="F51" s="3920"/>
    </row>
    <row r="52" spans="1:6" s="2035" customFormat="1">
      <c r="A52" s="3920" t="s">
        <v>6582</v>
      </c>
      <c r="B52" s="3920"/>
      <c r="C52" s="3920"/>
      <c r="D52" s="3920"/>
      <c r="E52" s="3920"/>
      <c r="F52" s="3920"/>
    </row>
    <row r="53" spans="1:6" s="2035" customFormat="1" ht="37.5" customHeight="1">
      <c r="A53" s="3920" t="s">
        <v>6583</v>
      </c>
      <c r="B53" s="3920"/>
      <c r="C53" s="3920"/>
      <c r="D53" s="3920"/>
      <c r="E53" s="3920"/>
      <c r="F53" s="3920"/>
    </row>
    <row r="54" spans="1:6" s="2035" customFormat="1">
      <c r="A54" s="3920" t="s">
        <v>6584</v>
      </c>
      <c r="B54" s="3920"/>
      <c r="C54" s="3920"/>
      <c r="D54" s="3920"/>
      <c r="E54" s="3920"/>
      <c r="F54" s="3920"/>
    </row>
    <row r="55" spans="1:6" s="2035" customFormat="1">
      <c r="A55" s="3920" t="s">
        <v>6585</v>
      </c>
      <c r="B55" s="3920"/>
      <c r="C55" s="3920"/>
      <c r="D55" s="3920"/>
      <c r="E55" s="3920"/>
      <c r="F55" s="3920"/>
    </row>
    <row r="56" spans="1:6" s="2035" customFormat="1">
      <c r="A56" s="3920" t="s">
        <v>6586</v>
      </c>
      <c r="B56" s="3920"/>
      <c r="C56" s="3920"/>
      <c r="D56" s="3920"/>
      <c r="E56" s="3920"/>
      <c r="F56" s="3920"/>
    </row>
    <row r="57" spans="1:6" s="2035" customFormat="1">
      <c r="A57" s="3920" t="s">
        <v>6587</v>
      </c>
      <c r="B57" s="3920"/>
      <c r="C57" s="3920"/>
      <c r="D57" s="3920"/>
      <c r="E57" s="3920"/>
      <c r="F57" s="3920"/>
    </row>
    <row r="58" spans="1:6" s="2035" customFormat="1" ht="29.25" customHeight="1">
      <c r="A58" s="3920" t="s">
        <v>6588</v>
      </c>
      <c r="B58" s="3920"/>
      <c r="C58" s="3920"/>
      <c r="D58" s="3920"/>
      <c r="E58" s="3920"/>
      <c r="F58" s="3920"/>
    </row>
    <row r="59" spans="1:6" s="2035" customFormat="1">
      <c r="A59" s="3920" t="s">
        <v>6589</v>
      </c>
      <c r="B59" s="3920"/>
      <c r="C59" s="3920"/>
      <c r="D59" s="3920"/>
      <c r="E59" s="3920"/>
      <c r="F59" s="3920"/>
    </row>
    <row r="60" spans="1:6" s="2035" customFormat="1">
      <c r="A60" s="3920" t="s">
        <v>6590</v>
      </c>
      <c r="B60" s="3920"/>
      <c r="C60" s="3920"/>
      <c r="D60" s="3920"/>
      <c r="E60" s="3920"/>
      <c r="F60" s="3920"/>
    </row>
    <row r="61" spans="1:6" s="2035" customFormat="1">
      <c r="A61" s="3920" t="s">
        <v>6591</v>
      </c>
      <c r="B61" s="3920"/>
      <c r="C61" s="3920"/>
      <c r="D61" s="3920"/>
      <c r="E61" s="3920"/>
      <c r="F61" s="3920"/>
    </row>
    <row r="62" spans="1:6" s="2035" customFormat="1">
      <c r="A62" s="3920" t="s">
        <v>6592</v>
      </c>
      <c r="B62" s="3920"/>
      <c r="C62" s="3920"/>
      <c r="D62" s="3920"/>
      <c r="E62" s="3920"/>
      <c r="F62" s="3920"/>
    </row>
    <row r="63" spans="1:6" s="2035" customFormat="1" ht="57.75" customHeight="1">
      <c r="A63" s="3920" t="s">
        <v>6593</v>
      </c>
      <c r="B63" s="3920"/>
      <c r="C63" s="3920"/>
      <c r="D63" s="3920"/>
      <c r="E63" s="3920"/>
      <c r="F63" s="3920"/>
    </row>
    <row r="64" spans="1:6" s="2035" customFormat="1">
      <c r="A64" s="3920" t="s">
        <v>6594</v>
      </c>
      <c r="B64" s="3920"/>
      <c r="C64" s="3920"/>
      <c r="D64" s="3920"/>
      <c r="E64" s="3920"/>
      <c r="F64" s="3920"/>
    </row>
    <row r="65" spans="1:11" s="2035" customFormat="1" ht="35.25" customHeight="1">
      <c r="A65" s="3920" t="s">
        <v>6595</v>
      </c>
      <c r="B65" s="3920"/>
      <c r="C65" s="3920"/>
      <c r="D65" s="3920"/>
      <c r="E65" s="3920"/>
      <c r="F65" s="3920"/>
    </row>
    <row r="66" spans="1:11" s="2035" customFormat="1"/>
    <row r="68" spans="1:11">
      <c r="A68" s="3918" t="s">
        <v>2592</v>
      </c>
      <c r="B68" s="3919"/>
      <c r="C68" s="3919"/>
      <c r="E68" s="3918" t="s">
        <v>428</v>
      </c>
      <c r="F68" s="3919"/>
      <c r="G68" s="3919"/>
      <c r="I68" s="3918" t="s">
        <v>2586</v>
      </c>
      <c r="J68" s="3919"/>
      <c r="K68" s="3919"/>
    </row>
    <row r="69" spans="1:11">
      <c r="A69" s="1524" t="s">
        <v>1869</v>
      </c>
      <c r="B69" s="3936" t="s">
        <v>1870</v>
      </c>
      <c r="C69" s="3936"/>
      <c r="E69" s="1525" t="s">
        <v>2593</v>
      </c>
      <c r="F69" s="3937" t="s">
        <v>2594</v>
      </c>
      <c r="G69" s="3937"/>
      <c r="I69" s="1525">
        <v>100</v>
      </c>
      <c r="J69" s="3937" t="s">
        <v>1760</v>
      </c>
      <c r="K69" s="3937"/>
    </row>
    <row r="70" spans="1:11">
      <c r="A70" s="1524" t="s">
        <v>1871</v>
      </c>
      <c r="B70" s="3936" t="s">
        <v>1872</v>
      </c>
      <c r="C70" s="3936"/>
      <c r="E70" s="1525" t="s">
        <v>2595</v>
      </c>
      <c r="F70" s="3937" t="s">
        <v>2596</v>
      </c>
      <c r="G70" s="3937"/>
      <c r="I70" s="1525">
        <v>110</v>
      </c>
      <c r="J70" s="3937" t="s">
        <v>1762</v>
      </c>
      <c r="K70" s="3937"/>
    </row>
    <row r="71" spans="1:11">
      <c r="A71" s="1524" t="s">
        <v>1873</v>
      </c>
      <c r="B71" s="3936" t="s">
        <v>1874</v>
      </c>
      <c r="C71" s="3936"/>
      <c r="E71" s="1525" t="s">
        <v>2597</v>
      </c>
      <c r="F71" s="3937" t="s">
        <v>2598</v>
      </c>
      <c r="G71" s="3937"/>
      <c r="I71" s="1525">
        <v>120</v>
      </c>
      <c r="J71" s="3937" t="s">
        <v>1764</v>
      </c>
      <c r="K71" s="3937"/>
    </row>
    <row r="72" spans="1:11">
      <c r="A72" s="1524" t="s">
        <v>1875</v>
      </c>
      <c r="B72" s="1526" t="s">
        <v>1876</v>
      </c>
      <c r="C72" s="1526"/>
      <c r="E72" s="1525" t="s">
        <v>2599</v>
      </c>
      <c r="F72" s="3937" t="s">
        <v>2600</v>
      </c>
      <c r="G72" s="3937"/>
      <c r="I72" s="1525">
        <v>130</v>
      </c>
      <c r="J72" s="3937" t="s">
        <v>1766</v>
      </c>
      <c r="K72" s="3937"/>
    </row>
    <row r="73" spans="1:11">
      <c r="A73" s="1524" t="s">
        <v>1877</v>
      </c>
      <c r="B73" s="3936" t="s">
        <v>1878</v>
      </c>
      <c r="C73" s="3936"/>
      <c r="E73" s="1525" t="s">
        <v>2601</v>
      </c>
      <c r="F73" s="3937" t="s">
        <v>2602</v>
      </c>
      <c r="G73" s="3937"/>
      <c r="I73" s="1525">
        <v>140</v>
      </c>
      <c r="J73" s="3937" t="s">
        <v>1768</v>
      </c>
      <c r="K73" s="3937"/>
    </row>
    <row r="74" spans="1:11">
      <c r="A74" s="1524" t="s">
        <v>1879</v>
      </c>
      <c r="B74" s="3936" t="s">
        <v>1880</v>
      </c>
      <c r="C74" s="3936"/>
      <c r="E74" s="1525" t="s">
        <v>2603</v>
      </c>
      <c r="F74" s="3937" t="s">
        <v>2604</v>
      </c>
      <c r="G74" s="3937"/>
      <c r="I74" s="1525">
        <v>141</v>
      </c>
      <c r="J74" s="3937" t="s">
        <v>1770</v>
      </c>
      <c r="K74" s="3937"/>
    </row>
    <row r="75" spans="1:11">
      <c r="A75" s="1524" t="s">
        <v>1881</v>
      </c>
      <c r="B75" s="3936" t="s">
        <v>1882</v>
      </c>
      <c r="C75" s="3936"/>
      <c r="E75" s="1525" t="s">
        <v>2605</v>
      </c>
      <c r="F75" s="3937" t="s">
        <v>2606</v>
      </c>
      <c r="G75" s="3937"/>
      <c r="I75" s="1525">
        <v>142</v>
      </c>
      <c r="J75" s="3937" t="s">
        <v>1772</v>
      </c>
      <c r="K75" s="3937"/>
    </row>
    <row r="76" spans="1:11">
      <c r="A76" s="1524" t="s">
        <v>1883</v>
      </c>
      <c r="B76" s="3936" t="s">
        <v>1884</v>
      </c>
      <c r="C76" s="3936"/>
      <c r="E76" s="1525" t="s">
        <v>2607</v>
      </c>
      <c r="F76" s="3937" t="s">
        <v>2608</v>
      </c>
      <c r="G76" s="3937"/>
      <c r="I76" s="1525">
        <v>143</v>
      </c>
      <c r="J76" s="3937" t="s">
        <v>1774</v>
      </c>
      <c r="K76" s="3937"/>
    </row>
    <row r="77" spans="1:11">
      <c r="A77" s="1524" t="s">
        <v>1885</v>
      </c>
      <c r="B77" s="3936" t="s">
        <v>1886</v>
      </c>
      <c r="C77" s="3936"/>
      <c r="E77" s="1525" t="s">
        <v>2609</v>
      </c>
      <c r="F77" s="3937" t="s">
        <v>2610</v>
      </c>
      <c r="G77" s="3937"/>
      <c r="I77" s="1525">
        <v>149</v>
      </c>
      <c r="J77" s="3937" t="s">
        <v>1776</v>
      </c>
      <c r="K77" s="3937"/>
    </row>
    <row r="78" spans="1:11">
      <c r="A78" s="1524" t="s">
        <v>1887</v>
      </c>
      <c r="B78" s="3936" t="s">
        <v>1888</v>
      </c>
      <c r="C78" s="3936"/>
      <c r="E78" s="1525" t="s">
        <v>2611</v>
      </c>
      <c r="F78" s="3937" t="s">
        <v>2612</v>
      </c>
      <c r="G78" s="3937"/>
      <c r="I78" s="1525">
        <v>150</v>
      </c>
      <c r="J78" s="3937" t="s">
        <v>1778</v>
      </c>
      <c r="K78" s="3937"/>
    </row>
    <row r="79" spans="1:11">
      <c r="A79" s="1524" t="s">
        <v>1889</v>
      </c>
      <c r="B79" s="3936" t="s">
        <v>1890</v>
      </c>
      <c r="C79" s="3936"/>
      <c r="E79" s="1525" t="s">
        <v>2613</v>
      </c>
      <c r="F79" s="3937" t="s">
        <v>2614</v>
      </c>
      <c r="G79" s="3937"/>
      <c r="I79" s="1525">
        <v>151</v>
      </c>
      <c r="J79" s="3937" t="s">
        <v>1780</v>
      </c>
      <c r="K79" s="3937"/>
    </row>
    <row r="80" spans="1:11">
      <c r="A80" s="1524" t="s">
        <v>1891</v>
      </c>
      <c r="B80" s="3936" t="s">
        <v>1892</v>
      </c>
      <c r="C80" s="3936"/>
      <c r="E80" s="1525" t="s">
        <v>2615</v>
      </c>
      <c r="F80" s="3937" t="s">
        <v>2616</v>
      </c>
      <c r="G80" s="3937"/>
      <c r="I80" s="1525">
        <v>159</v>
      </c>
      <c r="J80" s="3937" t="s">
        <v>1655</v>
      </c>
      <c r="K80" s="3937"/>
    </row>
    <row r="81" spans="1:11">
      <c r="A81" s="1524" t="s">
        <v>1893</v>
      </c>
      <c r="B81" s="3936" t="s">
        <v>1894</v>
      </c>
      <c r="C81" s="3936"/>
      <c r="E81" s="1525" t="s">
        <v>2617</v>
      </c>
      <c r="F81" s="3937" t="s">
        <v>2618</v>
      </c>
      <c r="G81" s="3937"/>
      <c r="I81" s="1525">
        <v>160</v>
      </c>
      <c r="J81" s="3937" t="s">
        <v>1782</v>
      </c>
      <c r="K81" s="3937"/>
    </row>
    <row r="82" spans="1:11">
      <c r="A82" s="1524" t="s">
        <v>1895</v>
      </c>
      <c r="B82" s="3936" t="s">
        <v>1896</v>
      </c>
      <c r="C82" s="3936"/>
      <c r="E82" s="1525" t="s">
        <v>2619</v>
      </c>
      <c r="F82" s="3937" t="s">
        <v>2620</v>
      </c>
      <c r="G82" s="3937"/>
      <c r="I82" s="1525">
        <v>170</v>
      </c>
      <c r="J82" s="3937" t="s">
        <v>1784</v>
      </c>
      <c r="K82" s="3937"/>
    </row>
    <row r="83" spans="1:11">
      <c r="A83" s="1524" t="s">
        <v>1897</v>
      </c>
      <c r="B83" s="3936" t="s">
        <v>1898</v>
      </c>
      <c r="C83" s="3936"/>
      <c r="E83" s="1525" t="s">
        <v>2621</v>
      </c>
      <c r="F83" s="3937" t="s">
        <v>2622</v>
      </c>
      <c r="G83" s="3937"/>
      <c r="I83" s="1525">
        <v>171</v>
      </c>
      <c r="J83" s="3937" t="s">
        <v>1786</v>
      </c>
      <c r="K83" s="3937"/>
    </row>
    <row r="84" spans="1:11">
      <c r="A84" s="1524" t="s">
        <v>1899</v>
      </c>
      <c r="B84" s="3936" t="s">
        <v>1900</v>
      </c>
      <c r="C84" s="3936"/>
      <c r="E84" s="1525" t="s">
        <v>2623</v>
      </c>
      <c r="F84" s="3937" t="s">
        <v>2624</v>
      </c>
      <c r="G84" s="3937"/>
      <c r="I84" s="1525">
        <v>172</v>
      </c>
      <c r="J84" s="3937" t="s">
        <v>1788</v>
      </c>
      <c r="K84" s="3937"/>
    </row>
    <row r="85" spans="1:11">
      <c r="A85" s="1524" t="s">
        <v>1901</v>
      </c>
      <c r="B85" s="3936" t="s">
        <v>1902</v>
      </c>
      <c r="C85" s="3936"/>
      <c r="E85" s="1525" t="s">
        <v>2625</v>
      </c>
      <c r="F85" s="3937" t="s">
        <v>2626</v>
      </c>
      <c r="G85" s="3937"/>
      <c r="I85" s="1525">
        <v>173</v>
      </c>
      <c r="J85" s="3937" t="s">
        <v>1790</v>
      </c>
      <c r="K85" s="3937"/>
    </row>
    <row r="86" spans="1:11">
      <c r="A86" s="1524" t="s">
        <v>1903</v>
      </c>
      <c r="B86" s="3936" t="s">
        <v>1904</v>
      </c>
      <c r="C86" s="3936"/>
      <c r="E86" s="1525" t="s">
        <v>2627</v>
      </c>
      <c r="F86" s="3937" t="s">
        <v>2628</v>
      </c>
      <c r="G86" s="3937"/>
      <c r="I86" s="1525">
        <v>174</v>
      </c>
      <c r="J86" s="3937" t="s">
        <v>1792</v>
      </c>
      <c r="K86" s="3937"/>
    </row>
    <row r="87" spans="1:11">
      <c r="A87" s="1524" t="s">
        <v>1905</v>
      </c>
      <c r="B87" s="3936" t="s">
        <v>1906</v>
      </c>
      <c r="C87" s="3936"/>
      <c r="E87" s="1525" t="s">
        <v>2629</v>
      </c>
      <c r="F87" s="3937" t="s">
        <v>2630</v>
      </c>
      <c r="G87" s="3937"/>
      <c r="I87" s="1525">
        <v>175</v>
      </c>
      <c r="J87" s="3937" t="s">
        <v>1794</v>
      </c>
      <c r="K87" s="3937"/>
    </row>
    <row r="88" spans="1:11">
      <c r="A88" s="1524" t="s">
        <v>1907</v>
      </c>
      <c r="B88" s="3936" t="s">
        <v>1908</v>
      </c>
      <c r="C88" s="3936"/>
      <c r="E88" s="1525" t="s">
        <v>2631</v>
      </c>
      <c r="F88" s="3937" t="s">
        <v>2632</v>
      </c>
      <c r="G88" s="3937"/>
      <c r="I88" s="1525">
        <v>190</v>
      </c>
      <c r="J88" s="3937" t="s">
        <v>1796</v>
      </c>
      <c r="K88" s="3937"/>
    </row>
    <row r="89" spans="1:11">
      <c r="A89" s="1524" t="s">
        <v>1909</v>
      </c>
      <c r="B89" s="3936" t="s">
        <v>1910</v>
      </c>
      <c r="C89" s="3936"/>
      <c r="E89" s="1525" t="s">
        <v>2633</v>
      </c>
      <c r="F89" s="3937" t="s">
        <v>2634</v>
      </c>
      <c r="G89" s="3937"/>
      <c r="I89" s="1525">
        <v>200</v>
      </c>
      <c r="J89" s="3937" t="s">
        <v>1798</v>
      </c>
      <c r="K89" s="3937"/>
    </row>
    <row r="90" spans="1:11">
      <c r="A90" s="1524" t="s">
        <v>1911</v>
      </c>
      <c r="B90" s="3936" t="s">
        <v>1912</v>
      </c>
      <c r="C90" s="3936"/>
      <c r="E90" s="1525" t="s">
        <v>2635</v>
      </c>
      <c r="F90" s="3937" t="s">
        <v>2636</v>
      </c>
      <c r="G90" s="3937"/>
      <c r="I90" s="1525">
        <v>210</v>
      </c>
      <c r="J90" s="3937" t="s">
        <v>1799</v>
      </c>
      <c r="K90" s="3937"/>
    </row>
    <row r="91" spans="1:11">
      <c r="A91" s="1524" t="s">
        <v>1913</v>
      </c>
      <c r="B91" s="3936" t="s">
        <v>1914</v>
      </c>
      <c r="C91" s="3936"/>
      <c r="E91" s="1525" t="s">
        <v>2637</v>
      </c>
      <c r="F91" s="3937" t="s">
        <v>2638</v>
      </c>
      <c r="G91" s="3937"/>
      <c r="I91" s="1525">
        <v>220</v>
      </c>
      <c r="J91" s="3937" t="s">
        <v>1800</v>
      </c>
      <c r="K91" s="3937"/>
    </row>
    <row r="92" spans="1:11">
      <c r="A92" s="1524" t="s">
        <v>1915</v>
      </c>
      <c r="B92" s="3936" t="s">
        <v>1916</v>
      </c>
      <c r="C92" s="3936"/>
      <c r="E92" s="1525" t="s">
        <v>2639</v>
      </c>
      <c r="F92" s="3937" t="s">
        <v>2640</v>
      </c>
      <c r="G92" s="3937"/>
      <c r="I92" s="1525">
        <v>230</v>
      </c>
      <c r="J92" s="3937" t="s">
        <v>1801</v>
      </c>
      <c r="K92" s="3937"/>
    </row>
    <row r="93" spans="1:11">
      <c r="A93" s="1524" t="s">
        <v>1917</v>
      </c>
      <c r="B93" s="3936" t="s">
        <v>1918</v>
      </c>
      <c r="C93" s="3936"/>
      <c r="E93" s="1525" t="s">
        <v>2641</v>
      </c>
      <c r="F93" s="3937" t="s">
        <v>2642</v>
      </c>
      <c r="G93" s="3937"/>
      <c r="I93" s="1525">
        <v>240</v>
      </c>
      <c r="J93" s="3937" t="s">
        <v>1802</v>
      </c>
      <c r="K93" s="3937"/>
    </row>
    <row r="94" spans="1:11">
      <c r="A94" s="1524" t="s">
        <v>1919</v>
      </c>
      <c r="B94" s="3936" t="s">
        <v>1920</v>
      </c>
      <c r="C94" s="3936"/>
      <c r="E94" s="1525" t="s">
        <v>2643</v>
      </c>
      <c r="F94" s="3937" t="s">
        <v>2644</v>
      </c>
      <c r="G94" s="3937"/>
      <c r="I94" s="1525">
        <v>250</v>
      </c>
      <c r="J94" s="3937" t="s">
        <v>1803</v>
      </c>
      <c r="K94" s="3937"/>
    </row>
    <row r="95" spans="1:11">
      <c r="A95" s="1524" t="s">
        <v>1921</v>
      </c>
      <c r="B95" s="3936" t="s">
        <v>1922</v>
      </c>
      <c r="C95" s="3936"/>
      <c r="E95" s="1525" t="s">
        <v>2645</v>
      </c>
      <c r="F95" s="3937" t="s">
        <v>2646</v>
      </c>
      <c r="G95" s="3937"/>
      <c r="I95" s="1525">
        <v>251</v>
      </c>
      <c r="J95" s="3937" t="s">
        <v>1804</v>
      </c>
      <c r="K95" s="3937"/>
    </row>
    <row r="96" spans="1:11">
      <c r="A96" s="1524" t="s">
        <v>1923</v>
      </c>
      <c r="B96" s="3936" t="s">
        <v>1924</v>
      </c>
      <c r="C96" s="3936"/>
      <c r="E96" s="1525" t="s">
        <v>2647</v>
      </c>
      <c r="F96" s="3937" t="s">
        <v>2648</v>
      </c>
      <c r="G96" s="3937"/>
      <c r="I96" s="1525">
        <v>252</v>
      </c>
      <c r="J96" s="3937" t="s">
        <v>1805</v>
      </c>
      <c r="K96" s="3937"/>
    </row>
    <row r="97" spans="1:11">
      <c r="A97" s="1524" t="s">
        <v>1925</v>
      </c>
      <c r="B97" s="3936" t="s">
        <v>1926</v>
      </c>
      <c r="C97" s="3936"/>
      <c r="E97" s="1525" t="s">
        <v>2649</v>
      </c>
      <c r="F97" s="3937" t="s">
        <v>2650</v>
      </c>
      <c r="G97" s="3937"/>
      <c r="I97" s="1525">
        <v>253</v>
      </c>
      <c r="J97" s="3937" t="s">
        <v>1806</v>
      </c>
      <c r="K97" s="3937"/>
    </row>
    <row r="98" spans="1:11">
      <c r="A98" s="1524" t="s">
        <v>1927</v>
      </c>
      <c r="B98" s="3936" t="s">
        <v>1928</v>
      </c>
      <c r="C98" s="3936"/>
      <c r="E98" s="1525" t="s">
        <v>2651</v>
      </c>
      <c r="F98" s="3937" t="s">
        <v>2652</v>
      </c>
      <c r="G98" s="3937"/>
      <c r="I98" s="1525">
        <v>254</v>
      </c>
      <c r="J98" s="3937" t="s">
        <v>1807</v>
      </c>
      <c r="K98" s="3937"/>
    </row>
    <row r="99" spans="1:11">
      <c r="A99" s="1524" t="s">
        <v>1929</v>
      </c>
      <c r="B99" s="3936" t="s">
        <v>1930</v>
      </c>
      <c r="C99" s="3936"/>
      <c r="E99" s="1525" t="s">
        <v>2653</v>
      </c>
      <c r="F99" s="3937" t="s">
        <v>2654</v>
      </c>
      <c r="G99" s="3937"/>
      <c r="I99" s="1525">
        <v>259</v>
      </c>
      <c r="J99" s="3937" t="s">
        <v>1808</v>
      </c>
      <c r="K99" s="3937"/>
    </row>
    <row r="100" spans="1:11">
      <c r="A100" s="1524" t="s">
        <v>1931</v>
      </c>
      <c r="B100" s="3936" t="s">
        <v>1932</v>
      </c>
      <c r="C100" s="3936"/>
      <c r="E100" s="1525" t="s">
        <v>2655</v>
      </c>
      <c r="F100" s="3937" t="s">
        <v>2656</v>
      </c>
      <c r="G100" s="3937"/>
      <c r="I100" s="1525">
        <v>300</v>
      </c>
      <c r="J100" s="3937" t="s">
        <v>1809</v>
      </c>
      <c r="K100" s="3937"/>
    </row>
    <row r="101" spans="1:11">
      <c r="A101" s="1524" t="s">
        <v>1933</v>
      </c>
      <c r="B101" s="3936" t="s">
        <v>1934</v>
      </c>
      <c r="C101" s="3936"/>
      <c r="E101" s="1525" t="s">
        <v>2657</v>
      </c>
      <c r="F101" s="3937" t="s">
        <v>2658</v>
      </c>
      <c r="G101" s="3937"/>
      <c r="I101" s="1525">
        <v>310</v>
      </c>
      <c r="J101" s="3937" t="s">
        <v>1810</v>
      </c>
      <c r="K101" s="3937"/>
    </row>
    <row r="102" spans="1:11">
      <c r="A102" s="1524" t="s">
        <v>1935</v>
      </c>
      <c r="B102" s="3936" t="s">
        <v>1936</v>
      </c>
      <c r="C102" s="3936"/>
      <c r="E102" s="1525" t="s">
        <v>2659</v>
      </c>
      <c r="F102" s="3937" t="s">
        <v>2660</v>
      </c>
      <c r="G102" s="3937"/>
      <c r="I102" s="1525">
        <v>320</v>
      </c>
      <c r="J102" s="3937" t="s">
        <v>1811</v>
      </c>
      <c r="K102" s="3937"/>
    </row>
    <row r="103" spans="1:11">
      <c r="A103" s="1524" t="s">
        <v>1937</v>
      </c>
      <c r="B103" s="3936" t="s">
        <v>1938</v>
      </c>
      <c r="C103" s="3936"/>
      <c r="E103" s="1525" t="s">
        <v>2661</v>
      </c>
      <c r="F103" s="3937" t="s">
        <v>2662</v>
      </c>
      <c r="G103" s="3937"/>
      <c r="I103" s="1525">
        <v>330</v>
      </c>
      <c r="J103" s="3937" t="s">
        <v>1812</v>
      </c>
      <c r="K103" s="3937"/>
    </row>
    <row r="104" spans="1:11">
      <c r="A104" s="1524" t="s">
        <v>1939</v>
      </c>
      <c r="B104" s="3936" t="s">
        <v>1940</v>
      </c>
      <c r="C104" s="3936"/>
      <c r="E104" s="1525" t="s">
        <v>2663</v>
      </c>
      <c r="F104" s="3937" t="s">
        <v>2664</v>
      </c>
      <c r="G104" s="3937"/>
      <c r="I104" s="1525">
        <v>340</v>
      </c>
      <c r="J104" s="3937" t="s">
        <v>1813</v>
      </c>
      <c r="K104" s="3937"/>
    </row>
    <row r="105" spans="1:11">
      <c r="A105" s="1524" t="s">
        <v>1941</v>
      </c>
      <c r="B105" s="3936" t="s">
        <v>1942</v>
      </c>
      <c r="C105" s="3936"/>
      <c r="E105" s="1525" t="s">
        <v>2665</v>
      </c>
      <c r="F105" s="3937" t="s">
        <v>2666</v>
      </c>
      <c r="G105" s="3937"/>
      <c r="I105" s="1525">
        <v>350</v>
      </c>
      <c r="J105" s="3937" t="s">
        <v>1814</v>
      </c>
      <c r="K105" s="3937"/>
    </row>
    <row r="106" spans="1:11">
      <c r="A106" s="1524" t="s">
        <v>1943</v>
      </c>
      <c r="B106" s="3936" t="s">
        <v>1944</v>
      </c>
      <c r="C106" s="3936"/>
      <c r="E106" s="1525" t="s">
        <v>2667</v>
      </c>
      <c r="F106" s="3937" t="s">
        <v>2668</v>
      </c>
      <c r="G106" s="3937"/>
      <c r="I106" s="1525">
        <v>351</v>
      </c>
      <c r="J106" s="3937" t="s">
        <v>1815</v>
      </c>
      <c r="K106" s="3937"/>
    </row>
    <row r="107" spans="1:11">
      <c r="A107" s="1524" t="s">
        <v>1945</v>
      </c>
      <c r="B107" s="3936" t="s">
        <v>1946</v>
      </c>
      <c r="C107" s="3936"/>
      <c r="E107" s="1525" t="s">
        <v>2669</v>
      </c>
      <c r="F107" s="3937" t="s">
        <v>2670</v>
      </c>
      <c r="G107" s="3937"/>
      <c r="I107" s="1525">
        <v>352</v>
      </c>
      <c r="J107" s="3937" t="s">
        <v>1816</v>
      </c>
      <c r="K107" s="3937"/>
    </row>
    <row r="108" spans="1:11">
      <c r="A108" s="1524" t="s">
        <v>1947</v>
      </c>
      <c r="B108" s="3936" t="s">
        <v>1948</v>
      </c>
      <c r="C108" s="3936"/>
      <c r="E108" s="1525" t="s">
        <v>2671</v>
      </c>
      <c r="F108" s="3937" t="s">
        <v>2672</v>
      </c>
      <c r="G108" s="3937"/>
      <c r="I108" s="1525">
        <v>353</v>
      </c>
      <c r="J108" s="3937" t="s">
        <v>1817</v>
      </c>
      <c r="K108" s="3937"/>
    </row>
    <row r="109" spans="1:11">
      <c r="A109" s="1524" t="s">
        <v>1949</v>
      </c>
      <c r="B109" s="3936" t="s">
        <v>1950</v>
      </c>
      <c r="C109" s="3936"/>
      <c r="E109" s="1525" t="s">
        <v>2673</v>
      </c>
      <c r="F109" s="3937" t="s">
        <v>2674</v>
      </c>
      <c r="G109" s="3937"/>
      <c r="I109" s="1525">
        <v>354</v>
      </c>
      <c r="J109" s="3937" t="s">
        <v>1818</v>
      </c>
      <c r="K109" s="3937"/>
    </row>
    <row r="110" spans="1:11">
      <c r="A110" s="1524" t="s">
        <v>1951</v>
      </c>
      <c r="B110" s="3936" t="s">
        <v>1952</v>
      </c>
      <c r="C110" s="3936"/>
      <c r="E110" s="1525" t="s">
        <v>2675</v>
      </c>
      <c r="F110" s="3937" t="s">
        <v>2676</v>
      </c>
      <c r="G110" s="3937"/>
      <c r="I110" s="1525">
        <v>359</v>
      </c>
      <c r="J110" s="3937" t="s">
        <v>1819</v>
      </c>
      <c r="K110" s="3937"/>
    </row>
    <row r="111" spans="1:11">
      <c r="A111" s="1524" t="s">
        <v>1953</v>
      </c>
      <c r="B111" s="3936" t="s">
        <v>1954</v>
      </c>
      <c r="C111" s="3936"/>
      <c r="E111" s="1525" t="s">
        <v>2677</v>
      </c>
      <c r="F111" s="3937" t="s">
        <v>2678</v>
      </c>
      <c r="G111" s="3937"/>
      <c r="I111" s="1525">
        <v>400</v>
      </c>
      <c r="J111" s="3937" t="s">
        <v>1820</v>
      </c>
      <c r="K111" s="3937"/>
    </row>
    <row r="112" spans="1:11">
      <c r="A112" s="1524" t="s">
        <v>1955</v>
      </c>
      <c r="B112" s="3936" t="s">
        <v>1956</v>
      </c>
      <c r="C112" s="3936"/>
      <c r="E112" s="1525" t="s">
        <v>2679</v>
      </c>
      <c r="F112" s="3937" t="s">
        <v>2680</v>
      </c>
      <c r="G112" s="3937"/>
      <c r="I112" s="1525">
        <v>410</v>
      </c>
      <c r="J112" s="3937" t="s">
        <v>1821</v>
      </c>
      <c r="K112" s="3937"/>
    </row>
    <row r="113" spans="1:11">
      <c r="A113" s="1524" t="s">
        <v>1957</v>
      </c>
      <c r="B113" s="3936" t="s">
        <v>1958</v>
      </c>
      <c r="C113" s="3936"/>
      <c r="E113" s="1525" t="s">
        <v>2681</v>
      </c>
      <c r="F113" s="3937" t="s">
        <v>2682</v>
      </c>
      <c r="G113" s="3937"/>
      <c r="I113" s="1525">
        <v>411</v>
      </c>
      <c r="J113" s="3937" t="s">
        <v>1822</v>
      </c>
      <c r="K113" s="3937"/>
    </row>
    <row r="114" spans="1:11">
      <c r="A114" s="1524" t="s">
        <v>1959</v>
      </c>
      <c r="B114" s="3936" t="s">
        <v>1960</v>
      </c>
      <c r="C114" s="3936"/>
      <c r="E114" s="1525" t="s">
        <v>2683</v>
      </c>
      <c r="F114" s="3937" t="s">
        <v>2684</v>
      </c>
      <c r="G114" s="3937"/>
      <c r="I114" s="1525">
        <v>412</v>
      </c>
      <c r="J114" s="3937" t="s">
        <v>1823</v>
      </c>
      <c r="K114" s="3937"/>
    </row>
    <row r="115" spans="1:11">
      <c r="A115" s="1524" t="s">
        <v>1961</v>
      </c>
      <c r="B115" s="3936" t="s">
        <v>1962</v>
      </c>
      <c r="C115" s="3936"/>
      <c r="E115" s="1525" t="s">
        <v>2685</v>
      </c>
      <c r="F115" s="3937" t="s">
        <v>2686</v>
      </c>
      <c r="G115" s="3937"/>
      <c r="I115" s="1525">
        <v>413</v>
      </c>
      <c r="J115" s="3937" t="s">
        <v>1824</v>
      </c>
      <c r="K115" s="3937"/>
    </row>
    <row r="116" spans="1:11">
      <c r="A116" s="1524" t="s">
        <v>1963</v>
      </c>
      <c r="B116" s="3936" t="s">
        <v>1964</v>
      </c>
      <c r="C116" s="3936"/>
      <c r="E116" s="1525" t="s">
        <v>2687</v>
      </c>
      <c r="F116" s="3937" t="s">
        <v>2688</v>
      </c>
      <c r="G116" s="3937"/>
      <c r="I116" s="1525">
        <v>420</v>
      </c>
      <c r="J116" s="3937" t="s">
        <v>1825</v>
      </c>
      <c r="K116" s="3937"/>
    </row>
    <row r="117" spans="1:11">
      <c r="A117" s="1524" t="s">
        <v>1965</v>
      </c>
      <c r="B117" s="3936" t="s">
        <v>1966</v>
      </c>
      <c r="C117" s="3936"/>
      <c r="E117" s="1525" t="s">
        <v>2689</v>
      </c>
      <c r="F117" s="3937" t="s">
        <v>2690</v>
      </c>
      <c r="G117" s="3937"/>
      <c r="I117" s="1525">
        <v>421</v>
      </c>
      <c r="J117" s="3937" t="s">
        <v>1826</v>
      </c>
      <c r="K117" s="3937"/>
    </row>
    <row r="118" spans="1:11">
      <c r="A118" s="1524" t="s">
        <v>1681</v>
      </c>
      <c r="B118" s="3936" t="s">
        <v>1967</v>
      </c>
      <c r="C118" s="3936"/>
      <c r="E118" s="1525" t="s">
        <v>2691</v>
      </c>
      <c r="F118" s="3937" t="s">
        <v>2692</v>
      </c>
      <c r="G118" s="3937"/>
      <c r="I118" s="1525">
        <v>422</v>
      </c>
      <c r="J118" s="3937" t="s">
        <v>1827</v>
      </c>
      <c r="K118" s="3937"/>
    </row>
    <row r="119" spans="1:11">
      <c r="A119" s="1524" t="s">
        <v>2693</v>
      </c>
      <c r="B119" s="3936" t="s">
        <v>2694</v>
      </c>
      <c r="C119" s="3936"/>
      <c r="E119" s="1525" t="s">
        <v>2695</v>
      </c>
      <c r="F119" s="3937" t="s">
        <v>2696</v>
      </c>
      <c r="G119" s="3937"/>
      <c r="I119" s="1525">
        <v>423</v>
      </c>
      <c r="J119" s="3937" t="s">
        <v>1828</v>
      </c>
      <c r="K119" s="3937"/>
    </row>
    <row r="120" spans="1:11">
      <c r="A120" s="1524" t="s">
        <v>1968</v>
      </c>
      <c r="B120" s="3936" t="s">
        <v>2697</v>
      </c>
      <c r="C120" s="3936"/>
      <c r="E120" s="1525" t="s">
        <v>2698</v>
      </c>
      <c r="F120" s="3937" t="s">
        <v>2699</v>
      </c>
      <c r="G120" s="3937"/>
      <c r="I120" s="1525">
        <v>430</v>
      </c>
      <c r="J120" s="3937" t="s">
        <v>1483</v>
      </c>
      <c r="K120" s="3937"/>
    </row>
    <row r="121" spans="1:11">
      <c r="A121" s="1524" t="s">
        <v>1969</v>
      </c>
      <c r="B121" s="3936" t="s">
        <v>1970</v>
      </c>
      <c r="C121" s="3936"/>
      <c r="E121" s="1525" t="s">
        <v>2700</v>
      </c>
      <c r="F121" s="3937" t="s">
        <v>2701</v>
      </c>
      <c r="G121" s="3937"/>
      <c r="I121" s="1525">
        <v>431</v>
      </c>
      <c r="J121" s="3937" t="s">
        <v>1829</v>
      </c>
      <c r="K121" s="3937"/>
    </row>
    <row r="122" spans="1:11">
      <c r="A122" s="1524" t="s">
        <v>1971</v>
      </c>
      <c r="B122" s="3936" t="s">
        <v>1972</v>
      </c>
      <c r="C122" s="3936"/>
      <c r="E122" s="1525" t="s">
        <v>2702</v>
      </c>
      <c r="F122" s="3937" t="s">
        <v>2703</v>
      </c>
      <c r="G122" s="3937"/>
      <c r="I122" s="1525">
        <v>432</v>
      </c>
      <c r="J122" s="3937" t="s">
        <v>1830</v>
      </c>
      <c r="K122" s="3937"/>
    </row>
    <row r="123" spans="1:11">
      <c r="A123" s="1524" t="s">
        <v>1973</v>
      </c>
      <c r="B123" s="3936" t="s">
        <v>1974</v>
      </c>
      <c r="C123" s="3936"/>
      <c r="E123" s="1525" t="s">
        <v>2704</v>
      </c>
      <c r="F123" s="3937" t="s">
        <v>2705</v>
      </c>
      <c r="G123" s="3937"/>
      <c r="I123" s="1525">
        <v>433</v>
      </c>
      <c r="J123" s="3937" t="s">
        <v>1831</v>
      </c>
      <c r="K123" s="3937"/>
    </row>
    <row r="124" spans="1:11">
      <c r="A124" s="1524" t="s">
        <v>1975</v>
      </c>
      <c r="B124" s="3936" t="s">
        <v>1976</v>
      </c>
      <c r="C124" s="3936"/>
      <c r="E124" s="1525" t="s">
        <v>2706</v>
      </c>
      <c r="F124" s="3937" t="s">
        <v>2707</v>
      </c>
      <c r="G124" s="3937"/>
      <c r="I124" s="1525">
        <v>500</v>
      </c>
      <c r="J124" s="3937" t="s">
        <v>1832</v>
      </c>
      <c r="K124" s="3937"/>
    </row>
    <row r="125" spans="1:11">
      <c r="A125" s="1524" t="s">
        <v>1977</v>
      </c>
      <c r="B125" s="3936" t="s">
        <v>1978</v>
      </c>
      <c r="C125" s="3936"/>
      <c r="E125" s="1525" t="s">
        <v>2708</v>
      </c>
      <c r="F125" s="3937" t="s">
        <v>2709</v>
      </c>
      <c r="G125" s="3937"/>
      <c r="I125" s="1525">
        <v>510</v>
      </c>
      <c r="J125" s="3937" t="s">
        <v>1833</v>
      </c>
      <c r="K125" s="3937"/>
    </row>
    <row r="126" spans="1:11">
      <c r="A126" s="1524" t="s">
        <v>1979</v>
      </c>
      <c r="B126" s="3936" t="s">
        <v>1980</v>
      </c>
      <c r="C126" s="3936"/>
      <c r="E126" s="1525" t="s">
        <v>2710</v>
      </c>
      <c r="F126" s="3937" t="s">
        <v>2711</v>
      </c>
      <c r="G126" s="3937"/>
      <c r="I126" s="1525">
        <v>520</v>
      </c>
      <c r="J126" s="3937" t="s">
        <v>1834</v>
      </c>
      <c r="K126" s="3937"/>
    </row>
    <row r="127" spans="1:11">
      <c r="A127" s="1524" t="s">
        <v>1682</v>
      </c>
      <c r="B127" s="3936" t="s">
        <v>1981</v>
      </c>
      <c r="C127" s="3936"/>
      <c r="E127" s="1525" t="s">
        <v>2712</v>
      </c>
      <c r="F127" s="3937" t="s">
        <v>2713</v>
      </c>
      <c r="G127" s="3937"/>
      <c r="I127" s="1525">
        <v>521</v>
      </c>
      <c r="J127" s="3937" t="s">
        <v>1835</v>
      </c>
      <c r="K127" s="3937"/>
    </row>
    <row r="128" spans="1:11">
      <c r="A128" s="1524" t="s">
        <v>1982</v>
      </c>
      <c r="B128" s="3936" t="s">
        <v>1983</v>
      </c>
      <c r="C128" s="3936"/>
      <c r="E128" s="1525" t="s">
        <v>2714</v>
      </c>
      <c r="F128" s="3937" t="s">
        <v>2715</v>
      </c>
      <c r="G128" s="3937"/>
      <c r="I128" s="1525">
        <v>522</v>
      </c>
      <c r="J128" s="3937" t="s">
        <v>1836</v>
      </c>
      <c r="K128" s="3937"/>
    </row>
    <row r="129" spans="1:11">
      <c r="A129" s="1524" t="s">
        <v>1984</v>
      </c>
      <c r="B129" s="3936" t="s">
        <v>1985</v>
      </c>
      <c r="C129" s="3936"/>
      <c r="E129" s="1525" t="s">
        <v>2716</v>
      </c>
      <c r="F129" s="3937" t="s">
        <v>2717</v>
      </c>
      <c r="G129" s="3937"/>
      <c r="I129" s="1525">
        <v>523</v>
      </c>
      <c r="J129" s="3937" t="s">
        <v>1837</v>
      </c>
      <c r="K129" s="3937"/>
    </row>
    <row r="130" spans="1:11">
      <c r="A130" s="1524" t="s">
        <v>1986</v>
      </c>
      <c r="B130" s="3936" t="s">
        <v>1987</v>
      </c>
      <c r="C130" s="3936"/>
      <c r="E130" s="1525" t="s">
        <v>2718</v>
      </c>
      <c r="F130" s="3937" t="s">
        <v>2719</v>
      </c>
      <c r="G130" s="3937"/>
      <c r="I130" s="1525">
        <v>530</v>
      </c>
      <c r="J130" s="3937" t="s">
        <v>1838</v>
      </c>
      <c r="K130" s="3937"/>
    </row>
    <row r="131" spans="1:11">
      <c r="A131" s="1524" t="s">
        <v>1988</v>
      </c>
      <c r="B131" s="3936" t="s">
        <v>1989</v>
      </c>
      <c r="C131" s="3936"/>
      <c r="E131" s="1525" t="s">
        <v>2720</v>
      </c>
      <c r="F131" s="3937" t="s">
        <v>2721</v>
      </c>
      <c r="G131" s="3937"/>
      <c r="I131" s="1525">
        <v>540</v>
      </c>
      <c r="J131" s="3937" t="s">
        <v>1839</v>
      </c>
      <c r="K131" s="3937"/>
    </row>
    <row r="132" spans="1:11">
      <c r="A132" s="1524" t="s">
        <v>1990</v>
      </c>
      <c r="B132" s="3936" t="s">
        <v>1991</v>
      </c>
      <c r="C132" s="3936"/>
      <c r="E132" s="1525" t="s">
        <v>2722</v>
      </c>
      <c r="F132" s="3937" t="s">
        <v>2723</v>
      </c>
      <c r="G132" s="3937"/>
      <c r="I132" s="1525">
        <v>550</v>
      </c>
      <c r="J132" s="3937" t="s">
        <v>1840</v>
      </c>
      <c r="K132" s="3937"/>
    </row>
    <row r="133" spans="1:11">
      <c r="A133" s="1524" t="s">
        <v>1992</v>
      </c>
      <c r="B133" s="3936" t="s">
        <v>1993</v>
      </c>
      <c r="C133" s="3936"/>
      <c r="E133" s="1525" t="s">
        <v>2724</v>
      </c>
      <c r="F133" s="3937" t="s">
        <v>2725</v>
      </c>
      <c r="G133" s="3937"/>
      <c r="I133" s="1525">
        <v>560</v>
      </c>
      <c r="J133" s="3937" t="s">
        <v>1841</v>
      </c>
      <c r="K133" s="3937"/>
    </row>
    <row r="134" spans="1:11">
      <c r="A134" s="1524" t="s">
        <v>1683</v>
      </c>
      <c r="B134" s="3936" t="s">
        <v>1994</v>
      </c>
      <c r="C134" s="3936"/>
      <c r="E134" s="1525" t="s">
        <v>2726</v>
      </c>
      <c r="F134" s="3937" t="s">
        <v>2727</v>
      </c>
      <c r="G134" s="3937"/>
    </row>
    <row r="135" spans="1:11">
      <c r="A135" s="1524" t="s">
        <v>1995</v>
      </c>
      <c r="B135" s="3936" t="s">
        <v>1996</v>
      </c>
      <c r="C135" s="3936"/>
      <c r="E135" s="1525" t="s">
        <v>2728</v>
      </c>
      <c r="F135" s="3937" t="s">
        <v>2729</v>
      </c>
      <c r="G135" s="3937"/>
    </row>
    <row r="136" spans="1:11">
      <c r="A136" s="1524" t="s">
        <v>1997</v>
      </c>
      <c r="B136" s="3936" t="s">
        <v>1998</v>
      </c>
      <c r="C136" s="3936"/>
      <c r="E136" s="1525" t="s">
        <v>2730</v>
      </c>
      <c r="F136" s="3937" t="s">
        <v>2731</v>
      </c>
      <c r="G136" s="3937"/>
    </row>
    <row r="137" spans="1:11">
      <c r="A137" s="1524" t="s">
        <v>1999</v>
      </c>
      <c r="B137" s="3936" t="s">
        <v>2000</v>
      </c>
      <c r="C137" s="3936"/>
      <c r="E137" s="1525" t="s">
        <v>2732</v>
      </c>
      <c r="F137" s="3937" t="s">
        <v>2733</v>
      </c>
      <c r="G137" s="3937"/>
    </row>
    <row r="138" spans="1:11">
      <c r="A138" s="1524" t="s">
        <v>2001</v>
      </c>
      <c r="B138" s="3936" t="s">
        <v>2002</v>
      </c>
      <c r="C138" s="3936"/>
      <c r="E138" s="1525" t="s">
        <v>2734</v>
      </c>
      <c r="F138" s="3937" t="s">
        <v>2735</v>
      </c>
      <c r="G138" s="3937"/>
    </row>
    <row r="139" spans="1:11">
      <c r="A139" s="1524" t="s">
        <v>2003</v>
      </c>
      <c r="B139" s="3936" t="s">
        <v>2004</v>
      </c>
      <c r="C139" s="3936"/>
      <c r="E139" s="1525" t="s">
        <v>2736</v>
      </c>
      <c r="F139" s="3937" t="s">
        <v>2737</v>
      </c>
      <c r="G139" s="3937"/>
    </row>
    <row r="140" spans="1:11">
      <c r="A140" s="1524" t="s">
        <v>2005</v>
      </c>
      <c r="B140" s="3936" t="s">
        <v>2006</v>
      </c>
      <c r="C140" s="3936"/>
      <c r="E140" s="1525" t="s">
        <v>2738</v>
      </c>
      <c r="F140" s="3937" t="s">
        <v>2739</v>
      </c>
      <c r="G140" s="3937"/>
    </row>
    <row r="141" spans="1:11">
      <c r="A141" s="1524" t="s">
        <v>2007</v>
      </c>
      <c r="B141" s="3936" t="s">
        <v>2008</v>
      </c>
      <c r="C141" s="3936"/>
      <c r="E141" s="1525" t="s">
        <v>2740</v>
      </c>
      <c r="F141" s="3937" t="s">
        <v>2741</v>
      </c>
      <c r="G141" s="3937"/>
    </row>
    <row r="142" spans="1:11">
      <c r="A142" s="1524" t="s">
        <v>2742</v>
      </c>
      <c r="B142" s="3936" t="s">
        <v>2743</v>
      </c>
      <c r="C142" s="3936"/>
      <c r="E142" s="1525" t="s">
        <v>2744</v>
      </c>
      <c r="F142" s="3937" t="s">
        <v>2745</v>
      </c>
      <c r="G142" s="3937"/>
    </row>
    <row r="143" spans="1:11">
      <c r="A143" s="1524" t="s">
        <v>2009</v>
      </c>
      <c r="B143" s="3936" t="s">
        <v>2010</v>
      </c>
      <c r="C143" s="3936"/>
      <c r="E143" s="1525" t="s">
        <v>2746</v>
      </c>
      <c r="F143" s="3937" t="s">
        <v>2747</v>
      </c>
      <c r="G143" s="3937"/>
    </row>
    <row r="144" spans="1:11">
      <c r="A144" s="1524" t="s">
        <v>2011</v>
      </c>
      <c r="B144" s="3936" t="s">
        <v>2012</v>
      </c>
      <c r="C144" s="3936"/>
      <c r="E144" s="1525" t="s">
        <v>2748</v>
      </c>
      <c r="F144" s="3937" t="s">
        <v>2749</v>
      </c>
      <c r="G144" s="3937"/>
    </row>
    <row r="145" spans="1:7">
      <c r="A145" s="1524" t="s">
        <v>2013</v>
      </c>
      <c r="B145" s="3936" t="s">
        <v>2014</v>
      </c>
      <c r="C145" s="3936"/>
      <c r="E145" s="1525" t="s">
        <v>2750</v>
      </c>
      <c r="F145" s="3937" t="s">
        <v>2751</v>
      </c>
      <c r="G145" s="3937"/>
    </row>
    <row r="146" spans="1:7">
      <c r="A146" s="1524" t="s">
        <v>2015</v>
      </c>
      <c r="B146" s="3936" t="s">
        <v>2016</v>
      </c>
      <c r="C146" s="3936"/>
      <c r="E146" s="1525" t="s">
        <v>2752</v>
      </c>
      <c r="F146" s="3937" t="s">
        <v>2753</v>
      </c>
      <c r="G146" s="3937"/>
    </row>
    <row r="147" spans="1:7">
      <c r="A147" s="1524" t="s">
        <v>2017</v>
      </c>
      <c r="B147" s="3936" t="s">
        <v>2018</v>
      </c>
      <c r="C147" s="3936"/>
      <c r="E147" s="1525" t="s">
        <v>2754</v>
      </c>
      <c r="F147" s="3937" t="s">
        <v>2755</v>
      </c>
      <c r="G147" s="3937"/>
    </row>
    <row r="148" spans="1:7">
      <c r="A148" s="1524" t="s">
        <v>2019</v>
      </c>
      <c r="B148" s="3936" t="s">
        <v>2020</v>
      </c>
      <c r="C148" s="3936"/>
      <c r="E148" s="1525" t="s">
        <v>2756</v>
      </c>
      <c r="F148" s="3937" t="s">
        <v>2757</v>
      </c>
      <c r="G148" s="3937"/>
    </row>
    <row r="149" spans="1:7">
      <c r="A149" s="1524" t="s">
        <v>2021</v>
      </c>
      <c r="B149" s="3936" t="s">
        <v>2022</v>
      </c>
      <c r="C149" s="3936"/>
      <c r="E149" s="1525" t="s">
        <v>2758</v>
      </c>
      <c r="F149" s="3937" t="s">
        <v>2759</v>
      </c>
      <c r="G149" s="3937"/>
    </row>
    <row r="150" spans="1:7">
      <c r="A150" s="1524" t="s">
        <v>2023</v>
      </c>
      <c r="B150" s="3936" t="s">
        <v>2024</v>
      </c>
      <c r="C150" s="3936"/>
      <c r="E150" s="1525" t="s">
        <v>2760</v>
      </c>
      <c r="F150" s="3937" t="s">
        <v>2761</v>
      </c>
      <c r="G150" s="3937"/>
    </row>
    <row r="151" spans="1:7">
      <c r="A151" s="1524" t="s">
        <v>2762</v>
      </c>
      <c r="B151" s="3936" t="s">
        <v>2763</v>
      </c>
      <c r="C151" s="3936"/>
      <c r="E151" s="1525" t="s">
        <v>2764</v>
      </c>
      <c r="F151" s="3937" t="s">
        <v>2765</v>
      </c>
      <c r="G151" s="3937"/>
    </row>
    <row r="152" spans="1:7">
      <c r="A152" s="1524" t="s">
        <v>2025</v>
      </c>
      <c r="B152" s="3936" t="s">
        <v>2026</v>
      </c>
      <c r="C152" s="3936"/>
      <c r="E152" s="1525" t="s">
        <v>2766</v>
      </c>
      <c r="F152" s="3937" t="s">
        <v>2767</v>
      </c>
      <c r="G152" s="3937"/>
    </row>
    <row r="153" spans="1:7">
      <c r="A153" s="1524" t="s">
        <v>2027</v>
      </c>
      <c r="B153" s="3936" t="s">
        <v>2028</v>
      </c>
      <c r="C153" s="3936"/>
      <c r="E153" s="1525" t="s">
        <v>2768</v>
      </c>
      <c r="F153" s="3937" t="s">
        <v>2769</v>
      </c>
      <c r="G153" s="3937"/>
    </row>
    <row r="154" spans="1:7">
      <c r="A154" s="1524" t="s">
        <v>2029</v>
      </c>
      <c r="B154" s="3936" t="s">
        <v>2030</v>
      </c>
      <c r="C154" s="3936"/>
      <c r="E154" s="1525" t="s">
        <v>2770</v>
      </c>
      <c r="F154" s="3937" t="s">
        <v>2771</v>
      </c>
      <c r="G154" s="3937"/>
    </row>
    <row r="155" spans="1:7">
      <c r="A155" s="1524" t="s">
        <v>2031</v>
      </c>
      <c r="B155" s="3936" t="s">
        <v>2032</v>
      </c>
      <c r="C155" s="3936"/>
      <c r="E155" s="1525" t="s">
        <v>2772</v>
      </c>
      <c r="F155" s="3937" t="s">
        <v>2773</v>
      </c>
      <c r="G155" s="3937"/>
    </row>
    <row r="156" spans="1:7">
      <c r="A156" s="1524" t="s">
        <v>2033</v>
      </c>
      <c r="B156" s="3936" t="s">
        <v>2034</v>
      </c>
      <c r="C156" s="3936"/>
      <c r="E156" s="1525" t="s">
        <v>2774</v>
      </c>
      <c r="F156" s="3937" t="s">
        <v>2775</v>
      </c>
      <c r="G156" s="3937"/>
    </row>
    <row r="157" spans="1:7">
      <c r="A157" s="1524" t="s">
        <v>2035</v>
      </c>
      <c r="B157" s="3936" t="s">
        <v>2036</v>
      </c>
      <c r="C157" s="3936"/>
      <c r="E157" s="1525" t="s">
        <v>2776</v>
      </c>
      <c r="F157" s="3937" t="s">
        <v>2777</v>
      </c>
      <c r="G157" s="3937"/>
    </row>
    <row r="158" spans="1:7">
      <c r="A158" s="1524" t="s">
        <v>2037</v>
      </c>
      <c r="B158" s="3936" t="s">
        <v>2038</v>
      </c>
      <c r="C158" s="3936"/>
      <c r="E158" s="1525" t="s">
        <v>2778</v>
      </c>
      <c r="F158" s="3937" t="s">
        <v>2779</v>
      </c>
      <c r="G158" s="3937"/>
    </row>
    <row r="159" spans="1:7">
      <c r="A159" s="1524" t="s">
        <v>2039</v>
      </c>
      <c r="B159" s="3936" t="s">
        <v>2040</v>
      </c>
      <c r="C159" s="3936"/>
      <c r="E159" s="1525" t="s">
        <v>2780</v>
      </c>
      <c r="F159" s="3937" t="s">
        <v>2781</v>
      </c>
      <c r="G159" s="3937"/>
    </row>
    <row r="160" spans="1:7">
      <c r="A160" s="1524" t="s">
        <v>2041</v>
      </c>
      <c r="B160" s="3936" t="s">
        <v>2042</v>
      </c>
      <c r="C160" s="3936"/>
      <c r="E160" s="1525" t="s">
        <v>2782</v>
      </c>
      <c r="F160" s="3937" t="s">
        <v>2783</v>
      </c>
      <c r="G160" s="3937"/>
    </row>
    <row r="161" spans="1:7">
      <c r="A161" s="1524" t="s">
        <v>2043</v>
      </c>
      <c r="B161" s="3936" t="s">
        <v>2044</v>
      </c>
      <c r="C161" s="3936"/>
      <c r="E161" s="1525" t="s">
        <v>2784</v>
      </c>
      <c r="F161" s="3937" t="s">
        <v>2785</v>
      </c>
      <c r="G161" s="3937"/>
    </row>
    <row r="162" spans="1:7">
      <c r="A162" s="1524" t="s">
        <v>2045</v>
      </c>
      <c r="B162" s="3936" t="s">
        <v>2046</v>
      </c>
      <c r="C162" s="3936"/>
      <c r="E162" s="1525" t="s">
        <v>2786</v>
      </c>
      <c r="F162" s="3937" t="s">
        <v>2787</v>
      </c>
      <c r="G162" s="3937"/>
    </row>
    <row r="163" spans="1:7">
      <c r="A163" s="1524" t="s">
        <v>2047</v>
      </c>
      <c r="B163" s="3936" t="s">
        <v>2048</v>
      </c>
      <c r="C163" s="3936"/>
      <c r="E163" s="1525" t="s">
        <v>2788</v>
      </c>
      <c r="F163" s="3937" t="s">
        <v>2789</v>
      </c>
      <c r="G163" s="3937"/>
    </row>
    <row r="164" spans="1:7">
      <c r="A164" s="1524" t="s">
        <v>2049</v>
      </c>
      <c r="B164" s="3936" t="s">
        <v>2050</v>
      </c>
      <c r="C164" s="3936"/>
      <c r="E164" s="1525" t="s">
        <v>2790</v>
      </c>
      <c r="F164" s="3937" t="s">
        <v>2791</v>
      </c>
      <c r="G164" s="3937"/>
    </row>
    <row r="165" spans="1:7">
      <c r="A165" s="1524" t="s">
        <v>2051</v>
      </c>
      <c r="B165" s="3936" t="s">
        <v>2052</v>
      </c>
      <c r="C165" s="3936"/>
      <c r="E165" s="1525" t="s">
        <v>2792</v>
      </c>
      <c r="F165" s="3937" t="s">
        <v>2793</v>
      </c>
      <c r="G165" s="3937"/>
    </row>
    <row r="166" spans="1:7">
      <c r="A166" s="1524" t="s">
        <v>2053</v>
      </c>
      <c r="B166" s="3936" t="s">
        <v>2054</v>
      </c>
      <c r="C166" s="3936"/>
      <c r="E166" s="1525" t="s">
        <v>2794</v>
      </c>
      <c r="F166" s="3937" t="s">
        <v>2795</v>
      </c>
      <c r="G166" s="3937"/>
    </row>
    <row r="167" spans="1:7">
      <c r="A167" s="1524" t="s">
        <v>2055</v>
      </c>
      <c r="B167" s="3936" t="s">
        <v>2056</v>
      </c>
      <c r="C167" s="3936"/>
      <c r="E167" s="1525" t="s">
        <v>2796</v>
      </c>
      <c r="F167" s="3937" t="s">
        <v>2797</v>
      </c>
      <c r="G167" s="3937"/>
    </row>
    <row r="168" spans="1:7">
      <c r="A168" s="1524" t="s">
        <v>2057</v>
      </c>
      <c r="B168" s="3936" t="s">
        <v>2058</v>
      </c>
      <c r="C168" s="3936"/>
      <c r="E168" s="1525" t="s">
        <v>2798</v>
      </c>
      <c r="F168" s="3937" t="s">
        <v>2799</v>
      </c>
      <c r="G168" s="3937"/>
    </row>
    <row r="169" spans="1:7">
      <c r="A169" s="1524" t="s">
        <v>2059</v>
      </c>
      <c r="B169" s="3936" t="s">
        <v>2060</v>
      </c>
      <c r="C169" s="3936"/>
      <c r="E169" s="1525" t="s">
        <v>2800</v>
      </c>
      <c r="F169" s="3937" t="s">
        <v>2801</v>
      </c>
      <c r="G169" s="3937"/>
    </row>
    <row r="170" spans="1:7">
      <c r="A170" s="1524" t="s">
        <v>2061</v>
      </c>
      <c r="B170" s="3936" t="s">
        <v>2062</v>
      </c>
      <c r="C170" s="3936"/>
      <c r="E170" s="1525" t="s">
        <v>2802</v>
      </c>
      <c r="F170" s="3937" t="s">
        <v>2803</v>
      </c>
      <c r="G170" s="3937"/>
    </row>
    <row r="171" spans="1:7">
      <c r="A171" s="1524" t="s">
        <v>2063</v>
      </c>
      <c r="B171" s="3936" t="s">
        <v>2064</v>
      </c>
      <c r="C171" s="3936"/>
      <c r="E171" s="1525" t="s">
        <v>2804</v>
      </c>
      <c r="F171" s="3937" t="s">
        <v>2805</v>
      </c>
      <c r="G171" s="3937"/>
    </row>
    <row r="172" spans="1:7">
      <c r="A172" s="1524" t="s">
        <v>2065</v>
      </c>
      <c r="B172" s="3936" t="s">
        <v>2066</v>
      </c>
      <c r="C172" s="3936"/>
      <c r="E172" s="1525" t="s">
        <v>2806</v>
      </c>
      <c r="F172" s="3937" t="s">
        <v>2807</v>
      </c>
      <c r="G172" s="3937"/>
    </row>
    <row r="173" spans="1:7">
      <c r="A173" s="1524" t="s">
        <v>2067</v>
      </c>
      <c r="B173" s="3936" t="s">
        <v>2068</v>
      </c>
      <c r="C173" s="3936"/>
      <c r="E173" s="1525" t="s">
        <v>2808</v>
      </c>
      <c r="F173" s="3937" t="s">
        <v>2809</v>
      </c>
      <c r="G173" s="3937"/>
    </row>
    <row r="174" spans="1:7">
      <c r="A174" s="1524" t="s">
        <v>2069</v>
      </c>
      <c r="B174" s="3936" t="s">
        <v>2070</v>
      </c>
      <c r="C174" s="3936"/>
      <c r="E174" s="1525" t="s">
        <v>2810</v>
      </c>
      <c r="F174" s="3937" t="s">
        <v>2811</v>
      </c>
      <c r="G174" s="3937"/>
    </row>
    <row r="175" spans="1:7">
      <c r="A175" s="1524" t="s">
        <v>2071</v>
      </c>
      <c r="B175" s="3936" t="s">
        <v>2072</v>
      </c>
      <c r="C175" s="3936"/>
      <c r="E175" s="1525" t="s">
        <v>2812</v>
      </c>
      <c r="F175" s="3937" t="s">
        <v>2813</v>
      </c>
      <c r="G175" s="3937"/>
    </row>
    <row r="176" spans="1:7">
      <c r="A176" s="1524" t="s">
        <v>2073</v>
      </c>
      <c r="B176" s="3936" t="s">
        <v>2074</v>
      </c>
      <c r="C176" s="3936"/>
      <c r="E176" s="1525" t="s">
        <v>2814</v>
      </c>
      <c r="F176" s="3937" t="s">
        <v>2815</v>
      </c>
      <c r="G176" s="3937"/>
    </row>
    <row r="177" spans="1:7">
      <c r="A177" s="1524" t="s">
        <v>2075</v>
      </c>
      <c r="B177" s="3936" t="s">
        <v>2076</v>
      </c>
      <c r="C177" s="3936"/>
      <c r="E177" s="1525" t="s">
        <v>2816</v>
      </c>
      <c r="F177" s="3937" t="s">
        <v>2817</v>
      </c>
      <c r="G177" s="3937"/>
    </row>
    <row r="178" spans="1:7">
      <c r="A178" s="1524" t="s">
        <v>2077</v>
      </c>
      <c r="B178" s="3936" t="s">
        <v>2078</v>
      </c>
      <c r="C178" s="3936"/>
      <c r="E178" s="1525" t="s">
        <v>2818</v>
      </c>
      <c r="F178" s="3937" t="s">
        <v>2819</v>
      </c>
      <c r="G178" s="3937"/>
    </row>
    <row r="179" spans="1:7">
      <c r="A179" s="1524" t="s">
        <v>2079</v>
      </c>
      <c r="B179" s="3936" t="s">
        <v>2080</v>
      </c>
      <c r="C179" s="3936"/>
      <c r="E179" s="1525" t="s">
        <v>2820</v>
      </c>
      <c r="F179" s="3937" t="s">
        <v>2821</v>
      </c>
      <c r="G179" s="3937"/>
    </row>
    <row r="180" spans="1:7">
      <c r="A180" s="1524" t="s">
        <v>2081</v>
      </c>
      <c r="B180" s="3936" t="s">
        <v>2082</v>
      </c>
      <c r="C180" s="3936"/>
      <c r="E180" s="1525" t="s">
        <v>2822</v>
      </c>
      <c r="F180" s="3937" t="s">
        <v>2823</v>
      </c>
      <c r="G180" s="3937"/>
    </row>
    <row r="181" spans="1:7">
      <c r="A181" s="1524" t="s">
        <v>2083</v>
      </c>
      <c r="B181" s="3936" t="s">
        <v>2084</v>
      </c>
      <c r="C181" s="3936"/>
      <c r="E181" s="1525" t="s">
        <v>2824</v>
      </c>
      <c r="F181" s="3937" t="s">
        <v>2825</v>
      </c>
      <c r="G181" s="3937"/>
    </row>
    <row r="182" spans="1:7">
      <c r="A182" s="1524" t="s">
        <v>2085</v>
      </c>
      <c r="B182" s="3936" t="s">
        <v>2086</v>
      </c>
      <c r="C182" s="3936"/>
      <c r="E182" s="1525" t="s">
        <v>2826</v>
      </c>
      <c r="F182" s="3937" t="s">
        <v>2827</v>
      </c>
      <c r="G182" s="3937"/>
    </row>
    <row r="183" spans="1:7">
      <c r="A183" s="1524" t="s">
        <v>2087</v>
      </c>
      <c r="B183" s="3936" t="s">
        <v>2088</v>
      </c>
      <c r="C183" s="3936"/>
      <c r="E183" s="1525" t="s">
        <v>2828</v>
      </c>
      <c r="F183" s="3937" t="s">
        <v>2829</v>
      </c>
      <c r="G183" s="3937"/>
    </row>
    <row r="184" spans="1:7">
      <c r="A184" s="1524" t="s">
        <v>2089</v>
      </c>
      <c r="B184" s="3936" t="s">
        <v>2090</v>
      </c>
      <c r="C184" s="3936"/>
      <c r="E184" s="1525" t="s">
        <v>2830</v>
      </c>
      <c r="F184" s="3937" t="s">
        <v>2831</v>
      </c>
      <c r="G184" s="3937"/>
    </row>
    <row r="185" spans="1:7">
      <c r="A185" s="1524" t="s">
        <v>2091</v>
      </c>
      <c r="B185" s="3936" t="s">
        <v>2092</v>
      </c>
      <c r="C185" s="3936"/>
      <c r="E185" s="1525" t="s">
        <v>2832</v>
      </c>
      <c r="F185" s="3937" t="s">
        <v>2833</v>
      </c>
      <c r="G185" s="3937"/>
    </row>
    <row r="186" spans="1:7">
      <c r="A186" s="1524" t="s">
        <v>2093</v>
      </c>
      <c r="B186" s="3936" t="s">
        <v>2094</v>
      </c>
      <c r="C186" s="3936"/>
      <c r="E186" s="1525" t="s">
        <v>2834</v>
      </c>
      <c r="F186" s="3937" t="s">
        <v>2835</v>
      </c>
      <c r="G186" s="3937"/>
    </row>
    <row r="187" spans="1:7">
      <c r="A187" s="1524" t="s">
        <v>2095</v>
      </c>
      <c r="B187" s="3936" t="s">
        <v>2096</v>
      </c>
      <c r="C187" s="3936"/>
      <c r="E187" s="1525" t="s">
        <v>2836</v>
      </c>
      <c r="F187" s="3937" t="s">
        <v>2837</v>
      </c>
      <c r="G187" s="3937"/>
    </row>
    <row r="188" spans="1:7">
      <c r="A188" s="1524" t="s">
        <v>2097</v>
      </c>
      <c r="B188" s="3936" t="s">
        <v>2098</v>
      </c>
      <c r="C188" s="3936"/>
      <c r="E188" s="1525" t="s">
        <v>2838</v>
      </c>
      <c r="F188" s="3937" t="s">
        <v>2839</v>
      </c>
      <c r="G188" s="3937"/>
    </row>
    <row r="189" spans="1:7">
      <c r="A189" s="1524" t="s">
        <v>2099</v>
      </c>
      <c r="B189" s="3936" t="s">
        <v>2100</v>
      </c>
      <c r="C189" s="3936"/>
      <c r="E189" s="1525" t="s">
        <v>2840</v>
      </c>
      <c r="F189" s="3937" t="s">
        <v>2841</v>
      </c>
      <c r="G189" s="3937"/>
    </row>
    <row r="190" spans="1:7">
      <c r="A190" s="1524" t="s">
        <v>2101</v>
      </c>
      <c r="B190" s="3936" t="s">
        <v>2102</v>
      </c>
      <c r="C190" s="3936"/>
      <c r="E190" s="1525" t="s">
        <v>2842</v>
      </c>
      <c r="F190" s="3937" t="s">
        <v>2843</v>
      </c>
      <c r="G190" s="3937"/>
    </row>
    <row r="191" spans="1:7">
      <c r="A191" s="1524" t="s">
        <v>2103</v>
      </c>
      <c r="B191" s="3936" t="s">
        <v>2104</v>
      </c>
      <c r="C191" s="3936"/>
      <c r="E191" s="1525" t="s">
        <v>2844</v>
      </c>
      <c r="F191" s="3937" t="s">
        <v>2845</v>
      </c>
      <c r="G191" s="3937"/>
    </row>
    <row r="192" spans="1:7">
      <c r="A192" s="1524" t="s">
        <v>2105</v>
      </c>
      <c r="B192" s="3936" t="s">
        <v>2106</v>
      </c>
      <c r="C192" s="3936"/>
      <c r="E192" s="1525" t="s">
        <v>2846</v>
      </c>
      <c r="F192" s="3937" t="s">
        <v>2847</v>
      </c>
      <c r="G192" s="3937"/>
    </row>
    <row r="193" spans="1:7">
      <c r="A193" s="1524" t="s">
        <v>2107</v>
      </c>
      <c r="B193" s="3936" t="s">
        <v>2108</v>
      </c>
      <c r="C193" s="3936"/>
      <c r="E193" s="1525" t="s">
        <v>2848</v>
      </c>
      <c r="F193" s="3937" t="s">
        <v>2849</v>
      </c>
      <c r="G193" s="3937"/>
    </row>
    <row r="194" spans="1:7">
      <c r="A194" s="1524" t="s">
        <v>2109</v>
      </c>
      <c r="B194" s="3936" t="s">
        <v>2110</v>
      </c>
      <c r="C194" s="3936"/>
      <c r="E194" s="1525" t="s">
        <v>2850</v>
      </c>
      <c r="F194" s="3937" t="s">
        <v>2851</v>
      </c>
      <c r="G194" s="3937"/>
    </row>
    <row r="195" spans="1:7">
      <c r="A195" s="1524" t="s">
        <v>2111</v>
      </c>
      <c r="B195" s="3936" t="s">
        <v>2112</v>
      </c>
      <c r="C195" s="3936"/>
      <c r="E195" s="1525" t="s">
        <v>2852</v>
      </c>
      <c r="F195" s="3937" t="s">
        <v>2853</v>
      </c>
      <c r="G195" s="3937"/>
    </row>
    <row r="196" spans="1:7">
      <c r="A196" s="1524" t="s">
        <v>2113</v>
      </c>
      <c r="B196" s="3936" t="s">
        <v>2114</v>
      </c>
      <c r="C196" s="3936"/>
      <c r="E196" s="1525" t="s">
        <v>2854</v>
      </c>
      <c r="F196" s="3937" t="s">
        <v>2855</v>
      </c>
      <c r="G196" s="3937"/>
    </row>
    <row r="197" spans="1:7">
      <c r="A197" s="1524" t="s">
        <v>2115</v>
      </c>
      <c r="B197" s="3936" t="s">
        <v>2116</v>
      </c>
      <c r="C197" s="3936"/>
      <c r="E197" s="1525" t="s">
        <v>2856</v>
      </c>
      <c r="F197" s="3937" t="s">
        <v>2857</v>
      </c>
      <c r="G197" s="3937"/>
    </row>
    <row r="198" spans="1:7">
      <c r="A198" s="1524" t="s">
        <v>2117</v>
      </c>
      <c r="B198" s="3936" t="s">
        <v>2118</v>
      </c>
      <c r="C198" s="3936"/>
      <c r="E198" s="1525" t="s">
        <v>2858</v>
      </c>
      <c r="F198" s="3937" t="s">
        <v>2859</v>
      </c>
      <c r="G198" s="3937"/>
    </row>
    <row r="199" spans="1:7">
      <c r="A199" s="1524" t="s">
        <v>2119</v>
      </c>
      <c r="B199" s="3936" t="s">
        <v>2120</v>
      </c>
      <c r="C199" s="3936"/>
      <c r="E199" s="1525" t="s">
        <v>2860</v>
      </c>
      <c r="F199" s="3937" t="s">
        <v>2861</v>
      </c>
      <c r="G199" s="3937"/>
    </row>
    <row r="200" spans="1:7">
      <c r="A200" s="1524" t="s">
        <v>2121</v>
      </c>
      <c r="B200" s="3936" t="s">
        <v>2122</v>
      </c>
      <c r="C200" s="3936"/>
      <c r="E200" s="1525" t="s">
        <v>2862</v>
      </c>
      <c r="F200" s="3937" t="s">
        <v>2863</v>
      </c>
      <c r="G200" s="3937"/>
    </row>
    <row r="201" spans="1:7">
      <c r="A201" s="1524" t="s">
        <v>2123</v>
      </c>
      <c r="B201" s="3936" t="s">
        <v>2124</v>
      </c>
      <c r="C201" s="3936"/>
      <c r="E201" s="1525" t="s">
        <v>2864</v>
      </c>
      <c r="F201" s="3937" t="s">
        <v>2865</v>
      </c>
      <c r="G201" s="3937"/>
    </row>
    <row r="202" spans="1:7">
      <c r="A202" s="1524" t="s">
        <v>2125</v>
      </c>
      <c r="B202" s="3936" t="s">
        <v>2126</v>
      </c>
      <c r="C202" s="3936"/>
      <c r="E202" s="1525" t="s">
        <v>2866</v>
      </c>
      <c r="F202" s="3937" t="s">
        <v>2867</v>
      </c>
      <c r="G202" s="3937"/>
    </row>
    <row r="203" spans="1:7">
      <c r="A203" s="1524" t="s">
        <v>2127</v>
      </c>
      <c r="B203" s="3936" t="s">
        <v>2128</v>
      </c>
      <c r="C203" s="3936"/>
      <c r="E203" s="1525" t="s">
        <v>2868</v>
      </c>
      <c r="F203" s="3937" t="s">
        <v>2869</v>
      </c>
      <c r="G203" s="3937"/>
    </row>
    <row r="204" spans="1:7">
      <c r="A204" s="1524" t="s">
        <v>2129</v>
      </c>
      <c r="B204" s="3936" t="s">
        <v>2130</v>
      </c>
      <c r="C204" s="3936"/>
      <c r="E204" s="1525" t="s">
        <v>2870</v>
      </c>
      <c r="F204" s="3937" t="s">
        <v>2871</v>
      </c>
      <c r="G204" s="3937"/>
    </row>
    <row r="205" spans="1:7">
      <c r="A205" s="1524" t="s">
        <v>2131</v>
      </c>
      <c r="B205" s="3936" t="s">
        <v>2132</v>
      </c>
      <c r="C205" s="3936"/>
      <c r="E205" s="1525" t="s">
        <v>2872</v>
      </c>
      <c r="F205" s="3937" t="s">
        <v>2873</v>
      </c>
      <c r="G205" s="3937"/>
    </row>
    <row r="206" spans="1:7">
      <c r="A206" s="1524" t="s">
        <v>2133</v>
      </c>
      <c r="B206" s="3936" t="s">
        <v>2134</v>
      </c>
      <c r="C206" s="3936"/>
      <c r="E206" s="1525" t="s">
        <v>2874</v>
      </c>
      <c r="F206" s="3937" t="s">
        <v>2875</v>
      </c>
      <c r="G206" s="3937"/>
    </row>
    <row r="207" spans="1:7">
      <c r="A207" s="1524" t="s">
        <v>2135</v>
      </c>
      <c r="B207" s="3936" t="s">
        <v>2136</v>
      </c>
      <c r="C207" s="3936"/>
      <c r="E207" s="1525" t="s">
        <v>2876</v>
      </c>
      <c r="F207" s="3937" t="s">
        <v>2877</v>
      </c>
      <c r="G207" s="3937"/>
    </row>
    <row r="208" spans="1:7">
      <c r="A208" s="1524" t="s">
        <v>2137</v>
      </c>
      <c r="B208" s="3936" t="s">
        <v>2138</v>
      </c>
      <c r="C208" s="3936"/>
      <c r="E208" s="1525" t="s">
        <v>2878</v>
      </c>
      <c r="F208" s="3937" t="s">
        <v>2879</v>
      </c>
      <c r="G208" s="3937"/>
    </row>
    <row r="209" spans="1:7">
      <c r="A209" s="1524" t="s">
        <v>2139</v>
      </c>
      <c r="B209" s="3936" t="s">
        <v>2140</v>
      </c>
      <c r="C209" s="3936"/>
      <c r="E209" s="1525" t="s">
        <v>2880</v>
      </c>
      <c r="F209" s="3937" t="s">
        <v>2881</v>
      </c>
      <c r="G209" s="3937"/>
    </row>
    <row r="210" spans="1:7">
      <c r="A210" s="1524" t="s">
        <v>2141</v>
      </c>
      <c r="B210" s="3936" t="s">
        <v>2142</v>
      </c>
      <c r="C210" s="3936"/>
      <c r="E210" s="1525" t="s">
        <v>2882</v>
      </c>
      <c r="F210" s="3937" t="s">
        <v>2883</v>
      </c>
      <c r="G210" s="3937"/>
    </row>
    <row r="211" spans="1:7">
      <c r="A211" s="1524" t="s">
        <v>2143</v>
      </c>
      <c r="B211" s="3936" t="s">
        <v>2144</v>
      </c>
      <c r="C211" s="3936"/>
      <c r="E211" s="1525" t="s">
        <v>2884</v>
      </c>
      <c r="F211" s="3937" t="s">
        <v>2885</v>
      </c>
      <c r="G211" s="3937"/>
    </row>
    <row r="212" spans="1:7">
      <c r="A212" s="1524" t="s">
        <v>2886</v>
      </c>
      <c r="B212" s="3936" t="s">
        <v>2887</v>
      </c>
      <c r="C212" s="3936"/>
      <c r="E212" s="1525" t="s">
        <v>2888</v>
      </c>
      <c r="F212" s="3937" t="s">
        <v>2889</v>
      </c>
      <c r="G212" s="3937"/>
    </row>
    <row r="213" spans="1:7">
      <c r="A213" s="1524" t="s">
        <v>2145</v>
      </c>
      <c r="B213" s="3936" t="s">
        <v>2146</v>
      </c>
      <c r="C213" s="3936"/>
      <c r="E213" s="1525" t="s">
        <v>2890</v>
      </c>
      <c r="F213" s="3937" t="s">
        <v>2891</v>
      </c>
      <c r="G213" s="3937"/>
    </row>
    <row r="214" spans="1:7">
      <c r="A214" s="1524" t="s">
        <v>2147</v>
      </c>
      <c r="B214" s="3936" t="s">
        <v>2148</v>
      </c>
      <c r="C214" s="3936"/>
      <c r="E214" s="1525" t="s">
        <v>2892</v>
      </c>
      <c r="F214" s="3937" t="s">
        <v>2893</v>
      </c>
      <c r="G214" s="3937"/>
    </row>
    <row r="215" spans="1:7">
      <c r="A215" s="1524" t="s">
        <v>2149</v>
      </c>
      <c r="B215" s="3936" t="s">
        <v>2150</v>
      </c>
      <c r="C215" s="3936"/>
      <c r="E215" s="1525" t="s">
        <v>2894</v>
      </c>
      <c r="F215" s="3937" t="s">
        <v>2895</v>
      </c>
      <c r="G215" s="3937"/>
    </row>
    <row r="216" spans="1:7">
      <c r="A216" s="1524" t="s">
        <v>2151</v>
      </c>
      <c r="B216" s="3936" t="s">
        <v>2152</v>
      </c>
      <c r="C216" s="3936"/>
      <c r="E216" s="1525" t="s">
        <v>2896</v>
      </c>
      <c r="F216" s="3937" t="s">
        <v>2897</v>
      </c>
      <c r="G216" s="3937"/>
    </row>
    <row r="217" spans="1:7">
      <c r="A217" s="1524" t="s">
        <v>2153</v>
      </c>
      <c r="B217" s="3936" t="s">
        <v>2154</v>
      </c>
      <c r="C217" s="3936"/>
      <c r="E217" s="1525" t="s">
        <v>2898</v>
      </c>
      <c r="F217" s="3937" t="s">
        <v>2899</v>
      </c>
      <c r="G217" s="3937"/>
    </row>
    <row r="218" spans="1:7">
      <c r="A218" s="1524" t="s">
        <v>2155</v>
      </c>
      <c r="B218" s="3936" t="s">
        <v>2156</v>
      </c>
      <c r="C218" s="3936"/>
      <c r="E218" s="1525" t="s">
        <v>2900</v>
      </c>
      <c r="F218" s="3937" t="s">
        <v>2901</v>
      </c>
      <c r="G218" s="3937"/>
    </row>
    <row r="219" spans="1:7">
      <c r="A219" s="1524" t="s">
        <v>2157</v>
      </c>
      <c r="B219" s="3936" t="s">
        <v>2158</v>
      </c>
      <c r="C219" s="3936"/>
      <c r="E219" s="1525" t="s">
        <v>2902</v>
      </c>
      <c r="F219" s="3937" t="s">
        <v>2903</v>
      </c>
      <c r="G219" s="3937"/>
    </row>
    <row r="220" spans="1:7">
      <c r="A220" s="1524" t="s">
        <v>2159</v>
      </c>
      <c r="B220" s="3936" t="s">
        <v>2160</v>
      </c>
      <c r="C220" s="3936"/>
      <c r="E220" s="1525" t="s">
        <v>2904</v>
      </c>
      <c r="F220" s="3937" t="s">
        <v>2905</v>
      </c>
      <c r="G220" s="3937"/>
    </row>
    <row r="221" spans="1:7">
      <c r="A221" s="1524" t="s">
        <v>2161</v>
      </c>
      <c r="B221" s="3936" t="s">
        <v>2162</v>
      </c>
      <c r="C221" s="3936"/>
      <c r="E221" s="1525" t="s">
        <v>2906</v>
      </c>
      <c r="F221" s="3937" t="s">
        <v>2907</v>
      </c>
      <c r="G221" s="3937"/>
    </row>
    <row r="222" spans="1:7">
      <c r="A222" s="1524" t="s">
        <v>2163</v>
      </c>
      <c r="B222" s="3936" t="s">
        <v>2164</v>
      </c>
      <c r="C222" s="3936"/>
      <c r="E222" s="1525" t="s">
        <v>2908</v>
      </c>
      <c r="F222" s="3937" t="s">
        <v>2909</v>
      </c>
      <c r="G222" s="3937"/>
    </row>
    <row r="223" spans="1:7">
      <c r="A223" s="1524" t="s">
        <v>2910</v>
      </c>
      <c r="B223" s="3936" t="s">
        <v>2911</v>
      </c>
      <c r="C223" s="3936"/>
      <c r="E223" s="1525" t="s">
        <v>2912</v>
      </c>
      <c r="F223" s="3937" t="s">
        <v>2913</v>
      </c>
      <c r="G223" s="3937"/>
    </row>
    <row r="224" spans="1:7">
      <c r="A224" s="1524" t="s">
        <v>2165</v>
      </c>
      <c r="B224" s="3936" t="s">
        <v>2166</v>
      </c>
      <c r="C224" s="3936"/>
      <c r="E224" s="1525" t="s">
        <v>2914</v>
      </c>
      <c r="F224" s="3937" t="s">
        <v>2915</v>
      </c>
      <c r="G224" s="3937"/>
    </row>
    <row r="225" spans="1:7">
      <c r="A225" s="1524" t="s">
        <v>2167</v>
      </c>
      <c r="B225" s="3936" t="s">
        <v>2168</v>
      </c>
      <c r="C225" s="3936"/>
      <c r="E225" s="1525" t="s">
        <v>2916</v>
      </c>
      <c r="F225" s="3937" t="s">
        <v>2917</v>
      </c>
      <c r="G225" s="3937"/>
    </row>
    <row r="226" spans="1:7">
      <c r="A226" s="1524" t="s">
        <v>2169</v>
      </c>
      <c r="B226" s="3936" t="s">
        <v>2170</v>
      </c>
      <c r="C226" s="3936"/>
      <c r="E226" s="1525" t="s">
        <v>2918</v>
      </c>
      <c r="F226" s="3937" t="s">
        <v>2919</v>
      </c>
      <c r="G226" s="3937"/>
    </row>
    <row r="227" spans="1:7">
      <c r="A227" s="1524" t="s">
        <v>2171</v>
      </c>
      <c r="B227" s="3936" t="s">
        <v>2172</v>
      </c>
      <c r="C227" s="3936"/>
      <c r="E227" s="1525" t="s">
        <v>2920</v>
      </c>
      <c r="F227" s="3937" t="s">
        <v>2921</v>
      </c>
      <c r="G227" s="3937"/>
    </row>
    <row r="228" spans="1:7">
      <c r="A228" s="1524" t="s">
        <v>2173</v>
      </c>
      <c r="B228" s="3936" t="s">
        <v>2174</v>
      </c>
      <c r="C228" s="3936"/>
      <c r="E228" s="1525" t="s">
        <v>2922</v>
      </c>
      <c r="F228" s="3937" t="s">
        <v>2923</v>
      </c>
      <c r="G228" s="3937"/>
    </row>
    <row r="229" spans="1:7">
      <c r="A229" s="1524" t="s">
        <v>2175</v>
      </c>
      <c r="B229" s="3936" t="s">
        <v>2176</v>
      </c>
      <c r="C229" s="3936"/>
      <c r="E229" s="1525" t="s">
        <v>2924</v>
      </c>
      <c r="F229" s="3937" t="s">
        <v>2925</v>
      </c>
      <c r="G229" s="3937"/>
    </row>
    <row r="230" spans="1:7">
      <c r="A230" s="1524" t="s">
        <v>2177</v>
      </c>
      <c r="B230" s="3936" t="s">
        <v>2178</v>
      </c>
      <c r="C230" s="3936"/>
      <c r="E230" s="1525" t="s">
        <v>2926</v>
      </c>
      <c r="F230" s="3937" t="s">
        <v>2927</v>
      </c>
      <c r="G230" s="3937"/>
    </row>
    <row r="231" spans="1:7">
      <c r="A231" s="1524" t="s">
        <v>2179</v>
      </c>
      <c r="B231" s="3936" t="s">
        <v>2180</v>
      </c>
      <c r="C231" s="3936"/>
      <c r="E231" s="1525" t="s">
        <v>2928</v>
      </c>
      <c r="F231" s="3937" t="s">
        <v>2929</v>
      </c>
      <c r="G231" s="3937"/>
    </row>
    <row r="232" spans="1:7">
      <c r="A232" s="1524" t="s">
        <v>2181</v>
      </c>
      <c r="B232" s="3936" t="s">
        <v>2182</v>
      </c>
      <c r="C232" s="3936"/>
      <c r="E232" s="1525" t="s">
        <v>2930</v>
      </c>
      <c r="F232" s="3937" t="s">
        <v>2931</v>
      </c>
      <c r="G232" s="3937"/>
    </row>
    <row r="233" spans="1:7">
      <c r="A233" s="1524" t="s">
        <v>2183</v>
      </c>
      <c r="B233" s="3936" t="s">
        <v>2184</v>
      </c>
      <c r="C233" s="3936"/>
      <c r="E233" s="1525" t="s">
        <v>2932</v>
      </c>
      <c r="F233" s="3937" t="s">
        <v>2933</v>
      </c>
      <c r="G233" s="3937"/>
    </row>
    <row r="234" spans="1:7">
      <c r="A234" s="1524" t="s">
        <v>2185</v>
      </c>
      <c r="B234" s="3936" t="s">
        <v>2186</v>
      </c>
      <c r="C234" s="3936"/>
      <c r="E234" s="1525" t="s">
        <v>2934</v>
      </c>
      <c r="F234" s="3937" t="s">
        <v>2935</v>
      </c>
      <c r="G234" s="3937"/>
    </row>
    <row r="235" spans="1:7">
      <c r="A235" s="1524" t="s">
        <v>2187</v>
      </c>
      <c r="B235" s="3936" t="s">
        <v>2188</v>
      </c>
      <c r="C235" s="3936"/>
      <c r="E235" s="1525" t="s">
        <v>2936</v>
      </c>
      <c r="F235" s="3937" t="s">
        <v>2937</v>
      </c>
      <c r="G235" s="3937"/>
    </row>
    <row r="236" spans="1:7">
      <c r="A236" s="1524" t="s">
        <v>2189</v>
      </c>
      <c r="B236" s="3936" t="s">
        <v>2190</v>
      </c>
      <c r="C236" s="3936"/>
      <c r="E236" s="1525" t="s">
        <v>2938</v>
      </c>
      <c r="F236" s="3937" t="s">
        <v>2939</v>
      </c>
      <c r="G236" s="3937"/>
    </row>
    <row r="237" spans="1:7">
      <c r="A237" s="1524" t="s">
        <v>2191</v>
      </c>
      <c r="B237" s="3936" t="s">
        <v>2192</v>
      </c>
      <c r="C237" s="3936"/>
      <c r="E237" s="1525" t="s">
        <v>2940</v>
      </c>
      <c r="F237" s="3937" t="s">
        <v>2941</v>
      </c>
      <c r="G237" s="3937"/>
    </row>
    <row r="238" spans="1:7">
      <c r="A238" s="1524" t="s">
        <v>2193</v>
      </c>
      <c r="B238" s="3936" t="s">
        <v>2194</v>
      </c>
      <c r="C238" s="3936"/>
      <c r="E238" s="1525" t="s">
        <v>2942</v>
      </c>
      <c r="F238" s="3937" t="s">
        <v>2943</v>
      </c>
      <c r="G238" s="3937"/>
    </row>
    <row r="239" spans="1:7">
      <c r="A239" s="1524" t="s">
        <v>2195</v>
      </c>
      <c r="B239" s="3936" t="s">
        <v>2196</v>
      </c>
      <c r="C239" s="3936"/>
      <c r="E239" s="1525" t="s">
        <v>2944</v>
      </c>
      <c r="F239" s="3937" t="s">
        <v>2945</v>
      </c>
      <c r="G239" s="3937"/>
    </row>
    <row r="240" spans="1:7">
      <c r="A240" s="1524" t="s">
        <v>2197</v>
      </c>
      <c r="B240" s="3936" t="s">
        <v>2198</v>
      </c>
      <c r="C240" s="3936"/>
      <c r="E240" s="1525" t="s">
        <v>2946</v>
      </c>
      <c r="F240" s="3937" t="s">
        <v>2947</v>
      </c>
      <c r="G240" s="3937"/>
    </row>
    <row r="241" spans="1:7">
      <c r="A241" s="1524" t="s">
        <v>2199</v>
      </c>
      <c r="B241" s="3936" t="s">
        <v>2200</v>
      </c>
      <c r="C241" s="3936"/>
      <c r="E241" s="1525" t="s">
        <v>2948</v>
      </c>
      <c r="F241" s="3937" t="s">
        <v>2949</v>
      </c>
      <c r="G241" s="3937"/>
    </row>
    <row r="242" spans="1:7">
      <c r="A242" s="1524" t="s">
        <v>2201</v>
      </c>
      <c r="B242" s="3936" t="s">
        <v>2202</v>
      </c>
      <c r="C242" s="3936"/>
      <c r="E242" s="1525" t="s">
        <v>2950</v>
      </c>
      <c r="F242" s="3937" t="s">
        <v>2951</v>
      </c>
      <c r="G242" s="3937"/>
    </row>
    <row r="243" spans="1:7">
      <c r="A243" s="1524" t="s">
        <v>2203</v>
      </c>
      <c r="B243" s="3936" t="s">
        <v>2204</v>
      </c>
      <c r="C243" s="3936"/>
      <c r="E243" s="1525" t="s">
        <v>2952</v>
      </c>
      <c r="F243" s="3937" t="s">
        <v>2953</v>
      </c>
      <c r="G243" s="3937"/>
    </row>
    <row r="244" spans="1:7">
      <c r="A244" s="1524" t="s">
        <v>2205</v>
      </c>
      <c r="B244" s="3936" t="s">
        <v>2206</v>
      </c>
      <c r="C244" s="3936"/>
      <c r="E244" s="1525" t="s">
        <v>2954</v>
      </c>
      <c r="F244" s="3937" t="s">
        <v>2955</v>
      </c>
      <c r="G244" s="3937"/>
    </row>
    <row r="245" spans="1:7">
      <c r="A245" s="1524" t="s">
        <v>2207</v>
      </c>
      <c r="B245" s="3936" t="s">
        <v>2208</v>
      </c>
      <c r="C245" s="3936"/>
      <c r="E245" s="1525" t="s">
        <v>2956</v>
      </c>
      <c r="F245" s="3937" t="s">
        <v>2957</v>
      </c>
      <c r="G245" s="3937"/>
    </row>
    <row r="246" spans="1:7">
      <c r="A246" s="1524" t="s">
        <v>2209</v>
      </c>
      <c r="B246" s="3936" t="s">
        <v>2210</v>
      </c>
      <c r="C246" s="3936"/>
      <c r="E246" s="1525" t="s">
        <v>2958</v>
      </c>
      <c r="F246" s="3937" t="s">
        <v>2959</v>
      </c>
      <c r="G246" s="3937"/>
    </row>
    <row r="247" spans="1:7">
      <c r="A247" s="1524" t="s">
        <v>2211</v>
      </c>
      <c r="B247" s="3936" t="s">
        <v>2212</v>
      </c>
      <c r="C247" s="3936"/>
      <c r="E247" s="1525" t="s">
        <v>2960</v>
      </c>
      <c r="F247" s="3937" t="s">
        <v>2961</v>
      </c>
      <c r="G247" s="3937"/>
    </row>
    <row r="248" spans="1:7">
      <c r="A248" s="1524" t="s">
        <v>2213</v>
      </c>
      <c r="B248" s="3936" t="s">
        <v>2214</v>
      </c>
      <c r="C248" s="3936"/>
      <c r="E248" s="1525" t="s">
        <v>2962</v>
      </c>
      <c r="F248" s="3937" t="s">
        <v>2963</v>
      </c>
      <c r="G248" s="3937"/>
    </row>
    <row r="249" spans="1:7">
      <c r="A249" s="1524" t="s">
        <v>2215</v>
      </c>
      <c r="B249" s="3936" t="s">
        <v>2216</v>
      </c>
      <c r="C249" s="3936"/>
      <c r="E249" s="1525" t="s">
        <v>2964</v>
      </c>
      <c r="F249" s="3937" t="s">
        <v>2965</v>
      </c>
      <c r="G249" s="3937"/>
    </row>
    <row r="250" spans="1:7">
      <c r="A250" s="1524" t="s">
        <v>2217</v>
      </c>
      <c r="B250" s="3936" t="s">
        <v>2218</v>
      </c>
      <c r="C250" s="3936"/>
      <c r="E250" s="1525" t="s">
        <v>2966</v>
      </c>
      <c r="F250" s="3937" t="s">
        <v>2967</v>
      </c>
      <c r="G250" s="3937"/>
    </row>
    <row r="251" spans="1:7">
      <c r="A251" s="1524" t="s">
        <v>2219</v>
      </c>
      <c r="B251" s="3936" t="s">
        <v>2220</v>
      </c>
      <c r="C251" s="3936"/>
      <c r="E251" s="1525" t="s">
        <v>2968</v>
      </c>
      <c r="F251" s="3937" t="s">
        <v>2969</v>
      </c>
      <c r="G251" s="3937"/>
    </row>
    <row r="252" spans="1:7">
      <c r="A252" s="1524" t="s">
        <v>2221</v>
      </c>
      <c r="B252" s="3936" t="s">
        <v>2222</v>
      </c>
      <c r="C252" s="3936"/>
      <c r="E252" s="1525" t="s">
        <v>2970</v>
      </c>
      <c r="F252" s="3937" t="s">
        <v>2971</v>
      </c>
      <c r="G252" s="3937"/>
    </row>
    <row r="253" spans="1:7">
      <c r="A253" s="1524" t="s">
        <v>2223</v>
      </c>
      <c r="B253" s="3936" t="s">
        <v>2224</v>
      </c>
      <c r="C253" s="3936"/>
      <c r="E253" s="1525" t="s">
        <v>2972</v>
      </c>
      <c r="F253" s="3937" t="s">
        <v>2973</v>
      </c>
      <c r="G253" s="3937"/>
    </row>
    <row r="254" spans="1:7">
      <c r="A254" s="1524" t="s">
        <v>2225</v>
      </c>
      <c r="B254" s="3936" t="s">
        <v>2226</v>
      </c>
      <c r="C254" s="3936"/>
      <c r="E254" s="1525" t="s">
        <v>2974</v>
      </c>
      <c r="F254" s="3937" t="s">
        <v>2975</v>
      </c>
      <c r="G254" s="3937"/>
    </row>
    <row r="255" spans="1:7">
      <c r="A255" s="1524" t="s">
        <v>2976</v>
      </c>
      <c r="B255" s="3936" t="s">
        <v>2977</v>
      </c>
      <c r="C255" s="3936"/>
      <c r="E255" s="1525" t="s">
        <v>2978</v>
      </c>
      <c r="F255" s="3937" t="s">
        <v>2979</v>
      </c>
      <c r="G255" s="3937"/>
    </row>
    <row r="256" spans="1:7">
      <c r="A256" s="1524" t="s">
        <v>2227</v>
      </c>
      <c r="B256" s="3936" t="s">
        <v>2228</v>
      </c>
      <c r="C256" s="3936"/>
      <c r="E256" s="1525" t="s">
        <v>2980</v>
      </c>
      <c r="F256" s="3937" t="s">
        <v>2981</v>
      </c>
      <c r="G256" s="3937"/>
    </row>
    <row r="257" spans="1:7">
      <c r="A257" s="1524" t="s">
        <v>2229</v>
      </c>
      <c r="B257" s="3936" t="s">
        <v>2230</v>
      </c>
      <c r="C257" s="3936"/>
      <c r="E257" s="1525" t="s">
        <v>2982</v>
      </c>
      <c r="F257" s="3937" t="s">
        <v>2983</v>
      </c>
      <c r="G257" s="3937"/>
    </row>
    <row r="258" spans="1:7">
      <c r="A258" s="1524" t="s">
        <v>2231</v>
      </c>
      <c r="B258" s="3936" t="s">
        <v>2232</v>
      </c>
      <c r="C258" s="3936"/>
      <c r="E258" s="1525" t="s">
        <v>2984</v>
      </c>
      <c r="F258" s="3937" t="s">
        <v>2985</v>
      </c>
      <c r="G258" s="3937"/>
    </row>
    <row r="259" spans="1:7">
      <c r="A259" s="1524" t="s">
        <v>2233</v>
      </c>
      <c r="B259" s="3936" t="s">
        <v>2234</v>
      </c>
      <c r="C259" s="3936"/>
      <c r="E259" s="1525" t="s">
        <v>2986</v>
      </c>
      <c r="F259" s="3937" t="s">
        <v>2987</v>
      </c>
      <c r="G259" s="3937"/>
    </row>
    <row r="260" spans="1:7">
      <c r="A260" s="1524" t="s">
        <v>2988</v>
      </c>
      <c r="B260" s="3936" t="s">
        <v>2977</v>
      </c>
      <c r="C260" s="3936"/>
      <c r="E260" s="1525" t="s">
        <v>2989</v>
      </c>
      <c r="F260" s="3937" t="s">
        <v>2990</v>
      </c>
      <c r="G260" s="3937"/>
    </row>
    <row r="261" spans="1:7">
      <c r="A261" s="1524" t="s">
        <v>2235</v>
      </c>
      <c r="B261" s="3936" t="s">
        <v>2236</v>
      </c>
      <c r="C261" s="3936"/>
      <c r="E261" s="1525" t="s">
        <v>2991</v>
      </c>
      <c r="F261" s="3937" t="s">
        <v>2992</v>
      </c>
      <c r="G261" s="3937"/>
    </row>
    <row r="262" spans="1:7">
      <c r="A262" s="1524" t="s">
        <v>2237</v>
      </c>
      <c r="B262" s="3936" t="s">
        <v>2238</v>
      </c>
      <c r="C262" s="3936"/>
      <c r="E262" s="1525" t="s">
        <v>2993</v>
      </c>
      <c r="F262" s="3937" t="s">
        <v>2994</v>
      </c>
      <c r="G262" s="3937"/>
    </row>
    <row r="263" spans="1:7">
      <c r="A263" s="1524" t="s">
        <v>2239</v>
      </c>
      <c r="B263" s="3936" t="s">
        <v>2240</v>
      </c>
      <c r="C263" s="3936"/>
      <c r="E263" s="1525" t="s">
        <v>2995</v>
      </c>
      <c r="F263" s="3937" t="s">
        <v>2996</v>
      </c>
      <c r="G263" s="3937"/>
    </row>
    <row r="264" spans="1:7">
      <c r="A264" s="1524" t="s">
        <v>2241</v>
      </c>
      <c r="B264" s="3936" t="s">
        <v>2242</v>
      </c>
      <c r="C264" s="3936"/>
      <c r="E264" s="1525" t="s">
        <v>2997</v>
      </c>
      <c r="F264" s="3937" t="s">
        <v>2998</v>
      </c>
      <c r="G264" s="3937"/>
    </row>
    <row r="265" spans="1:7">
      <c r="A265" s="1524" t="s">
        <v>2243</v>
      </c>
      <c r="B265" s="3936" t="s">
        <v>2244</v>
      </c>
      <c r="C265" s="3936"/>
      <c r="E265" s="1525" t="s">
        <v>2999</v>
      </c>
      <c r="F265" s="3937" t="s">
        <v>3000</v>
      </c>
      <c r="G265" s="3937"/>
    </row>
    <row r="266" spans="1:7">
      <c r="A266" s="1524" t="s">
        <v>2245</v>
      </c>
      <c r="B266" s="3936" t="s">
        <v>2246</v>
      </c>
      <c r="C266" s="3936"/>
      <c r="E266" s="1525" t="s">
        <v>3001</v>
      </c>
      <c r="F266" s="3937" t="s">
        <v>3002</v>
      </c>
      <c r="G266" s="3937"/>
    </row>
    <row r="267" spans="1:7">
      <c r="A267" s="1524" t="s">
        <v>3003</v>
      </c>
      <c r="B267" s="3936" t="s">
        <v>3004</v>
      </c>
      <c r="C267" s="3936"/>
      <c r="E267" s="1525" t="s">
        <v>3005</v>
      </c>
      <c r="F267" s="3937" t="s">
        <v>3006</v>
      </c>
      <c r="G267" s="3937"/>
    </row>
    <row r="268" spans="1:7">
      <c r="A268" s="1524" t="s">
        <v>2247</v>
      </c>
      <c r="B268" s="3936" t="s">
        <v>2248</v>
      </c>
      <c r="C268" s="3936"/>
      <c r="E268" s="1525" t="s">
        <v>3007</v>
      </c>
      <c r="F268" s="3937" t="s">
        <v>3008</v>
      </c>
      <c r="G268" s="3937"/>
    </row>
    <row r="269" spans="1:7">
      <c r="A269" s="1524" t="s">
        <v>2249</v>
      </c>
      <c r="B269" s="3936" t="s">
        <v>2250</v>
      </c>
      <c r="C269" s="3936"/>
      <c r="E269" s="1525" t="s">
        <v>3009</v>
      </c>
      <c r="F269" s="3937" t="s">
        <v>3010</v>
      </c>
      <c r="G269" s="3937"/>
    </row>
    <row r="270" spans="1:7">
      <c r="A270" s="1524" t="s">
        <v>2251</v>
      </c>
      <c r="B270" s="3936" t="s">
        <v>2252</v>
      </c>
      <c r="C270" s="3936"/>
      <c r="E270" s="1525" t="s">
        <v>3011</v>
      </c>
      <c r="F270" s="3937" t="s">
        <v>3012</v>
      </c>
      <c r="G270" s="3937"/>
    </row>
    <row r="271" spans="1:7">
      <c r="A271" s="1524" t="s">
        <v>2253</v>
      </c>
      <c r="B271" s="3936" t="s">
        <v>2254</v>
      </c>
      <c r="C271" s="3936"/>
      <c r="E271" s="1525" t="s">
        <v>3013</v>
      </c>
      <c r="F271" s="3937" t="s">
        <v>3014</v>
      </c>
      <c r="G271" s="3937"/>
    </row>
    <row r="272" spans="1:7">
      <c r="A272" s="1524" t="s">
        <v>2255</v>
      </c>
      <c r="B272" s="3936" t="s">
        <v>2256</v>
      </c>
      <c r="C272" s="3936"/>
      <c r="E272" s="1525" t="s">
        <v>3015</v>
      </c>
      <c r="F272" s="3937" t="s">
        <v>3016</v>
      </c>
      <c r="G272" s="3937"/>
    </row>
    <row r="273" spans="1:7">
      <c r="A273" s="1524" t="s">
        <v>2257</v>
      </c>
      <c r="B273" s="3936" t="s">
        <v>2258</v>
      </c>
      <c r="C273" s="3936"/>
      <c r="E273" s="1525" t="s">
        <v>3017</v>
      </c>
      <c r="F273" s="3937" t="s">
        <v>3018</v>
      </c>
      <c r="G273" s="3937"/>
    </row>
    <row r="274" spans="1:7">
      <c r="A274" s="1524" t="s">
        <v>2259</v>
      </c>
      <c r="B274" s="3936" t="s">
        <v>2260</v>
      </c>
      <c r="C274" s="3936"/>
      <c r="E274" s="1525" t="s">
        <v>3019</v>
      </c>
      <c r="F274" s="3937" t="s">
        <v>3020</v>
      </c>
      <c r="G274" s="3937"/>
    </row>
    <row r="275" spans="1:7">
      <c r="A275" s="1524" t="s">
        <v>2261</v>
      </c>
      <c r="B275" s="3936" t="s">
        <v>2262</v>
      </c>
      <c r="C275" s="3936"/>
      <c r="E275" s="1525" t="s">
        <v>3021</v>
      </c>
      <c r="F275" s="3937" t="s">
        <v>3022</v>
      </c>
      <c r="G275" s="3937"/>
    </row>
    <row r="276" spans="1:7">
      <c r="A276" s="1524" t="s">
        <v>2263</v>
      </c>
      <c r="B276" s="3936" t="s">
        <v>2264</v>
      </c>
      <c r="C276" s="3936"/>
      <c r="E276" s="1525" t="s">
        <v>3023</v>
      </c>
      <c r="F276" s="3937" t="s">
        <v>3024</v>
      </c>
      <c r="G276" s="3937"/>
    </row>
    <row r="277" spans="1:7">
      <c r="A277" s="1524" t="s">
        <v>2265</v>
      </c>
      <c r="B277" s="3936" t="s">
        <v>2266</v>
      </c>
      <c r="C277" s="3936"/>
      <c r="E277" s="1525" t="s">
        <v>3025</v>
      </c>
      <c r="F277" s="3937" t="s">
        <v>3026</v>
      </c>
      <c r="G277" s="3937"/>
    </row>
    <row r="278" spans="1:7">
      <c r="A278" s="1524" t="s">
        <v>3027</v>
      </c>
      <c r="B278" s="3936" t="s">
        <v>3028</v>
      </c>
      <c r="C278" s="3936"/>
      <c r="E278" s="1525" t="s">
        <v>3029</v>
      </c>
      <c r="F278" s="3937" t="s">
        <v>3030</v>
      </c>
      <c r="G278" s="3937"/>
    </row>
    <row r="279" spans="1:7">
      <c r="A279" s="1524" t="s">
        <v>3031</v>
      </c>
      <c r="B279" s="3936" t="s">
        <v>3032</v>
      </c>
      <c r="C279" s="3936"/>
      <c r="E279" s="1525" t="s">
        <v>3033</v>
      </c>
      <c r="F279" s="3937" t="s">
        <v>3034</v>
      </c>
      <c r="G279" s="3937"/>
    </row>
    <row r="280" spans="1:7">
      <c r="A280" s="1524" t="s">
        <v>2267</v>
      </c>
      <c r="B280" s="3936" t="s">
        <v>2268</v>
      </c>
      <c r="C280" s="3936"/>
      <c r="E280" s="1525" t="s">
        <v>3035</v>
      </c>
      <c r="F280" s="3937" t="s">
        <v>3036</v>
      </c>
      <c r="G280" s="3937"/>
    </row>
    <row r="281" spans="1:7">
      <c r="A281" s="1524" t="s">
        <v>2269</v>
      </c>
      <c r="B281" s="3936" t="s">
        <v>2270</v>
      </c>
      <c r="C281" s="3936"/>
      <c r="E281" s="1525" t="s">
        <v>3037</v>
      </c>
      <c r="F281" s="3937" t="s">
        <v>3038</v>
      </c>
      <c r="G281" s="3937"/>
    </row>
    <row r="282" spans="1:7">
      <c r="A282" s="1524" t="s">
        <v>2271</v>
      </c>
      <c r="B282" s="3936" t="s">
        <v>2272</v>
      </c>
      <c r="C282" s="3936"/>
      <c r="E282" s="1525" t="s">
        <v>3039</v>
      </c>
      <c r="F282" s="3937" t="s">
        <v>3040</v>
      </c>
      <c r="G282" s="3937"/>
    </row>
    <row r="283" spans="1:7">
      <c r="A283" s="1524" t="s">
        <v>2273</v>
      </c>
      <c r="B283" s="3936" t="s">
        <v>2274</v>
      </c>
      <c r="C283" s="3936"/>
      <c r="E283" s="1525" t="s">
        <v>3041</v>
      </c>
      <c r="F283" s="3937" t="s">
        <v>3042</v>
      </c>
      <c r="G283" s="3937"/>
    </row>
    <row r="284" spans="1:7">
      <c r="A284" s="1524" t="s">
        <v>2275</v>
      </c>
      <c r="B284" s="3936" t="s">
        <v>2276</v>
      </c>
      <c r="C284" s="3936"/>
      <c r="E284" s="1525" t="s">
        <v>3043</v>
      </c>
      <c r="F284" s="3937" t="s">
        <v>3044</v>
      </c>
      <c r="G284" s="3937"/>
    </row>
    <row r="285" spans="1:7">
      <c r="A285" s="1524" t="s">
        <v>2277</v>
      </c>
      <c r="B285" s="3936" t="s">
        <v>2278</v>
      </c>
      <c r="C285" s="3936"/>
      <c r="E285" s="1525" t="s">
        <v>3045</v>
      </c>
      <c r="F285" s="3937" t="s">
        <v>3046</v>
      </c>
      <c r="G285" s="3937"/>
    </row>
    <row r="286" spans="1:7">
      <c r="A286" s="1524" t="s">
        <v>2279</v>
      </c>
      <c r="B286" s="3936" t="s">
        <v>2280</v>
      </c>
      <c r="C286" s="3936"/>
      <c r="E286" s="1525" t="s">
        <v>3047</v>
      </c>
      <c r="F286" s="3937" t="s">
        <v>3048</v>
      </c>
      <c r="G286" s="3937"/>
    </row>
    <row r="287" spans="1:7">
      <c r="A287" s="1524" t="s">
        <v>2281</v>
      </c>
      <c r="B287" s="3936" t="s">
        <v>2282</v>
      </c>
      <c r="C287" s="3936"/>
      <c r="E287" s="1525" t="s">
        <v>3049</v>
      </c>
      <c r="F287" s="3937" t="s">
        <v>3050</v>
      </c>
      <c r="G287" s="3937"/>
    </row>
    <row r="288" spans="1:7">
      <c r="A288" s="1524" t="s">
        <v>2283</v>
      </c>
      <c r="B288" s="3936" t="s">
        <v>2284</v>
      </c>
      <c r="C288" s="3936"/>
      <c r="E288" s="1525" t="s">
        <v>3051</v>
      </c>
      <c r="F288" s="3937" t="s">
        <v>3052</v>
      </c>
      <c r="G288" s="3937"/>
    </row>
    <row r="289" spans="1:7">
      <c r="A289" s="1524" t="s">
        <v>2285</v>
      </c>
      <c r="B289" s="3936" t="s">
        <v>2286</v>
      </c>
      <c r="C289" s="3936"/>
      <c r="E289" s="1525" t="s">
        <v>3053</v>
      </c>
      <c r="F289" s="3937" t="s">
        <v>3054</v>
      </c>
      <c r="G289" s="3937"/>
    </row>
    <row r="290" spans="1:7">
      <c r="A290" s="1524" t="s">
        <v>2287</v>
      </c>
      <c r="B290" s="3936" t="s">
        <v>2288</v>
      </c>
      <c r="C290" s="3936"/>
      <c r="E290" s="1525" t="s">
        <v>3055</v>
      </c>
      <c r="F290" s="3937" t="s">
        <v>3056</v>
      </c>
      <c r="G290" s="3937"/>
    </row>
    <row r="291" spans="1:7">
      <c r="A291" s="1524" t="s">
        <v>2289</v>
      </c>
      <c r="B291" s="3936" t="s">
        <v>2290</v>
      </c>
      <c r="C291" s="3936"/>
      <c r="E291" s="1525" t="s">
        <v>3057</v>
      </c>
      <c r="F291" s="3937" t="s">
        <v>3058</v>
      </c>
      <c r="G291" s="3937"/>
    </row>
    <row r="292" spans="1:7">
      <c r="A292" s="1524" t="s">
        <v>2291</v>
      </c>
      <c r="B292" s="3936" t="s">
        <v>2292</v>
      </c>
      <c r="C292" s="3936"/>
      <c r="E292" s="1525" t="s">
        <v>3059</v>
      </c>
      <c r="F292" s="3937" t="s">
        <v>3060</v>
      </c>
      <c r="G292" s="3937"/>
    </row>
    <row r="293" spans="1:7">
      <c r="A293" s="1524" t="s">
        <v>2293</v>
      </c>
      <c r="B293" s="3936" t="s">
        <v>2294</v>
      </c>
      <c r="C293" s="3936"/>
      <c r="E293" s="1525" t="s">
        <v>3061</v>
      </c>
      <c r="F293" s="3937" t="s">
        <v>3062</v>
      </c>
      <c r="G293" s="3937"/>
    </row>
    <row r="294" spans="1:7">
      <c r="A294" s="1524" t="s">
        <v>2295</v>
      </c>
      <c r="B294" s="3936" t="s">
        <v>2296</v>
      </c>
      <c r="C294" s="3936"/>
      <c r="E294" s="1525" t="s">
        <v>3063</v>
      </c>
      <c r="F294" s="3937" t="s">
        <v>3064</v>
      </c>
      <c r="G294" s="3937"/>
    </row>
    <row r="295" spans="1:7">
      <c r="A295" s="1524" t="s">
        <v>2297</v>
      </c>
      <c r="B295" s="3936" t="s">
        <v>2298</v>
      </c>
      <c r="C295" s="3936"/>
      <c r="E295" s="1525" t="s">
        <v>3065</v>
      </c>
      <c r="F295" s="3937" t="s">
        <v>3066</v>
      </c>
      <c r="G295" s="3937"/>
    </row>
    <row r="296" spans="1:7">
      <c r="A296" s="1524" t="s">
        <v>2299</v>
      </c>
      <c r="B296" s="3936" t="s">
        <v>2300</v>
      </c>
      <c r="C296" s="3936"/>
      <c r="E296" s="1525" t="s">
        <v>3067</v>
      </c>
      <c r="F296" s="3937" t="s">
        <v>3068</v>
      </c>
      <c r="G296" s="3937"/>
    </row>
    <row r="297" spans="1:7">
      <c r="A297" s="1524" t="s">
        <v>2301</v>
      </c>
      <c r="B297" s="3936" t="s">
        <v>2302</v>
      </c>
      <c r="C297" s="3936"/>
      <c r="E297" s="1525" t="s">
        <v>3069</v>
      </c>
      <c r="F297" s="3937" t="s">
        <v>3070</v>
      </c>
      <c r="G297" s="3937"/>
    </row>
    <row r="298" spans="1:7">
      <c r="A298" s="1524" t="s">
        <v>2303</v>
      </c>
      <c r="B298" s="3936" t="s">
        <v>2304</v>
      </c>
      <c r="C298" s="3936"/>
      <c r="E298" s="1525" t="s">
        <v>3071</v>
      </c>
      <c r="F298" s="3937" t="s">
        <v>3072</v>
      </c>
      <c r="G298" s="3937"/>
    </row>
    <row r="299" spans="1:7">
      <c r="A299" s="1524" t="s">
        <v>2305</v>
      </c>
      <c r="B299" s="3936" t="s">
        <v>2306</v>
      </c>
      <c r="C299" s="3936"/>
      <c r="E299" s="1525" t="s">
        <v>3073</v>
      </c>
      <c r="F299" s="3937" t="s">
        <v>3074</v>
      </c>
      <c r="G299" s="3937"/>
    </row>
    <row r="300" spans="1:7">
      <c r="A300" s="1524" t="s">
        <v>2307</v>
      </c>
      <c r="B300" s="3936" t="s">
        <v>2308</v>
      </c>
      <c r="C300" s="3936"/>
      <c r="E300" s="1525" t="s">
        <v>3075</v>
      </c>
      <c r="F300" s="3937" t="s">
        <v>3076</v>
      </c>
      <c r="G300" s="3937"/>
    </row>
    <row r="301" spans="1:7">
      <c r="A301" s="1524" t="s">
        <v>2309</v>
      </c>
      <c r="B301" s="3936" t="s">
        <v>2310</v>
      </c>
      <c r="C301" s="3936"/>
      <c r="E301" s="1525" t="s">
        <v>3077</v>
      </c>
      <c r="F301" s="3937" t="s">
        <v>3078</v>
      </c>
      <c r="G301" s="3937"/>
    </row>
    <row r="302" spans="1:7">
      <c r="A302" s="1524" t="s">
        <v>2311</v>
      </c>
      <c r="B302" s="3936" t="s">
        <v>2312</v>
      </c>
      <c r="C302" s="3936"/>
      <c r="E302" s="1525" t="s">
        <v>3079</v>
      </c>
      <c r="F302" s="3937" t="s">
        <v>3080</v>
      </c>
      <c r="G302" s="3937"/>
    </row>
    <row r="303" spans="1:7">
      <c r="A303" s="1524" t="s">
        <v>2313</v>
      </c>
      <c r="B303" s="3936" t="s">
        <v>2314</v>
      </c>
      <c r="C303" s="3936"/>
      <c r="E303" s="1525" t="s">
        <v>3081</v>
      </c>
      <c r="F303" s="3937" t="s">
        <v>3082</v>
      </c>
      <c r="G303" s="3937"/>
    </row>
    <row r="304" spans="1:7">
      <c r="A304" s="1524" t="s">
        <v>2315</v>
      </c>
      <c r="B304" s="3936" t="s">
        <v>2316</v>
      </c>
      <c r="C304" s="3936"/>
      <c r="E304" s="1525" t="s">
        <v>3083</v>
      </c>
      <c r="F304" s="3937" t="s">
        <v>3084</v>
      </c>
      <c r="G304" s="3937"/>
    </row>
    <row r="305" spans="1:7">
      <c r="A305" s="1524" t="s">
        <v>3085</v>
      </c>
      <c r="B305" s="3936" t="s">
        <v>3086</v>
      </c>
      <c r="C305" s="3936"/>
      <c r="E305" s="1525" t="s">
        <v>3087</v>
      </c>
      <c r="F305" s="3937" t="s">
        <v>3088</v>
      </c>
      <c r="G305" s="3937"/>
    </row>
    <row r="306" spans="1:7">
      <c r="A306" s="1524" t="s">
        <v>3089</v>
      </c>
      <c r="B306" s="3936" t="s">
        <v>3090</v>
      </c>
      <c r="C306" s="3936"/>
      <c r="E306" s="1525" t="s">
        <v>3091</v>
      </c>
      <c r="F306" s="3937" t="s">
        <v>3092</v>
      </c>
      <c r="G306" s="3937"/>
    </row>
    <row r="307" spans="1:7">
      <c r="A307" s="1524" t="s">
        <v>3093</v>
      </c>
      <c r="B307" s="3936" t="s">
        <v>3094</v>
      </c>
      <c r="C307" s="3936"/>
      <c r="E307" s="1525" t="s">
        <v>3095</v>
      </c>
      <c r="F307" s="3937" t="s">
        <v>3096</v>
      </c>
      <c r="G307" s="3937"/>
    </row>
    <row r="308" spans="1:7">
      <c r="A308" s="1524" t="s">
        <v>2317</v>
      </c>
      <c r="B308" s="3936" t="s">
        <v>2318</v>
      </c>
      <c r="C308" s="3936"/>
      <c r="E308" s="1525" t="s">
        <v>3097</v>
      </c>
      <c r="F308" s="3937" t="s">
        <v>3098</v>
      </c>
      <c r="G308" s="3937"/>
    </row>
    <row r="309" spans="1:7">
      <c r="A309" s="1524" t="s">
        <v>2319</v>
      </c>
      <c r="B309" s="3936" t="s">
        <v>2320</v>
      </c>
      <c r="C309" s="3936"/>
      <c r="E309" s="1525" t="s">
        <v>3099</v>
      </c>
      <c r="F309" s="3937" t="s">
        <v>3100</v>
      </c>
      <c r="G309" s="3937"/>
    </row>
    <row r="310" spans="1:7">
      <c r="A310" s="1524" t="s">
        <v>2321</v>
      </c>
      <c r="B310" s="3936" t="s">
        <v>2322</v>
      </c>
      <c r="C310" s="3936"/>
      <c r="E310" s="1525" t="s">
        <v>3101</v>
      </c>
      <c r="F310" s="3937" t="s">
        <v>3102</v>
      </c>
      <c r="G310" s="3937"/>
    </row>
    <row r="311" spans="1:7">
      <c r="A311" s="1524" t="s">
        <v>2323</v>
      </c>
      <c r="B311" s="3936" t="s">
        <v>2324</v>
      </c>
      <c r="C311" s="3936"/>
      <c r="E311" s="1525" t="s">
        <v>3103</v>
      </c>
      <c r="F311" s="3937" t="s">
        <v>3104</v>
      </c>
      <c r="G311" s="3937"/>
    </row>
    <row r="312" spans="1:7">
      <c r="A312" s="1524" t="s">
        <v>2325</v>
      </c>
      <c r="B312" s="3936" t="s">
        <v>2326</v>
      </c>
      <c r="C312" s="3936"/>
      <c r="E312" s="1525" t="s">
        <v>3105</v>
      </c>
      <c r="F312" s="3937" t="s">
        <v>3106</v>
      </c>
      <c r="G312" s="3937"/>
    </row>
    <row r="313" spans="1:7">
      <c r="A313" s="1524" t="s">
        <v>2327</v>
      </c>
      <c r="B313" s="3936" t="s">
        <v>2328</v>
      </c>
      <c r="C313" s="3936"/>
      <c r="E313" s="1525" t="s">
        <v>3107</v>
      </c>
      <c r="F313" s="3937" t="s">
        <v>3108</v>
      </c>
      <c r="G313" s="3937"/>
    </row>
    <row r="314" spans="1:7">
      <c r="A314" s="1524" t="s">
        <v>2329</v>
      </c>
      <c r="B314" s="3936" t="s">
        <v>2330</v>
      </c>
      <c r="C314" s="3936"/>
      <c r="E314" s="1525" t="s">
        <v>3109</v>
      </c>
      <c r="F314" s="3937" t="s">
        <v>3110</v>
      </c>
      <c r="G314" s="3937"/>
    </row>
    <row r="315" spans="1:7">
      <c r="A315" s="1524" t="s">
        <v>2331</v>
      </c>
      <c r="B315" s="3936" t="s">
        <v>2332</v>
      </c>
      <c r="C315" s="3936"/>
      <c r="E315" s="1525" t="s">
        <v>3111</v>
      </c>
      <c r="F315" s="3937" t="s">
        <v>3112</v>
      </c>
      <c r="G315" s="3937"/>
    </row>
    <row r="316" spans="1:7">
      <c r="A316" s="1524" t="s">
        <v>2333</v>
      </c>
      <c r="B316" s="3936" t="s">
        <v>2334</v>
      </c>
      <c r="C316" s="3936"/>
      <c r="E316" s="1525" t="s">
        <v>3113</v>
      </c>
      <c r="F316" s="3937" t="s">
        <v>3114</v>
      </c>
      <c r="G316" s="3937"/>
    </row>
    <row r="317" spans="1:7">
      <c r="A317" s="1524" t="s">
        <v>2335</v>
      </c>
      <c r="B317" s="3936" t="s">
        <v>2336</v>
      </c>
      <c r="C317" s="3936"/>
      <c r="E317" s="1525" t="s">
        <v>3115</v>
      </c>
      <c r="F317" s="3937" t="s">
        <v>3116</v>
      </c>
      <c r="G317" s="3937"/>
    </row>
    <row r="318" spans="1:7">
      <c r="A318" s="1524" t="s">
        <v>2337</v>
      </c>
      <c r="B318" s="3936" t="s">
        <v>2338</v>
      </c>
      <c r="C318" s="3936"/>
      <c r="E318" s="1525" t="s">
        <v>3117</v>
      </c>
      <c r="F318" s="3937" t="s">
        <v>3118</v>
      </c>
      <c r="G318" s="3937"/>
    </row>
    <row r="319" spans="1:7">
      <c r="A319" s="1524" t="s">
        <v>2339</v>
      </c>
      <c r="B319" s="3936" t="s">
        <v>2340</v>
      </c>
      <c r="C319" s="3936"/>
      <c r="E319" s="1525" t="s">
        <v>3119</v>
      </c>
      <c r="F319" s="3937" t="s">
        <v>3120</v>
      </c>
      <c r="G319" s="3937"/>
    </row>
    <row r="320" spans="1:7">
      <c r="E320" s="1525" t="s">
        <v>3121</v>
      </c>
      <c r="F320" s="3937" t="s">
        <v>3122</v>
      </c>
      <c r="G320" s="3937"/>
    </row>
    <row r="321" spans="5:7">
      <c r="E321" s="1525" t="s">
        <v>3123</v>
      </c>
      <c r="F321" s="3937" t="s">
        <v>3124</v>
      </c>
      <c r="G321" s="3937"/>
    </row>
    <row r="322" spans="5:7">
      <c r="E322" s="1525" t="s">
        <v>3125</v>
      </c>
      <c r="F322" s="3937" t="s">
        <v>3126</v>
      </c>
      <c r="G322" s="3937"/>
    </row>
    <row r="323" spans="5:7">
      <c r="E323" s="1525" t="s">
        <v>3127</v>
      </c>
      <c r="F323" s="3937" t="s">
        <v>3128</v>
      </c>
      <c r="G323" s="3937"/>
    </row>
    <row r="324" spans="5:7">
      <c r="E324" s="1525" t="s">
        <v>3129</v>
      </c>
      <c r="F324" s="3937" t="s">
        <v>3130</v>
      </c>
      <c r="G324" s="3937"/>
    </row>
    <row r="325" spans="5:7">
      <c r="E325" s="1525" t="s">
        <v>3131</v>
      </c>
      <c r="F325" s="3937" t="s">
        <v>3132</v>
      </c>
      <c r="G325" s="3937"/>
    </row>
    <row r="326" spans="5:7">
      <c r="E326" s="1525" t="s">
        <v>3133</v>
      </c>
      <c r="F326" s="3937" t="s">
        <v>3134</v>
      </c>
      <c r="G326" s="3937"/>
    </row>
    <row r="327" spans="5:7">
      <c r="E327" s="1525" t="s">
        <v>3135</v>
      </c>
      <c r="F327" s="3937" t="s">
        <v>3136</v>
      </c>
      <c r="G327" s="3937"/>
    </row>
    <row r="328" spans="5:7">
      <c r="E328" s="1525" t="s">
        <v>3137</v>
      </c>
      <c r="F328" s="3937" t="s">
        <v>3138</v>
      </c>
      <c r="G328" s="3937"/>
    </row>
    <row r="329" spans="5:7">
      <c r="E329" s="1525" t="s">
        <v>3139</v>
      </c>
      <c r="F329" s="3937" t="s">
        <v>3140</v>
      </c>
      <c r="G329" s="3937"/>
    </row>
    <row r="330" spans="5:7">
      <c r="E330" s="1525" t="s">
        <v>3141</v>
      </c>
      <c r="F330" s="3937" t="s">
        <v>3142</v>
      </c>
      <c r="G330" s="3937"/>
    </row>
    <row r="331" spans="5:7">
      <c r="E331" s="1525" t="s">
        <v>3143</v>
      </c>
      <c r="F331" s="3937" t="s">
        <v>3144</v>
      </c>
      <c r="G331" s="3937"/>
    </row>
    <row r="332" spans="5:7">
      <c r="E332" s="1525" t="s">
        <v>3145</v>
      </c>
      <c r="F332" s="3937" t="s">
        <v>3146</v>
      </c>
      <c r="G332" s="3937"/>
    </row>
    <row r="333" spans="5:7">
      <c r="E333" s="1525" t="s">
        <v>3147</v>
      </c>
      <c r="F333" s="3937" t="s">
        <v>3148</v>
      </c>
      <c r="G333" s="3937"/>
    </row>
    <row r="334" spans="5:7">
      <c r="E334" s="1525" t="s">
        <v>3149</v>
      </c>
      <c r="F334" s="3937" t="s">
        <v>3150</v>
      </c>
      <c r="G334" s="3937"/>
    </row>
    <row r="335" spans="5:7">
      <c r="E335" s="1525" t="s">
        <v>3151</v>
      </c>
      <c r="F335" s="3937" t="s">
        <v>3152</v>
      </c>
      <c r="G335" s="3937"/>
    </row>
    <row r="336" spans="5:7">
      <c r="E336" s="1525" t="s">
        <v>3153</v>
      </c>
      <c r="F336" s="3937" t="s">
        <v>3154</v>
      </c>
      <c r="G336" s="3937"/>
    </row>
    <row r="337" spans="5:7">
      <c r="E337" s="1525" t="s">
        <v>3155</v>
      </c>
      <c r="F337" s="3937" t="s">
        <v>3156</v>
      </c>
      <c r="G337" s="3937"/>
    </row>
    <row r="338" spans="5:7">
      <c r="E338" s="1525" t="s">
        <v>3157</v>
      </c>
      <c r="F338" s="3937" t="s">
        <v>3158</v>
      </c>
      <c r="G338" s="3937"/>
    </row>
    <row r="339" spans="5:7">
      <c r="E339" s="1525" t="s">
        <v>3159</v>
      </c>
      <c r="F339" s="3937" t="s">
        <v>3160</v>
      </c>
      <c r="G339" s="3937"/>
    </row>
    <row r="340" spans="5:7">
      <c r="E340" s="1525" t="s">
        <v>3161</v>
      </c>
      <c r="F340" s="3937" t="s">
        <v>3162</v>
      </c>
      <c r="G340" s="3937"/>
    </row>
    <row r="341" spans="5:7">
      <c r="E341" s="1525" t="s">
        <v>3163</v>
      </c>
      <c r="F341" s="3937" t="s">
        <v>3164</v>
      </c>
      <c r="G341" s="3937"/>
    </row>
    <row r="342" spans="5:7">
      <c r="E342" s="1525" t="s">
        <v>3165</v>
      </c>
      <c r="F342" s="3937" t="s">
        <v>3166</v>
      </c>
      <c r="G342" s="3937"/>
    </row>
    <row r="343" spans="5:7">
      <c r="E343" s="1525" t="s">
        <v>3167</v>
      </c>
      <c r="F343" s="3937" t="s">
        <v>3168</v>
      </c>
      <c r="G343" s="3937"/>
    </row>
    <row r="344" spans="5:7">
      <c r="E344" s="1525" t="s">
        <v>3169</v>
      </c>
      <c r="F344" s="3937" t="s">
        <v>3170</v>
      </c>
      <c r="G344" s="3937"/>
    </row>
    <row r="345" spans="5:7">
      <c r="E345" s="1525" t="s">
        <v>3171</v>
      </c>
      <c r="F345" s="3937" t="s">
        <v>3172</v>
      </c>
      <c r="G345" s="3937"/>
    </row>
    <row r="346" spans="5:7">
      <c r="E346" s="1525" t="s">
        <v>3173</v>
      </c>
      <c r="F346" s="3937" t="s">
        <v>3174</v>
      </c>
      <c r="G346" s="3937"/>
    </row>
    <row r="347" spans="5:7">
      <c r="E347" s="1525" t="s">
        <v>3175</v>
      </c>
      <c r="F347" s="3937" t="s">
        <v>3176</v>
      </c>
      <c r="G347" s="3937"/>
    </row>
    <row r="348" spans="5:7">
      <c r="E348" s="1525" t="s">
        <v>3177</v>
      </c>
      <c r="F348" s="3937" t="s">
        <v>3178</v>
      </c>
      <c r="G348" s="3937"/>
    </row>
    <row r="349" spans="5:7">
      <c r="E349" s="1525" t="s">
        <v>3179</v>
      </c>
      <c r="F349" s="3937" t="s">
        <v>3180</v>
      </c>
      <c r="G349" s="3937"/>
    </row>
    <row r="350" spans="5:7">
      <c r="E350" s="1525" t="s">
        <v>3181</v>
      </c>
      <c r="F350" s="3937" t="s">
        <v>3182</v>
      </c>
      <c r="G350" s="3937"/>
    </row>
    <row r="351" spans="5:7">
      <c r="E351" s="1525" t="s">
        <v>3183</v>
      </c>
      <c r="F351" s="3937" t="s">
        <v>3184</v>
      </c>
      <c r="G351" s="3937"/>
    </row>
    <row r="352" spans="5:7">
      <c r="E352" s="1525" t="s">
        <v>3185</v>
      </c>
      <c r="F352" s="3937" t="s">
        <v>3186</v>
      </c>
      <c r="G352" s="3937"/>
    </row>
    <row r="353" spans="5:7">
      <c r="E353" s="1525" t="s">
        <v>3187</v>
      </c>
      <c r="F353" s="3937" t="s">
        <v>3188</v>
      </c>
      <c r="G353" s="3937"/>
    </row>
    <row r="354" spans="5:7">
      <c r="E354" s="1525" t="s">
        <v>3189</v>
      </c>
      <c r="F354" s="3937" t="s">
        <v>3190</v>
      </c>
      <c r="G354" s="3937"/>
    </row>
    <row r="355" spans="5:7">
      <c r="E355" s="1525" t="s">
        <v>3191</v>
      </c>
      <c r="F355" s="3937" t="s">
        <v>3192</v>
      </c>
      <c r="G355" s="3937"/>
    </row>
    <row r="356" spans="5:7">
      <c r="E356" s="1525" t="s">
        <v>3193</v>
      </c>
      <c r="F356" s="3937" t="s">
        <v>3194</v>
      </c>
      <c r="G356" s="3937"/>
    </row>
    <row r="357" spans="5:7">
      <c r="E357" s="1525" t="s">
        <v>3195</v>
      </c>
      <c r="F357" s="3937" t="s">
        <v>3196</v>
      </c>
      <c r="G357" s="3937"/>
    </row>
    <row r="358" spans="5:7">
      <c r="E358" s="1525" t="s">
        <v>3197</v>
      </c>
      <c r="F358" s="3937" t="s">
        <v>3198</v>
      </c>
      <c r="G358" s="3937"/>
    </row>
    <row r="359" spans="5:7">
      <c r="E359" s="1525" t="s">
        <v>3199</v>
      </c>
      <c r="F359" s="3937" t="s">
        <v>3200</v>
      </c>
      <c r="G359" s="3937"/>
    </row>
    <row r="360" spans="5:7">
      <c r="E360" s="1525" t="s">
        <v>3201</v>
      </c>
      <c r="F360" s="3937" t="s">
        <v>3202</v>
      </c>
      <c r="G360" s="3937"/>
    </row>
    <row r="361" spans="5:7">
      <c r="E361" s="1525" t="s">
        <v>3203</v>
      </c>
      <c r="F361" s="3937" t="s">
        <v>3204</v>
      </c>
      <c r="G361" s="3937"/>
    </row>
    <row r="362" spans="5:7">
      <c r="E362" s="1525" t="s">
        <v>3205</v>
      </c>
      <c r="F362" s="3937" t="s">
        <v>3206</v>
      </c>
      <c r="G362" s="3937"/>
    </row>
    <row r="363" spans="5:7">
      <c r="E363" s="1525" t="s">
        <v>3207</v>
      </c>
      <c r="F363" s="3937" t="s">
        <v>3208</v>
      </c>
      <c r="G363" s="3937"/>
    </row>
    <row r="364" spans="5:7">
      <c r="E364" s="1525" t="s">
        <v>3209</v>
      </c>
      <c r="F364" s="3937" t="s">
        <v>3210</v>
      </c>
      <c r="G364" s="3937"/>
    </row>
    <row r="365" spans="5:7">
      <c r="E365" s="1525" t="s">
        <v>3211</v>
      </c>
      <c r="F365" s="3937" t="s">
        <v>3212</v>
      </c>
      <c r="G365" s="3937"/>
    </row>
    <row r="366" spans="5:7">
      <c r="E366" s="1525" t="s">
        <v>3213</v>
      </c>
      <c r="F366" s="3937" t="s">
        <v>3214</v>
      </c>
      <c r="G366" s="3937"/>
    </row>
    <row r="367" spans="5:7">
      <c r="E367" s="1525" t="s">
        <v>3215</v>
      </c>
      <c r="F367" s="3937" t="s">
        <v>3216</v>
      </c>
      <c r="G367" s="3937"/>
    </row>
    <row r="368" spans="5:7">
      <c r="E368" s="1525" t="s">
        <v>3217</v>
      </c>
      <c r="F368" s="3937" t="s">
        <v>3218</v>
      </c>
      <c r="G368" s="3937"/>
    </row>
    <row r="369" spans="5:7">
      <c r="E369" s="1525" t="s">
        <v>3219</v>
      </c>
      <c r="F369" s="3937" t="s">
        <v>3220</v>
      </c>
      <c r="G369" s="3937"/>
    </row>
    <row r="370" spans="5:7">
      <c r="E370" s="1525" t="s">
        <v>3221</v>
      </c>
      <c r="F370" s="3937" t="s">
        <v>3222</v>
      </c>
      <c r="G370" s="3937"/>
    </row>
    <row r="371" spans="5:7">
      <c r="E371" s="1525" t="s">
        <v>3223</v>
      </c>
      <c r="F371" s="3937" t="s">
        <v>3224</v>
      </c>
      <c r="G371" s="3937"/>
    </row>
    <row r="372" spans="5:7">
      <c r="E372" s="1525" t="s">
        <v>3225</v>
      </c>
      <c r="F372" s="3937" t="s">
        <v>3226</v>
      </c>
      <c r="G372" s="3937"/>
    </row>
    <row r="373" spans="5:7">
      <c r="E373" s="1525" t="s">
        <v>3227</v>
      </c>
      <c r="F373" s="3937" t="s">
        <v>3228</v>
      </c>
      <c r="G373" s="3937"/>
    </row>
    <row r="374" spans="5:7">
      <c r="E374" s="1525" t="s">
        <v>3229</v>
      </c>
      <c r="F374" s="3937" t="s">
        <v>3230</v>
      </c>
      <c r="G374" s="3937"/>
    </row>
    <row r="375" spans="5:7">
      <c r="E375" s="1525" t="s">
        <v>3231</v>
      </c>
      <c r="F375" s="3937" t="s">
        <v>3232</v>
      </c>
      <c r="G375" s="3937"/>
    </row>
    <row r="376" spans="5:7">
      <c r="E376" s="1525" t="s">
        <v>3233</v>
      </c>
      <c r="F376" s="3937" t="s">
        <v>3234</v>
      </c>
      <c r="G376" s="3937"/>
    </row>
    <row r="377" spans="5:7">
      <c r="E377" s="1525" t="s">
        <v>3235</v>
      </c>
      <c r="F377" s="3937" t="s">
        <v>3236</v>
      </c>
      <c r="G377" s="3937"/>
    </row>
    <row r="378" spans="5:7">
      <c r="E378" s="1525" t="s">
        <v>3237</v>
      </c>
      <c r="F378" s="3937" t="s">
        <v>3238</v>
      </c>
      <c r="G378" s="3937"/>
    </row>
    <row r="379" spans="5:7">
      <c r="E379" s="1525" t="s">
        <v>3239</v>
      </c>
      <c r="F379" s="3937" t="s">
        <v>3240</v>
      </c>
      <c r="G379" s="3937"/>
    </row>
    <row r="380" spans="5:7">
      <c r="E380" s="1525" t="s">
        <v>3241</v>
      </c>
      <c r="F380" s="3937" t="s">
        <v>3242</v>
      </c>
      <c r="G380" s="3937"/>
    </row>
    <row r="381" spans="5:7">
      <c r="E381" s="1525" t="s">
        <v>3243</v>
      </c>
      <c r="F381" s="3937" t="s">
        <v>3244</v>
      </c>
      <c r="G381" s="3937"/>
    </row>
    <row r="382" spans="5:7">
      <c r="E382" s="1525" t="s">
        <v>3245</v>
      </c>
      <c r="F382" s="3937" t="s">
        <v>3246</v>
      </c>
      <c r="G382" s="3937"/>
    </row>
    <row r="383" spans="5:7">
      <c r="E383" s="1525" t="s">
        <v>3247</v>
      </c>
      <c r="F383" s="3937" t="s">
        <v>3248</v>
      </c>
      <c r="G383" s="3937"/>
    </row>
    <row r="384" spans="5:7">
      <c r="E384" s="1525" t="s">
        <v>3249</v>
      </c>
      <c r="F384" s="3937" t="s">
        <v>3250</v>
      </c>
      <c r="G384" s="3937"/>
    </row>
    <row r="385" spans="5:7">
      <c r="E385" s="1525" t="s">
        <v>3251</v>
      </c>
      <c r="F385" s="3937" t="s">
        <v>3252</v>
      </c>
      <c r="G385" s="3937"/>
    </row>
    <row r="386" spans="5:7">
      <c r="E386" s="1525" t="s">
        <v>3253</v>
      </c>
      <c r="F386" s="3937" t="s">
        <v>3254</v>
      </c>
      <c r="G386" s="3937"/>
    </row>
    <row r="387" spans="5:7">
      <c r="E387" s="1525" t="s">
        <v>3255</v>
      </c>
      <c r="F387" s="3937" t="s">
        <v>3256</v>
      </c>
      <c r="G387" s="3937"/>
    </row>
    <row r="388" spans="5:7">
      <c r="E388" s="1525" t="s">
        <v>3257</v>
      </c>
      <c r="F388" s="3937" t="s">
        <v>3258</v>
      </c>
      <c r="G388" s="3937"/>
    </row>
    <row r="389" spans="5:7">
      <c r="E389" s="1525" t="s">
        <v>3259</v>
      </c>
      <c r="F389" s="3937" t="s">
        <v>3260</v>
      </c>
      <c r="G389" s="3937"/>
    </row>
    <row r="390" spans="5:7">
      <c r="E390" s="1525" t="s">
        <v>3261</v>
      </c>
      <c r="F390" s="3937" t="s">
        <v>3262</v>
      </c>
      <c r="G390" s="3937"/>
    </row>
    <row r="391" spans="5:7">
      <c r="E391" s="1525" t="s">
        <v>3263</v>
      </c>
      <c r="F391" s="3937" t="s">
        <v>3264</v>
      </c>
      <c r="G391" s="3937"/>
    </row>
    <row r="392" spans="5:7">
      <c r="E392" s="1525" t="s">
        <v>3265</v>
      </c>
      <c r="F392" s="3937" t="s">
        <v>3266</v>
      </c>
      <c r="G392" s="3937"/>
    </row>
    <row r="393" spans="5:7">
      <c r="E393" s="1525" t="s">
        <v>3267</v>
      </c>
      <c r="F393" s="3937" t="s">
        <v>3268</v>
      </c>
      <c r="G393" s="3937"/>
    </row>
    <row r="394" spans="5:7">
      <c r="E394" s="1525" t="s">
        <v>3269</v>
      </c>
      <c r="F394" s="3937" t="s">
        <v>3270</v>
      </c>
      <c r="G394" s="3937"/>
    </row>
    <row r="395" spans="5:7">
      <c r="E395" s="1525" t="s">
        <v>3271</v>
      </c>
      <c r="F395" s="3937" t="s">
        <v>3272</v>
      </c>
      <c r="G395" s="3937"/>
    </row>
    <row r="396" spans="5:7">
      <c r="E396" s="1525" t="s">
        <v>3273</v>
      </c>
      <c r="F396" s="3937" t="s">
        <v>3274</v>
      </c>
      <c r="G396" s="3937"/>
    </row>
    <row r="397" spans="5:7">
      <c r="E397" s="1525" t="s">
        <v>3275</v>
      </c>
      <c r="F397" s="3937" t="s">
        <v>3276</v>
      </c>
      <c r="G397" s="3937"/>
    </row>
    <row r="398" spans="5:7">
      <c r="E398" s="1525" t="s">
        <v>3277</v>
      </c>
      <c r="F398" s="3937" t="s">
        <v>3278</v>
      </c>
      <c r="G398" s="3937"/>
    </row>
    <row r="399" spans="5:7">
      <c r="E399" s="1525" t="s">
        <v>3279</v>
      </c>
      <c r="F399" s="3937" t="s">
        <v>3280</v>
      </c>
      <c r="G399" s="3937"/>
    </row>
    <row r="400" spans="5:7">
      <c r="E400" s="1525" t="s">
        <v>3281</v>
      </c>
      <c r="F400" s="3937" t="s">
        <v>3282</v>
      </c>
      <c r="G400" s="3937"/>
    </row>
    <row r="401" spans="5:7">
      <c r="E401" s="1525" t="s">
        <v>3283</v>
      </c>
      <c r="F401" s="3937" t="s">
        <v>3284</v>
      </c>
      <c r="G401" s="3937"/>
    </row>
    <row r="402" spans="5:7">
      <c r="E402" s="1525" t="s">
        <v>3285</v>
      </c>
      <c r="F402" s="3937" t="s">
        <v>3286</v>
      </c>
      <c r="G402" s="3937"/>
    </row>
    <row r="403" spans="5:7">
      <c r="E403" s="1525" t="s">
        <v>3287</v>
      </c>
      <c r="F403" s="3937" t="s">
        <v>3288</v>
      </c>
      <c r="G403" s="3937"/>
    </row>
    <row r="404" spans="5:7">
      <c r="E404" s="1525" t="s">
        <v>3289</v>
      </c>
      <c r="F404" s="3937" t="s">
        <v>3290</v>
      </c>
      <c r="G404" s="3937"/>
    </row>
    <row r="405" spans="5:7">
      <c r="E405" s="1525" t="s">
        <v>3291</v>
      </c>
      <c r="F405" s="3937" t="s">
        <v>3292</v>
      </c>
      <c r="G405" s="3937"/>
    </row>
    <row r="406" spans="5:7">
      <c r="E406" s="1525" t="s">
        <v>3293</v>
      </c>
      <c r="F406" s="3937" t="s">
        <v>3294</v>
      </c>
      <c r="G406" s="3937"/>
    </row>
    <row r="407" spans="5:7">
      <c r="E407" s="1525" t="s">
        <v>3295</v>
      </c>
      <c r="F407" s="3937" t="s">
        <v>3296</v>
      </c>
      <c r="G407" s="3937"/>
    </row>
    <row r="408" spans="5:7">
      <c r="E408" s="1525" t="s">
        <v>3297</v>
      </c>
      <c r="F408" s="3937" t="s">
        <v>3298</v>
      </c>
      <c r="G408" s="3937"/>
    </row>
    <row r="409" spans="5:7">
      <c r="E409" s="1525" t="s">
        <v>3299</v>
      </c>
      <c r="F409" s="3937" t="s">
        <v>3300</v>
      </c>
      <c r="G409" s="3937"/>
    </row>
    <row r="410" spans="5:7">
      <c r="E410" s="1525" t="s">
        <v>3301</v>
      </c>
      <c r="F410" s="3937" t="s">
        <v>3302</v>
      </c>
      <c r="G410" s="3937"/>
    </row>
    <row r="411" spans="5:7">
      <c r="E411" s="1525" t="s">
        <v>3303</v>
      </c>
      <c r="F411" s="3937" t="s">
        <v>3304</v>
      </c>
      <c r="G411" s="3937"/>
    </row>
    <row r="412" spans="5:7">
      <c r="E412" s="1525" t="s">
        <v>3305</v>
      </c>
      <c r="F412" s="3937" t="s">
        <v>3306</v>
      </c>
      <c r="G412" s="3937"/>
    </row>
    <row r="413" spans="5:7">
      <c r="E413" s="1525" t="s">
        <v>3307</v>
      </c>
      <c r="F413" s="3937" t="s">
        <v>3308</v>
      </c>
      <c r="G413" s="3937"/>
    </row>
    <row r="414" spans="5:7">
      <c r="E414" s="1525" t="s">
        <v>3309</v>
      </c>
      <c r="F414" s="3937" t="s">
        <v>3310</v>
      </c>
      <c r="G414" s="3937"/>
    </row>
    <row r="415" spans="5:7">
      <c r="E415" s="1525" t="s">
        <v>3311</v>
      </c>
      <c r="F415" s="3937" t="s">
        <v>3312</v>
      </c>
      <c r="G415" s="3937"/>
    </row>
    <row r="416" spans="5:7">
      <c r="E416" s="1525" t="s">
        <v>3313</v>
      </c>
      <c r="F416" s="3937" t="s">
        <v>3314</v>
      </c>
      <c r="G416" s="3937"/>
    </row>
    <row r="417" spans="5:7">
      <c r="E417" s="1525" t="s">
        <v>3315</v>
      </c>
      <c r="F417" s="3937" t="s">
        <v>3316</v>
      </c>
      <c r="G417" s="3937"/>
    </row>
    <row r="418" spans="5:7">
      <c r="E418" s="1525" t="s">
        <v>3317</v>
      </c>
      <c r="F418" s="3937" t="s">
        <v>3318</v>
      </c>
      <c r="G418" s="3937"/>
    </row>
    <row r="419" spans="5:7">
      <c r="E419" s="1525" t="s">
        <v>3319</v>
      </c>
      <c r="F419" s="3937" t="s">
        <v>3320</v>
      </c>
      <c r="G419" s="3937"/>
    </row>
    <row r="420" spans="5:7">
      <c r="E420" s="1525" t="s">
        <v>3321</v>
      </c>
      <c r="F420" s="3937" t="s">
        <v>3322</v>
      </c>
      <c r="G420" s="3937"/>
    </row>
    <row r="421" spans="5:7">
      <c r="E421" s="1525" t="s">
        <v>3323</v>
      </c>
      <c r="F421" s="3937" t="s">
        <v>3324</v>
      </c>
      <c r="G421" s="3937"/>
    </row>
    <row r="422" spans="5:7">
      <c r="E422" s="1525" t="s">
        <v>3325</v>
      </c>
      <c r="F422" s="3937" t="s">
        <v>3326</v>
      </c>
      <c r="G422" s="3937"/>
    </row>
    <row r="423" spans="5:7">
      <c r="E423" s="1525" t="s">
        <v>3327</v>
      </c>
      <c r="F423" s="3937" t="s">
        <v>3328</v>
      </c>
      <c r="G423" s="3937"/>
    </row>
    <row r="424" spans="5:7">
      <c r="E424" s="1525" t="s">
        <v>3329</v>
      </c>
      <c r="F424" s="3937" t="s">
        <v>3330</v>
      </c>
      <c r="G424" s="3937"/>
    </row>
    <row r="425" spans="5:7">
      <c r="E425" s="1525" t="s">
        <v>3331</v>
      </c>
      <c r="F425" s="3937" t="s">
        <v>3332</v>
      </c>
      <c r="G425" s="3937"/>
    </row>
    <row r="426" spans="5:7">
      <c r="E426" s="1525" t="s">
        <v>3333</v>
      </c>
      <c r="F426" s="3937" t="s">
        <v>3334</v>
      </c>
      <c r="G426" s="3937"/>
    </row>
    <row r="427" spans="5:7">
      <c r="E427" s="1525" t="s">
        <v>3335</v>
      </c>
      <c r="F427" s="3937" t="s">
        <v>3336</v>
      </c>
      <c r="G427" s="3937"/>
    </row>
    <row r="428" spans="5:7">
      <c r="E428" s="1525" t="s">
        <v>3337</v>
      </c>
      <c r="F428" s="3937" t="s">
        <v>3338</v>
      </c>
      <c r="G428" s="3937"/>
    </row>
    <row r="429" spans="5:7">
      <c r="E429" s="1525" t="s">
        <v>3339</v>
      </c>
      <c r="F429" s="3937" t="s">
        <v>3340</v>
      </c>
      <c r="G429" s="3937"/>
    </row>
    <row r="430" spans="5:7">
      <c r="E430" s="1525" t="s">
        <v>3341</v>
      </c>
      <c r="F430" s="3937" t="s">
        <v>3342</v>
      </c>
      <c r="G430" s="3937"/>
    </row>
    <row r="431" spans="5:7">
      <c r="E431" s="1525" t="s">
        <v>3343</v>
      </c>
      <c r="F431" s="3937" t="s">
        <v>3344</v>
      </c>
      <c r="G431" s="3937"/>
    </row>
    <row r="432" spans="5:7">
      <c r="E432" s="1525" t="s">
        <v>3345</v>
      </c>
      <c r="F432" s="3937" t="s">
        <v>3346</v>
      </c>
      <c r="G432" s="3937"/>
    </row>
    <row r="433" spans="5:7">
      <c r="E433" s="1525" t="s">
        <v>3347</v>
      </c>
      <c r="F433" s="3937" t="s">
        <v>3348</v>
      </c>
      <c r="G433" s="3937"/>
    </row>
    <row r="434" spans="5:7">
      <c r="E434" s="1525" t="s">
        <v>3349</v>
      </c>
      <c r="F434" s="3937" t="s">
        <v>3350</v>
      </c>
      <c r="G434" s="3937"/>
    </row>
    <row r="435" spans="5:7">
      <c r="E435" s="1525" t="s">
        <v>3351</v>
      </c>
      <c r="F435" s="3937" t="s">
        <v>3352</v>
      </c>
      <c r="G435" s="3937"/>
    </row>
    <row r="436" spans="5:7">
      <c r="E436" s="1525" t="s">
        <v>3353</v>
      </c>
      <c r="F436" s="3937" t="s">
        <v>3354</v>
      </c>
      <c r="G436" s="3937"/>
    </row>
    <row r="437" spans="5:7">
      <c r="E437" s="1525" t="s">
        <v>3355</v>
      </c>
      <c r="F437" s="3937" t="s">
        <v>3356</v>
      </c>
      <c r="G437" s="3937"/>
    </row>
    <row r="438" spans="5:7">
      <c r="E438" s="1525" t="s">
        <v>3357</v>
      </c>
      <c r="F438" s="3937" t="s">
        <v>3358</v>
      </c>
      <c r="G438" s="3937"/>
    </row>
    <row r="439" spans="5:7">
      <c r="E439" s="1525" t="s">
        <v>3359</v>
      </c>
      <c r="F439" s="3937" t="s">
        <v>3360</v>
      </c>
      <c r="G439" s="3937"/>
    </row>
    <row r="440" spans="5:7">
      <c r="E440" s="1525" t="s">
        <v>3361</v>
      </c>
      <c r="F440" s="3937" t="s">
        <v>3362</v>
      </c>
      <c r="G440" s="3937"/>
    </row>
    <row r="441" spans="5:7">
      <c r="E441" s="1525" t="s">
        <v>3363</v>
      </c>
      <c r="F441" s="3937" t="s">
        <v>3364</v>
      </c>
      <c r="G441" s="3937"/>
    </row>
    <row r="442" spans="5:7">
      <c r="E442" s="1525" t="s">
        <v>3365</v>
      </c>
      <c r="F442" s="3937" t="s">
        <v>3366</v>
      </c>
      <c r="G442" s="3937"/>
    </row>
    <row r="443" spans="5:7">
      <c r="E443" s="1525" t="s">
        <v>3367</v>
      </c>
      <c r="F443" s="3937" t="s">
        <v>3368</v>
      </c>
      <c r="G443" s="3937"/>
    </row>
    <row r="444" spans="5:7">
      <c r="E444" s="1525" t="s">
        <v>3369</v>
      </c>
      <c r="F444" s="3937" t="s">
        <v>3370</v>
      </c>
      <c r="G444" s="3937"/>
    </row>
    <row r="445" spans="5:7">
      <c r="E445" s="1525" t="s">
        <v>3371</v>
      </c>
      <c r="F445" s="3937" t="s">
        <v>3372</v>
      </c>
      <c r="G445" s="3937"/>
    </row>
    <row r="446" spans="5:7">
      <c r="E446" s="1525" t="s">
        <v>3373</v>
      </c>
      <c r="F446" s="3937" t="s">
        <v>3374</v>
      </c>
      <c r="G446" s="3937"/>
    </row>
    <row r="447" spans="5:7">
      <c r="E447" s="1525" t="s">
        <v>3375</v>
      </c>
      <c r="F447" s="3937" t="s">
        <v>3376</v>
      </c>
      <c r="G447" s="3937"/>
    </row>
    <row r="448" spans="5:7">
      <c r="E448" s="1525" t="s">
        <v>3377</v>
      </c>
      <c r="F448" s="3937" t="s">
        <v>3378</v>
      </c>
      <c r="G448" s="3937"/>
    </row>
    <row r="449" spans="5:7">
      <c r="E449" s="1525" t="s">
        <v>3379</v>
      </c>
      <c r="F449" s="3937" t="s">
        <v>3380</v>
      </c>
      <c r="G449" s="3937"/>
    </row>
    <row r="450" spans="5:7">
      <c r="E450" s="1525" t="s">
        <v>3381</v>
      </c>
      <c r="F450" s="3937" t="s">
        <v>3382</v>
      </c>
      <c r="G450" s="3937"/>
    </row>
    <row r="451" spans="5:7">
      <c r="E451" s="1525" t="s">
        <v>3383</v>
      </c>
      <c r="F451" s="3937" t="s">
        <v>3384</v>
      </c>
      <c r="G451" s="3937"/>
    </row>
    <row r="452" spans="5:7">
      <c r="E452" s="1525" t="s">
        <v>3385</v>
      </c>
      <c r="F452" s="3937" t="s">
        <v>3386</v>
      </c>
      <c r="G452" s="3937"/>
    </row>
    <row r="453" spans="5:7">
      <c r="E453" s="1525" t="s">
        <v>3387</v>
      </c>
      <c r="F453" s="3937" t="s">
        <v>3388</v>
      </c>
      <c r="G453" s="3937"/>
    </row>
    <row r="454" spans="5:7">
      <c r="E454" s="1525" t="s">
        <v>3389</v>
      </c>
      <c r="F454" s="3937" t="s">
        <v>3390</v>
      </c>
      <c r="G454" s="3937"/>
    </row>
    <row r="455" spans="5:7">
      <c r="E455" s="1525" t="s">
        <v>3391</v>
      </c>
      <c r="F455" s="3937" t="s">
        <v>3392</v>
      </c>
      <c r="G455" s="3937"/>
    </row>
    <row r="456" spans="5:7">
      <c r="E456" s="1525" t="s">
        <v>3393</v>
      </c>
      <c r="F456" s="3937" t="s">
        <v>3394</v>
      </c>
      <c r="G456" s="3937"/>
    </row>
    <row r="457" spans="5:7">
      <c r="E457" s="1525" t="s">
        <v>3395</v>
      </c>
      <c r="F457" s="3937" t="s">
        <v>3396</v>
      </c>
      <c r="G457" s="3937"/>
    </row>
    <row r="458" spans="5:7">
      <c r="E458" s="1525" t="s">
        <v>3397</v>
      </c>
      <c r="F458" s="3937" t="s">
        <v>3398</v>
      </c>
      <c r="G458" s="3937"/>
    </row>
    <row r="459" spans="5:7">
      <c r="E459" s="1525" t="s">
        <v>3399</v>
      </c>
      <c r="F459" s="3937" t="s">
        <v>3400</v>
      </c>
      <c r="G459" s="3937"/>
    </row>
    <row r="460" spans="5:7">
      <c r="E460" s="1525" t="s">
        <v>3401</v>
      </c>
      <c r="F460" s="3937" t="s">
        <v>3402</v>
      </c>
      <c r="G460" s="3937"/>
    </row>
    <row r="461" spans="5:7">
      <c r="E461" s="1525" t="s">
        <v>3403</v>
      </c>
      <c r="F461" s="3937" t="s">
        <v>3404</v>
      </c>
      <c r="G461" s="3937"/>
    </row>
    <row r="462" spans="5:7">
      <c r="E462" s="1525" t="s">
        <v>3405</v>
      </c>
      <c r="F462" s="3937" t="s">
        <v>3406</v>
      </c>
      <c r="G462" s="3937"/>
    </row>
    <row r="463" spans="5:7">
      <c r="E463" s="1525" t="s">
        <v>3407</v>
      </c>
      <c r="F463" s="3937" t="s">
        <v>3408</v>
      </c>
      <c r="G463" s="3937"/>
    </row>
    <row r="464" spans="5:7">
      <c r="E464" s="1525" t="s">
        <v>3409</v>
      </c>
      <c r="F464" s="3937" t="s">
        <v>3410</v>
      </c>
      <c r="G464" s="3937"/>
    </row>
    <row r="465" spans="5:7">
      <c r="E465" s="1525" t="s">
        <v>3411</v>
      </c>
      <c r="F465" s="3937" t="s">
        <v>3412</v>
      </c>
      <c r="G465" s="3937"/>
    </row>
    <row r="466" spans="5:7">
      <c r="E466" s="1525" t="s">
        <v>3413</v>
      </c>
      <c r="F466" s="3937" t="s">
        <v>3414</v>
      </c>
      <c r="G466" s="3937"/>
    </row>
    <row r="467" spans="5:7">
      <c r="E467" s="1525" t="s">
        <v>3415</v>
      </c>
      <c r="F467" s="3937" t="s">
        <v>3416</v>
      </c>
      <c r="G467" s="3937"/>
    </row>
    <row r="468" spans="5:7">
      <c r="E468" s="1525" t="s">
        <v>3417</v>
      </c>
      <c r="F468" s="3937" t="s">
        <v>3418</v>
      </c>
      <c r="G468" s="3937"/>
    </row>
    <row r="469" spans="5:7">
      <c r="E469" s="1525" t="s">
        <v>3419</v>
      </c>
      <c r="F469" s="3937" t="s">
        <v>3420</v>
      </c>
      <c r="G469" s="3937"/>
    </row>
    <row r="470" spans="5:7">
      <c r="E470" s="1525" t="s">
        <v>3421</v>
      </c>
      <c r="F470" s="3937" t="s">
        <v>3422</v>
      </c>
      <c r="G470" s="3937"/>
    </row>
    <row r="471" spans="5:7">
      <c r="E471" s="1525" t="s">
        <v>3423</v>
      </c>
      <c r="F471" s="3937" t="s">
        <v>3424</v>
      </c>
      <c r="G471" s="3937"/>
    </row>
    <row r="472" spans="5:7">
      <c r="E472" s="1525" t="s">
        <v>3425</v>
      </c>
      <c r="F472" s="3937" t="s">
        <v>3426</v>
      </c>
      <c r="G472" s="3937"/>
    </row>
    <row r="473" spans="5:7">
      <c r="E473" s="1525" t="s">
        <v>3427</v>
      </c>
      <c r="F473" s="3937" t="s">
        <v>3428</v>
      </c>
      <c r="G473" s="3937"/>
    </row>
    <row r="474" spans="5:7">
      <c r="E474" s="1525" t="s">
        <v>3429</v>
      </c>
      <c r="F474" s="3937" t="s">
        <v>3430</v>
      </c>
      <c r="G474" s="3937"/>
    </row>
    <row r="475" spans="5:7">
      <c r="E475" s="1525" t="s">
        <v>3431</v>
      </c>
      <c r="F475" s="3937" t="s">
        <v>3432</v>
      </c>
      <c r="G475" s="3937"/>
    </row>
    <row r="476" spans="5:7">
      <c r="E476" s="1525" t="s">
        <v>3433</v>
      </c>
      <c r="F476" s="3937" t="s">
        <v>3434</v>
      </c>
      <c r="G476" s="3937"/>
    </row>
    <row r="477" spans="5:7">
      <c r="E477" s="1525" t="s">
        <v>3435</v>
      </c>
      <c r="F477" s="3937" t="s">
        <v>3436</v>
      </c>
      <c r="G477" s="3937"/>
    </row>
    <row r="478" spans="5:7">
      <c r="E478" s="1525" t="s">
        <v>3437</v>
      </c>
      <c r="F478" s="3937" t="s">
        <v>3438</v>
      </c>
      <c r="G478" s="3937"/>
    </row>
    <row r="479" spans="5:7">
      <c r="E479" s="1525" t="s">
        <v>3439</v>
      </c>
      <c r="F479" s="3937" t="s">
        <v>3440</v>
      </c>
      <c r="G479" s="3937"/>
    </row>
    <row r="480" spans="5:7">
      <c r="E480" s="1525" t="s">
        <v>3441</v>
      </c>
      <c r="F480" s="3937" t="s">
        <v>3442</v>
      </c>
      <c r="G480" s="3937"/>
    </row>
    <row r="481" spans="5:7">
      <c r="E481" s="1525" t="s">
        <v>3443</v>
      </c>
      <c r="F481" s="3937" t="s">
        <v>3444</v>
      </c>
      <c r="G481" s="3937"/>
    </row>
    <row r="482" spans="5:7">
      <c r="E482" s="1525" t="s">
        <v>3445</v>
      </c>
      <c r="F482" s="3937" t="s">
        <v>3446</v>
      </c>
      <c r="G482" s="3937"/>
    </row>
    <row r="483" spans="5:7">
      <c r="E483" s="1525" t="s">
        <v>3447</v>
      </c>
      <c r="F483" s="3937" t="s">
        <v>3448</v>
      </c>
      <c r="G483" s="3937"/>
    </row>
    <row r="484" spans="5:7">
      <c r="E484" s="1525" t="s">
        <v>3449</v>
      </c>
      <c r="F484" s="3937" t="s">
        <v>3450</v>
      </c>
      <c r="G484" s="3937"/>
    </row>
    <row r="485" spans="5:7">
      <c r="E485" s="1525" t="s">
        <v>3451</v>
      </c>
      <c r="F485" s="3937" t="s">
        <v>3452</v>
      </c>
      <c r="G485" s="3937"/>
    </row>
    <row r="486" spans="5:7">
      <c r="E486" s="1525" t="s">
        <v>3453</v>
      </c>
      <c r="F486" s="3937" t="s">
        <v>3454</v>
      </c>
      <c r="G486" s="3937"/>
    </row>
    <row r="487" spans="5:7">
      <c r="E487" s="1525" t="s">
        <v>3455</v>
      </c>
      <c r="F487" s="3937" t="s">
        <v>3456</v>
      </c>
      <c r="G487" s="3937"/>
    </row>
    <row r="488" spans="5:7">
      <c r="E488" s="1525" t="s">
        <v>3457</v>
      </c>
      <c r="F488" s="3937" t="s">
        <v>3458</v>
      </c>
      <c r="G488" s="3937"/>
    </row>
    <row r="489" spans="5:7">
      <c r="E489" s="1525" t="s">
        <v>3459</v>
      </c>
      <c r="F489" s="3937" t="s">
        <v>3460</v>
      </c>
      <c r="G489" s="3937"/>
    </row>
    <row r="490" spans="5:7">
      <c r="E490" s="1525" t="s">
        <v>3461</v>
      </c>
      <c r="F490" s="3937" t="s">
        <v>3462</v>
      </c>
      <c r="G490" s="3937"/>
    </row>
    <row r="491" spans="5:7">
      <c r="E491" s="1525" t="s">
        <v>3463</v>
      </c>
      <c r="F491" s="3937" t="s">
        <v>3464</v>
      </c>
      <c r="G491" s="3937"/>
    </row>
    <row r="492" spans="5:7">
      <c r="E492" s="1525" t="s">
        <v>3465</v>
      </c>
      <c r="F492" s="3937" t="s">
        <v>3466</v>
      </c>
      <c r="G492" s="3937"/>
    </row>
    <row r="493" spans="5:7">
      <c r="E493" s="1525" t="s">
        <v>3467</v>
      </c>
      <c r="F493" s="3937" t="s">
        <v>3468</v>
      </c>
      <c r="G493" s="3937"/>
    </row>
    <row r="494" spans="5:7">
      <c r="E494" s="1525" t="s">
        <v>3469</v>
      </c>
      <c r="F494" s="3937" t="s">
        <v>3470</v>
      </c>
      <c r="G494" s="3937"/>
    </row>
    <row r="495" spans="5:7">
      <c r="E495" s="1525" t="s">
        <v>3471</v>
      </c>
      <c r="F495" s="3937" t="s">
        <v>3472</v>
      </c>
      <c r="G495" s="3937"/>
    </row>
    <row r="496" spans="5:7">
      <c r="E496" s="1525" t="s">
        <v>3473</v>
      </c>
      <c r="F496" s="3937" t="s">
        <v>3474</v>
      </c>
      <c r="G496" s="3937"/>
    </row>
    <row r="497" spans="5:7">
      <c r="E497" s="1525" t="s">
        <v>3475</v>
      </c>
      <c r="F497" s="3937" t="s">
        <v>3476</v>
      </c>
      <c r="G497" s="3937"/>
    </row>
    <row r="498" spans="5:7">
      <c r="E498" s="1525" t="s">
        <v>3477</v>
      </c>
      <c r="F498" s="3937" t="s">
        <v>3478</v>
      </c>
      <c r="G498" s="3937"/>
    </row>
    <row r="499" spans="5:7">
      <c r="E499" s="1525" t="s">
        <v>3479</v>
      </c>
      <c r="F499" s="3937" t="s">
        <v>3480</v>
      </c>
      <c r="G499" s="3937"/>
    </row>
    <row r="500" spans="5:7">
      <c r="E500" s="1525" t="s">
        <v>3481</v>
      </c>
      <c r="F500" s="3937" t="s">
        <v>3482</v>
      </c>
      <c r="G500" s="3937"/>
    </row>
    <row r="501" spans="5:7">
      <c r="E501" s="1525" t="s">
        <v>3483</v>
      </c>
      <c r="F501" s="3937" t="s">
        <v>3484</v>
      </c>
      <c r="G501" s="3937"/>
    </row>
    <row r="502" spans="5:7">
      <c r="E502" s="1525" t="s">
        <v>3485</v>
      </c>
      <c r="F502" s="3937" t="s">
        <v>3486</v>
      </c>
      <c r="G502" s="3937"/>
    </row>
    <row r="503" spans="5:7">
      <c r="E503" s="1525" t="s">
        <v>3487</v>
      </c>
      <c r="F503" s="3937" t="s">
        <v>3488</v>
      </c>
      <c r="G503" s="3937"/>
    </row>
    <row r="504" spans="5:7">
      <c r="E504" s="1525" t="s">
        <v>3489</v>
      </c>
      <c r="F504" s="3937" t="s">
        <v>3490</v>
      </c>
      <c r="G504" s="3937"/>
    </row>
    <row r="505" spans="5:7">
      <c r="E505" s="1525" t="s">
        <v>3491</v>
      </c>
      <c r="F505" s="3937" t="s">
        <v>3492</v>
      </c>
      <c r="G505" s="3937"/>
    </row>
    <row r="506" spans="5:7">
      <c r="E506" s="1525" t="s">
        <v>3493</v>
      </c>
      <c r="F506" s="3937" t="s">
        <v>3494</v>
      </c>
      <c r="G506" s="3937"/>
    </row>
    <row r="507" spans="5:7">
      <c r="E507" s="1525" t="s">
        <v>3495</v>
      </c>
      <c r="F507" s="3937" t="s">
        <v>3496</v>
      </c>
      <c r="G507" s="3937"/>
    </row>
    <row r="508" spans="5:7">
      <c r="E508" s="1525" t="s">
        <v>3497</v>
      </c>
      <c r="F508" s="3937" t="s">
        <v>3498</v>
      </c>
      <c r="G508" s="3937"/>
    </row>
    <row r="509" spans="5:7">
      <c r="E509" s="1525" t="s">
        <v>3499</v>
      </c>
      <c r="F509" s="3937" t="s">
        <v>3500</v>
      </c>
      <c r="G509" s="3937"/>
    </row>
    <row r="510" spans="5:7">
      <c r="E510" s="1525" t="s">
        <v>3501</v>
      </c>
      <c r="F510" s="3937" t="s">
        <v>3502</v>
      </c>
      <c r="G510" s="3937"/>
    </row>
    <row r="511" spans="5:7">
      <c r="E511" s="1525" t="s">
        <v>3503</v>
      </c>
      <c r="F511" s="3937" t="s">
        <v>3504</v>
      </c>
      <c r="G511" s="3937"/>
    </row>
    <row r="512" spans="5:7">
      <c r="E512" s="1525" t="s">
        <v>3505</v>
      </c>
      <c r="F512" s="3937" t="s">
        <v>3506</v>
      </c>
      <c r="G512" s="3937"/>
    </row>
    <row r="513" spans="5:7">
      <c r="E513" s="1525" t="s">
        <v>3507</v>
      </c>
      <c r="F513" s="3937" t="s">
        <v>3508</v>
      </c>
      <c r="G513" s="3937"/>
    </row>
    <row r="514" spans="5:7">
      <c r="E514" s="1525" t="s">
        <v>3509</v>
      </c>
      <c r="F514" s="3937" t="s">
        <v>3510</v>
      </c>
      <c r="G514" s="3937"/>
    </row>
    <row r="515" spans="5:7">
      <c r="E515" s="1525" t="s">
        <v>3511</v>
      </c>
      <c r="F515" s="3937" t="s">
        <v>3512</v>
      </c>
      <c r="G515" s="3937"/>
    </row>
    <row r="516" spans="5:7">
      <c r="E516" s="1525" t="s">
        <v>3513</v>
      </c>
      <c r="F516" s="3937" t="s">
        <v>3514</v>
      </c>
      <c r="G516" s="3937"/>
    </row>
    <row r="517" spans="5:7">
      <c r="E517" s="1525" t="s">
        <v>3515</v>
      </c>
      <c r="F517" s="3937" t="s">
        <v>3516</v>
      </c>
      <c r="G517" s="3937"/>
    </row>
    <row r="518" spans="5:7">
      <c r="E518" s="1525" t="s">
        <v>3517</v>
      </c>
      <c r="F518" s="3937" t="s">
        <v>3518</v>
      </c>
      <c r="G518" s="3937"/>
    </row>
    <row r="519" spans="5:7">
      <c r="E519" s="1525" t="s">
        <v>3519</v>
      </c>
      <c r="F519" s="3937" t="s">
        <v>3520</v>
      </c>
      <c r="G519" s="3937"/>
    </row>
    <row r="520" spans="5:7">
      <c r="E520" s="1525" t="s">
        <v>3521</v>
      </c>
      <c r="F520" s="3937" t="s">
        <v>3522</v>
      </c>
      <c r="G520" s="3937"/>
    </row>
    <row r="521" spans="5:7">
      <c r="E521" s="1525" t="s">
        <v>3523</v>
      </c>
      <c r="F521" s="3937" t="s">
        <v>3524</v>
      </c>
      <c r="G521" s="3937"/>
    </row>
    <row r="522" spans="5:7">
      <c r="E522" s="1525" t="s">
        <v>3525</v>
      </c>
      <c r="F522" s="3937" t="s">
        <v>3526</v>
      </c>
      <c r="G522" s="3937"/>
    </row>
    <row r="523" spans="5:7">
      <c r="E523" s="1525" t="s">
        <v>3527</v>
      </c>
      <c r="F523" s="3937" t="s">
        <v>3528</v>
      </c>
      <c r="G523" s="3937"/>
    </row>
    <row r="524" spans="5:7">
      <c r="E524" s="1525" t="s">
        <v>3529</v>
      </c>
      <c r="F524" s="3937" t="s">
        <v>3530</v>
      </c>
      <c r="G524" s="3937"/>
    </row>
    <row r="525" spans="5:7">
      <c r="E525" s="1525" t="s">
        <v>3531</v>
      </c>
      <c r="F525" s="3937" t="s">
        <v>3532</v>
      </c>
      <c r="G525" s="3937"/>
    </row>
    <row r="526" spans="5:7">
      <c r="E526" s="1525" t="s">
        <v>3533</v>
      </c>
      <c r="F526" s="3937" t="s">
        <v>3534</v>
      </c>
      <c r="G526" s="3937"/>
    </row>
    <row r="527" spans="5:7">
      <c r="E527" s="1525" t="s">
        <v>3535</v>
      </c>
      <c r="F527" s="3937" t="s">
        <v>3536</v>
      </c>
      <c r="G527" s="3937"/>
    </row>
    <row r="528" spans="5:7">
      <c r="E528" s="1525" t="s">
        <v>3537</v>
      </c>
      <c r="F528" s="3937" t="s">
        <v>3538</v>
      </c>
      <c r="G528" s="3937"/>
    </row>
    <row r="529" spans="5:7">
      <c r="E529" s="1525" t="s">
        <v>3539</v>
      </c>
      <c r="F529" s="3937" t="s">
        <v>3540</v>
      </c>
      <c r="G529" s="3937"/>
    </row>
    <row r="530" spans="5:7">
      <c r="E530" s="1525" t="s">
        <v>3541</v>
      </c>
      <c r="F530" s="3937" t="s">
        <v>3542</v>
      </c>
      <c r="G530" s="3937"/>
    </row>
    <row r="531" spans="5:7">
      <c r="E531" s="1525" t="s">
        <v>3543</v>
      </c>
      <c r="F531" s="3937" t="s">
        <v>3544</v>
      </c>
      <c r="G531" s="3937"/>
    </row>
    <row r="532" spans="5:7">
      <c r="E532" s="1525" t="s">
        <v>3545</v>
      </c>
      <c r="F532" s="3937" t="s">
        <v>3546</v>
      </c>
      <c r="G532" s="3937"/>
    </row>
    <row r="533" spans="5:7">
      <c r="E533" s="1525" t="s">
        <v>3547</v>
      </c>
      <c r="F533" s="3937" t="s">
        <v>3548</v>
      </c>
      <c r="G533" s="3937"/>
    </row>
    <row r="534" spans="5:7">
      <c r="E534" s="1525" t="s">
        <v>3549</v>
      </c>
      <c r="F534" s="3937" t="s">
        <v>3550</v>
      </c>
      <c r="G534" s="3937"/>
    </row>
    <row r="535" spans="5:7">
      <c r="E535" s="1525" t="s">
        <v>3551</v>
      </c>
      <c r="F535" s="3937" t="s">
        <v>3552</v>
      </c>
      <c r="G535" s="3937"/>
    </row>
    <row r="536" spans="5:7">
      <c r="E536" s="1525" t="s">
        <v>3553</v>
      </c>
      <c r="F536" s="3937" t="s">
        <v>3554</v>
      </c>
      <c r="G536" s="3937"/>
    </row>
    <row r="537" spans="5:7">
      <c r="E537" s="1525" t="s">
        <v>3555</v>
      </c>
      <c r="F537" s="3937" t="s">
        <v>3556</v>
      </c>
      <c r="G537" s="3937"/>
    </row>
    <row r="538" spans="5:7">
      <c r="E538" s="1525" t="s">
        <v>3557</v>
      </c>
      <c r="F538" s="3937" t="s">
        <v>3558</v>
      </c>
      <c r="G538" s="3937"/>
    </row>
    <row r="539" spans="5:7">
      <c r="E539" s="1525" t="s">
        <v>3559</v>
      </c>
      <c r="F539" s="3937" t="s">
        <v>3560</v>
      </c>
      <c r="G539" s="3937"/>
    </row>
    <row r="540" spans="5:7">
      <c r="E540" s="1525" t="s">
        <v>3561</v>
      </c>
      <c r="F540" s="3937" t="s">
        <v>3562</v>
      </c>
      <c r="G540" s="3937"/>
    </row>
    <row r="541" spans="5:7">
      <c r="E541" s="1525" t="s">
        <v>3563</v>
      </c>
      <c r="F541" s="3937" t="s">
        <v>3564</v>
      </c>
      <c r="G541" s="3937"/>
    </row>
    <row r="542" spans="5:7">
      <c r="E542" s="1525" t="s">
        <v>3565</v>
      </c>
      <c r="F542" s="3937" t="s">
        <v>3566</v>
      </c>
      <c r="G542" s="3937"/>
    </row>
    <row r="543" spans="5:7">
      <c r="E543" s="1525" t="s">
        <v>3567</v>
      </c>
      <c r="F543" s="3937" t="s">
        <v>3568</v>
      </c>
      <c r="G543" s="3937"/>
    </row>
    <row r="544" spans="5:7">
      <c r="E544" s="1525" t="s">
        <v>3569</v>
      </c>
      <c r="F544" s="3937" t="s">
        <v>3570</v>
      </c>
      <c r="G544" s="3937"/>
    </row>
    <row r="545" spans="5:7">
      <c r="E545" s="1525" t="s">
        <v>3571</v>
      </c>
      <c r="F545" s="3937" t="s">
        <v>3572</v>
      </c>
      <c r="G545" s="3937"/>
    </row>
    <row r="546" spans="5:7">
      <c r="E546" s="1525" t="s">
        <v>3573</v>
      </c>
      <c r="F546" s="3937" t="s">
        <v>3574</v>
      </c>
      <c r="G546" s="3937"/>
    </row>
    <row r="547" spans="5:7">
      <c r="E547" s="1525" t="s">
        <v>3575</v>
      </c>
      <c r="F547" s="3937" t="s">
        <v>3576</v>
      </c>
      <c r="G547" s="3937"/>
    </row>
    <row r="548" spans="5:7">
      <c r="E548" s="1525" t="s">
        <v>3577</v>
      </c>
      <c r="F548" s="3937" t="s">
        <v>3578</v>
      </c>
      <c r="G548" s="3937"/>
    </row>
    <row r="549" spans="5:7">
      <c r="E549" s="1525" t="s">
        <v>3579</v>
      </c>
      <c r="F549" s="3937" t="s">
        <v>3580</v>
      </c>
      <c r="G549" s="3937"/>
    </row>
    <row r="550" spans="5:7">
      <c r="E550" s="1525" t="s">
        <v>3581</v>
      </c>
      <c r="F550" s="3937" t="s">
        <v>3582</v>
      </c>
      <c r="G550" s="3937"/>
    </row>
    <row r="551" spans="5:7">
      <c r="E551" s="1525" t="s">
        <v>3583</v>
      </c>
      <c r="F551" s="3937" t="s">
        <v>3584</v>
      </c>
      <c r="G551" s="3937"/>
    </row>
    <row r="552" spans="5:7">
      <c r="E552" s="1525" t="s">
        <v>3585</v>
      </c>
      <c r="F552" s="3937" t="s">
        <v>3586</v>
      </c>
      <c r="G552" s="3937"/>
    </row>
    <row r="553" spans="5:7">
      <c r="E553" s="1525" t="s">
        <v>3587</v>
      </c>
      <c r="F553" s="3937" t="s">
        <v>3588</v>
      </c>
      <c r="G553" s="3937"/>
    </row>
    <row r="554" spans="5:7">
      <c r="E554" s="1525" t="s">
        <v>3589</v>
      </c>
      <c r="F554" s="3937" t="s">
        <v>3590</v>
      </c>
      <c r="G554" s="3937"/>
    </row>
    <row r="555" spans="5:7">
      <c r="E555" s="1525" t="s">
        <v>3591</v>
      </c>
      <c r="F555" s="3937" t="s">
        <v>3592</v>
      </c>
      <c r="G555" s="3937"/>
    </row>
    <row r="556" spans="5:7">
      <c r="E556" s="1525" t="s">
        <v>3593</v>
      </c>
      <c r="F556" s="3937" t="s">
        <v>3594</v>
      </c>
      <c r="G556" s="3937"/>
    </row>
    <row r="557" spans="5:7">
      <c r="E557" s="1525" t="s">
        <v>3595</v>
      </c>
      <c r="F557" s="3937" t="s">
        <v>3596</v>
      </c>
      <c r="G557" s="3937"/>
    </row>
    <row r="558" spans="5:7">
      <c r="E558" s="1525" t="s">
        <v>3597</v>
      </c>
      <c r="F558" s="3937" t="s">
        <v>3598</v>
      </c>
      <c r="G558" s="3937"/>
    </row>
    <row r="559" spans="5:7">
      <c r="E559" s="1525" t="s">
        <v>3599</v>
      </c>
      <c r="F559" s="3937" t="s">
        <v>3600</v>
      </c>
      <c r="G559" s="3937"/>
    </row>
    <row r="560" spans="5:7">
      <c r="E560" s="1525" t="s">
        <v>3601</v>
      </c>
      <c r="F560" s="3937" t="s">
        <v>3602</v>
      </c>
      <c r="G560" s="3937"/>
    </row>
    <row r="561" spans="5:7">
      <c r="E561" s="1525" t="s">
        <v>3603</v>
      </c>
      <c r="F561" s="3937" t="s">
        <v>3604</v>
      </c>
      <c r="G561" s="3937"/>
    </row>
    <row r="562" spans="5:7">
      <c r="E562" s="1525" t="s">
        <v>3605</v>
      </c>
      <c r="F562" s="3937" t="s">
        <v>3606</v>
      </c>
      <c r="G562" s="3937"/>
    </row>
    <row r="563" spans="5:7">
      <c r="E563" s="1525" t="s">
        <v>3607</v>
      </c>
      <c r="F563" s="3937" t="s">
        <v>3608</v>
      </c>
      <c r="G563" s="3937"/>
    </row>
    <row r="564" spans="5:7">
      <c r="E564" s="1525" t="s">
        <v>3609</v>
      </c>
      <c r="F564" s="3937" t="s">
        <v>3610</v>
      </c>
      <c r="G564" s="3937"/>
    </row>
    <row r="565" spans="5:7">
      <c r="E565" s="1525" t="s">
        <v>3611</v>
      </c>
      <c r="F565" s="3937" t="s">
        <v>3612</v>
      </c>
      <c r="G565" s="3937"/>
    </row>
    <row r="566" spans="5:7">
      <c r="E566" s="1525" t="s">
        <v>3613</v>
      </c>
      <c r="F566" s="3937" t="s">
        <v>3614</v>
      </c>
      <c r="G566" s="3937"/>
    </row>
    <row r="567" spans="5:7">
      <c r="E567" s="1525" t="s">
        <v>3615</v>
      </c>
      <c r="F567" s="3937" t="s">
        <v>3616</v>
      </c>
      <c r="G567" s="3937"/>
    </row>
    <row r="568" spans="5:7">
      <c r="E568" s="1525" t="s">
        <v>3617</v>
      </c>
      <c r="F568" s="3937" t="s">
        <v>3618</v>
      </c>
      <c r="G568" s="3937"/>
    </row>
    <row r="569" spans="5:7">
      <c r="E569" s="1525" t="s">
        <v>3619</v>
      </c>
      <c r="F569" s="3937" t="s">
        <v>3620</v>
      </c>
      <c r="G569" s="3937"/>
    </row>
    <row r="570" spans="5:7">
      <c r="E570" s="1525" t="s">
        <v>3621</v>
      </c>
      <c r="F570" s="3937" t="s">
        <v>3622</v>
      </c>
      <c r="G570" s="3937"/>
    </row>
    <row r="571" spans="5:7">
      <c r="E571" s="1525" t="s">
        <v>3623</v>
      </c>
      <c r="F571" s="3937" t="s">
        <v>3624</v>
      </c>
      <c r="G571" s="3937"/>
    </row>
    <row r="572" spans="5:7">
      <c r="E572" s="1525" t="s">
        <v>3625</v>
      </c>
      <c r="F572" s="3937" t="s">
        <v>3626</v>
      </c>
      <c r="G572" s="3937"/>
    </row>
    <row r="573" spans="5:7">
      <c r="E573" s="1525" t="s">
        <v>3627</v>
      </c>
      <c r="F573" s="3937" t="s">
        <v>3628</v>
      </c>
      <c r="G573" s="3937"/>
    </row>
    <row r="574" spans="5:7">
      <c r="E574" s="1525" t="s">
        <v>3629</v>
      </c>
      <c r="F574" s="3937" t="s">
        <v>3630</v>
      </c>
      <c r="G574" s="3937"/>
    </row>
    <row r="575" spans="5:7">
      <c r="E575" s="1525" t="s">
        <v>3631</v>
      </c>
      <c r="F575" s="3937" t="s">
        <v>3632</v>
      </c>
      <c r="G575" s="3937"/>
    </row>
    <row r="576" spans="5:7">
      <c r="E576" s="1525" t="s">
        <v>3633</v>
      </c>
      <c r="F576" s="3937" t="s">
        <v>3634</v>
      </c>
      <c r="G576" s="3937"/>
    </row>
    <row r="577" spans="5:7">
      <c r="E577" s="1525" t="s">
        <v>3635</v>
      </c>
      <c r="F577" s="3937" t="s">
        <v>3636</v>
      </c>
      <c r="G577" s="3937"/>
    </row>
    <row r="578" spans="5:7">
      <c r="E578" s="1525" t="s">
        <v>3637</v>
      </c>
      <c r="F578" s="3937" t="s">
        <v>3638</v>
      </c>
      <c r="G578" s="3937"/>
    </row>
    <row r="579" spans="5:7">
      <c r="E579" s="1525" t="s">
        <v>3639</v>
      </c>
      <c r="F579" s="3937" t="s">
        <v>3640</v>
      </c>
      <c r="G579" s="3937"/>
    </row>
    <row r="580" spans="5:7">
      <c r="E580" s="1525" t="s">
        <v>3641</v>
      </c>
      <c r="F580" s="3937" t="s">
        <v>3642</v>
      </c>
      <c r="G580" s="3937"/>
    </row>
    <row r="581" spans="5:7">
      <c r="E581" s="1525" t="s">
        <v>3643</v>
      </c>
      <c r="F581" s="3937" t="s">
        <v>3644</v>
      </c>
      <c r="G581" s="3937"/>
    </row>
    <row r="582" spans="5:7">
      <c r="E582" s="1525" t="s">
        <v>3645</v>
      </c>
      <c r="F582" s="3937" t="s">
        <v>3646</v>
      </c>
      <c r="G582" s="3937"/>
    </row>
    <row r="583" spans="5:7">
      <c r="E583" s="1525" t="s">
        <v>3647</v>
      </c>
      <c r="F583" s="3937" t="s">
        <v>3648</v>
      </c>
      <c r="G583" s="3937"/>
    </row>
    <row r="584" spans="5:7">
      <c r="E584" s="1525" t="s">
        <v>3649</v>
      </c>
      <c r="F584" s="3937" t="s">
        <v>3650</v>
      </c>
      <c r="G584" s="3937"/>
    </row>
    <row r="585" spans="5:7">
      <c r="E585" s="1525" t="s">
        <v>3651</v>
      </c>
      <c r="F585" s="3937" t="s">
        <v>3652</v>
      </c>
      <c r="G585" s="3937"/>
    </row>
    <row r="586" spans="5:7">
      <c r="E586" s="1525" t="s">
        <v>3653</v>
      </c>
      <c r="F586" s="3937" t="s">
        <v>3654</v>
      </c>
      <c r="G586" s="3937"/>
    </row>
    <row r="587" spans="5:7">
      <c r="E587" s="1525" t="s">
        <v>3655</v>
      </c>
      <c r="F587" s="3937" t="s">
        <v>3656</v>
      </c>
      <c r="G587" s="3937"/>
    </row>
    <row r="588" spans="5:7">
      <c r="E588" s="1525" t="s">
        <v>3657</v>
      </c>
      <c r="F588" s="3937" t="s">
        <v>3658</v>
      </c>
      <c r="G588" s="3937"/>
    </row>
    <row r="589" spans="5:7">
      <c r="E589" s="1525" t="s">
        <v>3659</v>
      </c>
      <c r="F589" s="3937" t="s">
        <v>3660</v>
      </c>
      <c r="G589" s="3937"/>
    </row>
    <row r="590" spans="5:7">
      <c r="E590" s="1525" t="s">
        <v>3661</v>
      </c>
      <c r="F590" s="3937" t="s">
        <v>3662</v>
      </c>
      <c r="G590" s="3937"/>
    </row>
    <row r="591" spans="5:7">
      <c r="E591" s="1525" t="s">
        <v>3663</v>
      </c>
      <c r="F591" s="3937" t="s">
        <v>3664</v>
      </c>
      <c r="G591" s="3937"/>
    </row>
    <row r="592" spans="5:7">
      <c r="E592" s="1525" t="s">
        <v>3665</v>
      </c>
      <c r="F592" s="3937" t="s">
        <v>3666</v>
      </c>
      <c r="G592" s="3937"/>
    </row>
    <row r="593" spans="5:7">
      <c r="E593" s="1525" t="s">
        <v>3667</v>
      </c>
      <c r="F593" s="3937" t="s">
        <v>3668</v>
      </c>
      <c r="G593" s="3937"/>
    </row>
    <row r="594" spans="5:7">
      <c r="E594" s="1525" t="s">
        <v>3669</v>
      </c>
      <c r="F594" s="3937" t="s">
        <v>3670</v>
      </c>
      <c r="G594" s="3937"/>
    </row>
    <row r="595" spans="5:7">
      <c r="E595" s="1525" t="s">
        <v>3671</v>
      </c>
      <c r="F595" s="3937" t="s">
        <v>3672</v>
      </c>
      <c r="G595" s="3937"/>
    </row>
    <row r="596" spans="5:7">
      <c r="E596" s="1525" t="s">
        <v>3673</v>
      </c>
      <c r="F596" s="3937" t="s">
        <v>3674</v>
      </c>
      <c r="G596" s="3937"/>
    </row>
    <row r="597" spans="5:7">
      <c r="E597" s="1525" t="s">
        <v>3675</v>
      </c>
      <c r="F597" s="3937" t="s">
        <v>3676</v>
      </c>
      <c r="G597" s="3937"/>
    </row>
    <row r="598" spans="5:7">
      <c r="E598" s="1525" t="s">
        <v>3677</v>
      </c>
      <c r="F598" s="3937" t="s">
        <v>3678</v>
      </c>
      <c r="G598" s="3937"/>
    </row>
    <row r="599" spans="5:7">
      <c r="E599" s="1525" t="s">
        <v>3679</v>
      </c>
      <c r="F599" s="3937" t="s">
        <v>3680</v>
      </c>
      <c r="G599" s="3937"/>
    </row>
    <row r="600" spans="5:7">
      <c r="E600" s="1525" t="s">
        <v>3681</v>
      </c>
      <c r="F600" s="3937" t="s">
        <v>3682</v>
      </c>
      <c r="G600" s="3937"/>
    </row>
    <row r="601" spans="5:7">
      <c r="E601" s="1525" t="s">
        <v>3683</v>
      </c>
      <c r="F601" s="3937" t="s">
        <v>3684</v>
      </c>
      <c r="G601" s="3937"/>
    </row>
    <row r="602" spans="5:7">
      <c r="E602" s="1525" t="s">
        <v>3685</v>
      </c>
      <c r="F602" s="3937" t="s">
        <v>3686</v>
      </c>
      <c r="G602" s="3937"/>
    </row>
    <row r="603" spans="5:7">
      <c r="E603" s="1525" t="s">
        <v>3687</v>
      </c>
      <c r="F603" s="3937" t="s">
        <v>3688</v>
      </c>
      <c r="G603" s="3937"/>
    </row>
    <row r="604" spans="5:7">
      <c r="E604" s="1525" t="s">
        <v>3689</v>
      </c>
      <c r="F604" s="3937" t="s">
        <v>3690</v>
      </c>
      <c r="G604" s="3937"/>
    </row>
    <row r="605" spans="5:7">
      <c r="E605" s="1525" t="s">
        <v>3691</v>
      </c>
      <c r="F605" s="3937" t="s">
        <v>3692</v>
      </c>
      <c r="G605" s="3937"/>
    </row>
    <row r="606" spans="5:7">
      <c r="E606" s="1525" t="s">
        <v>3693</v>
      </c>
      <c r="F606" s="3937" t="s">
        <v>3694</v>
      </c>
      <c r="G606" s="3937"/>
    </row>
    <row r="607" spans="5:7">
      <c r="E607" s="1525" t="s">
        <v>3695</v>
      </c>
      <c r="F607" s="3937" t="s">
        <v>3696</v>
      </c>
      <c r="G607" s="3937"/>
    </row>
    <row r="608" spans="5:7">
      <c r="E608" s="1525" t="s">
        <v>3697</v>
      </c>
      <c r="F608" s="3937" t="s">
        <v>3698</v>
      </c>
      <c r="G608" s="3937"/>
    </row>
    <row r="609" spans="5:7">
      <c r="E609" s="1525" t="s">
        <v>3699</v>
      </c>
      <c r="F609" s="3937" t="s">
        <v>3700</v>
      </c>
      <c r="G609" s="3937"/>
    </row>
    <row r="610" spans="5:7">
      <c r="E610" s="1525" t="s">
        <v>3701</v>
      </c>
      <c r="F610" s="3937" t="s">
        <v>3702</v>
      </c>
      <c r="G610" s="3937"/>
    </row>
    <row r="611" spans="5:7">
      <c r="E611" s="1525" t="s">
        <v>3703</v>
      </c>
      <c r="F611" s="3937" t="s">
        <v>3704</v>
      </c>
      <c r="G611" s="3937"/>
    </row>
    <row r="612" spans="5:7">
      <c r="E612" s="1525" t="s">
        <v>3705</v>
      </c>
      <c r="F612" s="3937" t="s">
        <v>3706</v>
      </c>
      <c r="G612" s="3937"/>
    </row>
    <row r="613" spans="5:7">
      <c r="E613" s="1525" t="s">
        <v>3707</v>
      </c>
      <c r="F613" s="3937" t="s">
        <v>3708</v>
      </c>
      <c r="G613" s="3937"/>
    </row>
    <row r="614" spans="5:7">
      <c r="E614" s="1525" t="s">
        <v>3709</v>
      </c>
      <c r="F614" s="3937" t="s">
        <v>3710</v>
      </c>
      <c r="G614" s="3937"/>
    </row>
    <row r="615" spans="5:7">
      <c r="E615" s="1525" t="s">
        <v>3711</v>
      </c>
      <c r="F615" s="3937" t="s">
        <v>3712</v>
      </c>
      <c r="G615" s="3937"/>
    </row>
    <row r="616" spans="5:7">
      <c r="E616" s="1525" t="s">
        <v>3713</v>
      </c>
      <c r="F616" s="3937" t="s">
        <v>3714</v>
      </c>
      <c r="G616" s="3937"/>
    </row>
    <row r="617" spans="5:7">
      <c r="E617" s="1525" t="s">
        <v>3715</v>
      </c>
      <c r="F617" s="3937" t="s">
        <v>3716</v>
      </c>
      <c r="G617" s="3937"/>
    </row>
    <row r="618" spans="5:7">
      <c r="E618" s="1525" t="s">
        <v>3717</v>
      </c>
      <c r="F618" s="3937" t="s">
        <v>3718</v>
      </c>
      <c r="G618" s="3937"/>
    </row>
    <row r="619" spans="5:7">
      <c r="E619" s="1525" t="s">
        <v>3719</v>
      </c>
      <c r="F619" s="3937" t="s">
        <v>3720</v>
      </c>
      <c r="G619" s="3937"/>
    </row>
    <row r="620" spans="5:7">
      <c r="E620" s="1525" t="s">
        <v>3721</v>
      </c>
      <c r="F620" s="3937" t="s">
        <v>3722</v>
      </c>
      <c r="G620" s="3937"/>
    </row>
    <row r="621" spans="5:7">
      <c r="E621" s="1525" t="s">
        <v>3723</v>
      </c>
      <c r="F621" s="3937" t="s">
        <v>3724</v>
      </c>
      <c r="G621" s="3937"/>
    </row>
    <row r="622" spans="5:7">
      <c r="E622" s="1525" t="s">
        <v>3725</v>
      </c>
      <c r="F622" s="3937" t="s">
        <v>3726</v>
      </c>
      <c r="G622" s="3937"/>
    </row>
    <row r="623" spans="5:7">
      <c r="E623" s="1525" t="s">
        <v>3727</v>
      </c>
      <c r="F623" s="3937" t="s">
        <v>3728</v>
      </c>
      <c r="G623" s="3937"/>
    </row>
    <row r="624" spans="5:7">
      <c r="E624" s="1525" t="s">
        <v>3729</v>
      </c>
      <c r="F624" s="3937" t="s">
        <v>3730</v>
      </c>
      <c r="G624" s="3937"/>
    </row>
    <row r="625" spans="5:7">
      <c r="E625" s="1525" t="s">
        <v>3731</v>
      </c>
      <c r="F625" s="3937" t="s">
        <v>3732</v>
      </c>
      <c r="G625" s="3937"/>
    </row>
    <row r="626" spans="5:7">
      <c r="E626" s="1525" t="s">
        <v>3733</v>
      </c>
      <c r="F626" s="3937" t="s">
        <v>3734</v>
      </c>
      <c r="G626" s="3937"/>
    </row>
    <row r="627" spans="5:7">
      <c r="E627" s="1525" t="s">
        <v>3735</v>
      </c>
      <c r="F627" s="3937" t="s">
        <v>3736</v>
      </c>
      <c r="G627" s="3937"/>
    </row>
    <row r="628" spans="5:7">
      <c r="E628" s="1525" t="s">
        <v>3737</v>
      </c>
      <c r="F628" s="3937" t="s">
        <v>3738</v>
      </c>
      <c r="G628" s="3937"/>
    </row>
    <row r="629" spans="5:7">
      <c r="E629" s="1525" t="s">
        <v>3739</v>
      </c>
      <c r="F629" s="3937" t="s">
        <v>3740</v>
      </c>
      <c r="G629" s="3937"/>
    </row>
    <row r="630" spans="5:7">
      <c r="E630" s="1525" t="s">
        <v>3741</v>
      </c>
      <c r="F630" s="3937" t="s">
        <v>3742</v>
      </c>
      <c r="G630" s="3937"/>
    </row>
    <row r="631" spans="5:7">
      <c r="E631" s="1525" t="s">
        <v>3743</v>
      </c>
      <c r="F631" s="3937" t="s">
        <v>3744</v>
      </c>
      <c r="G631" s="3937"/>
    </row>
    <row r="632" spans="5:7">
      <c r="E632" s="1525" t="s">
        <v>3745</v>
      </c>
      <c r="F632" s="3937" t="s">
        <v>3746</v>
      </c>
      <c r="G632" s="3937"/>
    </row>
    <row r="633" spans="5:7">
      <c r="E633" s="1525" t="s">
        <v>3747</v>
      </c>
      <c r="F633" s="3937" t="s">
        <v>3748</v>
      </c>
      <c r="G633" s="3937"/>
    </row>
    <row r="634" spans="5:7">
      <c r="E634" s="1525" t="s">
        <v>3749</v>
      </c>
      <c r="F634" s="3937" t="s">
        <v>3750</v>
      </c>
      <c r="G634" s="3937"/>
    </row>
    <row r="635" spans="5:7">
      <c r="E635" s="1525" t="s">
        <v>3751</v>
      </c>
      <c r="F635" s="3937" t="s">
        <v>3752</v>
      </c>
      <c r="G635" s="3937"/>
    </row>
    <row r="636" spans="5:7">
      <c r="E636" s="1525" t="s">
        <v>3753</v>
      </c>
      <c r="F636" s="3937" t="s">
        <v>3754</v>
      </c>
      <c r="G636" s="3937"/>
    </row>
    <row r="637" spans="5:7">
      <c r="E637" s="1525" t="s">
        <v>3755</v>
      </c>
      <c r="F637" s="3937" t="s">
        <v>3756</v>
      </c>
      <c r="G637" s="3937"/>
    </row>
    <row r="638" spans="5:7">
      <c r="E638" s="1525" t="s">
        <v>3757</v>
      </c>
      <c r="F638" s="3937" t="s">
        <v>3758</v>
      </c>
      <c r="G638" s="3937"/>
    </row>
    <row r="639" spans="5:7">
      <c r="E639" s="1525" t="s">
        <v>3759</v>
      </c>
      <c r="F639" s="3937" t="s">
        <v>3760</v>
      </c>
      <c r="G639" s="3937"/>
    </row>
    <row r="640" spans="5:7">
      <c r="E640" s="1525" t="s">
        <v>3761</v>
      </c>
      <c r="F640" s="3937" t="s">
        <v>3762</v>
      </c>
      <c r="G640" s="3937"/>
    </row>
    <row r="641" spans="5:7">
      <c r="E641" s="1525" t="s">
        <v>3763</v>
      </c>
      <c r="F641" s="3937" t="s">
        <v>3764</v>
      </c>
      <c r="G641" s="3937"/>
    </row>
    <row r="642" spans="5:7">
      <c r="E642" s="1525" t="s">
        <v>3765</v>
      </c>
      <c r="F642" s="3937" t="s">
        <v>3766</v>
      </c>
      <c r="G642" s="3937"/>
    </row>
    <row r="643" spans="5:7">
      <c r="E643" s="1525" t="s">
        <v>3767</v>
      </c>
      <c r="F643" s="3937" t="s">
        <v>3768</v>
      </c>
      <c r="G643" s="3937"/>
    </row>
    <row r="644" spans="5:7">
      <c r="E644" s="1525" t="s">
        <v>3769</v>
      </c>
      <c r="F644" s="3937" t="s">
        <v>3770</v>
      </c>
      <c r="G644" s="3937"/>
    </row>
    <row r="645" spans="5:7">
      <c r="E645" s="1525" t="s">
        <v>3771</v>
      </c>
      <c r="F645" s="3937" t="s">
        <v>3772</v>
      </c>
      <c r="G645" s="3937"/>
    </row>
    <row r="646" spans="5:7">
      <c r="E646" s="1525" t="s">
        <v>3773</v>
      </c>
      <c r="F646" s="3937" t="s">
        <v>3774</v>
      </c>
      <c r="G646" s="3937"/>
    </row>
    <row r="647" spans="5:7">
      <c r="E647" s="1525" t="s">
        <v>3775</v>
      </c>
      <c r="F647" s="3937" t="s">
        <v>3776</v>
      </c>
      <c r="G647" s="3937"/>
    </row>
    <row r="648" spans="5:7">
      <c r="E648" s="1525" t="s">
        <v>3777</v>
      </c>
      <c r="F648" s="3937" t="s">
        <v>3778</v>
      </c>
      <c r="G648" s="3937"/>
    </row>
    <row r="649" spans="5:7">
      <c r="E649" s="1525" t="s">
        <v>3779</v>
      </c>
      <c r="F649" s="3937" t="s">
        <v>3780</v>
      </c>
      <c r="G649" s="3937"/>
    </row>
    <row r="650" spans="5:7">
      <c r="E650" s="1525" t="s">
        <v>3781</v>
      </c>
      <c r="F650" s="3937" t="s">
        <v>3782</v>
      </c>
      <c r="G650" s="3937"/>
    </row>
    <row r="651" spans="5:7">
      <c r="E651" s="1525" t="s">
        <v>3783</v>
      </c>
      <c r="F651" s="3937" t="s">
        <v>3784</v>
      </c>
      <c r="G651" s="3937"/>
    </row>
    <row r="652" spans="5:7">
      <c r="E652" s="1525" t="s">
        <v>3785</v>
      </c>
      <c r="F652" s="3937" t="s">
        <v>3786</v>
      </c>
      <c r="G652" s="3937"/>
    </row>
    <row r="653" spans="5:7">
      <c r="E653" s="1525" t="s">
        <v>3787</v>
      </c>
      <c r="F653" s="3937" t="s">
        <v>3788</v>
      </c>
      <c r="G653" s="3937"/>
    </row>
    <row r="654" spans="5:7">
      <c r="E654" s="1525" t="s">
        <v>3789</v>
      </c>
      <c r="F654" s="3937" t="s">
        <v>3790</v>
      </c>
      <c r="G654" s="3937"/>
    </row>
    <row r="655" spans="5:7">
      <c r="E655" s="1525" t="s">
        <v>3791</v>
      </c>
      <c r="F655" s="3937" t="s">
        <v>3792</v>
      </c>
      <c r="G655" s="3937"/>
    </row>
    <row r="656" spans="5:7">
      <c r="E656" s="1525" t="s">
        <v>3793</v>
      </c>
      <c r="F656" s="3937" t="s">
        <v>3794</v>
      </c>
      <c r="G656" s="3937"/>
    </row>
    <row r="657" spans="5:7">
      <c r="E657" s="1525" t="s">
        <v>3795</v>
      </c>
      <c r="F657" s="3937" t="s">
        <v>3796</v>
      </c>
      <c r="G657" s="3937"/>
    </row>
    <row r="658" spans="5:7">
      <c r="E658" s="1525" t="s">
        <v>3797</v>
      </c>
      <c r="F658" s="3937" t="s">
        <v>3798</v>
      </c>
      <c r="G658" s="3937"/>
    </row>
    <row r="659" spans="5:7">
      <c r="E659" s="1525" t="s">
        <v>3799</v>
      </c>
      <c r="F659" s="3937" t="s">
        <v>3800</v>
      </c>
      <c r="G659" s="3937"/>
    </row>
    <row r="660" spans="5:7">
      <c r="E660" s="1525" t="s">
        <v>3801</v>
      </c>
      <c r="F660" s="3937" t="s">
        <v>3802</v>
      </c>
      <c r="G660" s="3937"/>
    </row>
    <row r="661" spans="5:7">
      <c r="E661" s="1525" t="s">
        <v>3803</v>
      </c>
      <c r="F661" s="3937" t="s">
        <v>3804</v>
      </c>
      <c r="G661" s="3937"/>
    </row>
    <row r="662" spans="5:7">
      <c r="E662" s="1525" t="s">
        <v>3805</v>
      </c>
      <c r="F662" s="3937" t="s">
        <v>3806</v>
      </c>
      <c r="G662" s="3937"/>
    </row>
    <row r="663" spans="5:7">
      <c r="E663" s="1525" t="s">
        <v>3807</v>
      </c>
      <c r="F663" s="3937" t="s">
        <v>3808</v>
      </c>
      <c r="G663" s="3937"/>
    </row>
    <row r="664" spans="5:7">
      <c r="E664" s="1525" t="s">
        <v>3809</v>
      </c>
      <c r="F664" s="3937" t="s">
        <v>3810</v>
      </c>
      <c r="G664" s="3937"/>
    </row>
    <row r="665" spans="5:7">
      <c r="E665" s="1525" t="s">
        <v>3811</v>
      </c>
      <c r="F665" s="3937" t="s">
        <v>3812</v>
      </c>
      <c r="G665" s="3937"/>
    </row>
    <row r="666" spans="5:7">
      <c r="E666" s="1525" t="s">
        <v>3813</v>
      </c>
      <c r="F666" s="3937" t="s">
        <v>3814</v>
      </c>
      <c r="G666" s="3937"/>
    </row>
    <row r="667" spans="5:7">
      <c r="E667" s="1525" t="s">
        <v>3815</v>
      </c>
      <c r="F667" s="3937" t="s">
        <v>3816</v>
      </c>
      <c r="G667" s="3937"/>
    </row>
    <row r="668" spans="5:7">
      <c r="E668" s="1525" t="s">
        <v>3817</v>
      </c>
      <c r="F668" s="3937" t="s">
        <v>3818</v>
      </c>
      <c r="G668" s="3937"/>
    </row>
    <row r="669" spans="5:7">
      <c r="E669" s="1525" t="s">
        <v>3819</v>
      </c>
      <c r="F669" s="3937" t="s">
        <v>3820</v>
      </c>
      <c r="G669" s="3937"/>
    </row>
    <row r="670" spans="5:7">
      <c r="E670" s="1525" t="s">
        <v>3821</v>
      </c>
      <c r="F670" s="3937" t="s">
        <v>3822</v>
      </c>
      <c r="G670" s="3937"/>
    </row>
    <row r="671" spans="5:7">
      <c r="E671" s="1525" t="s">
        <v>3823</v>
      </c>
      <c r="F671" s="3937" t="s">
        <v>3824</v>
      </c>
      <c r="G671" s="3937"/>
    </row>
    <row r="672" spans="5:7">
      <c r="E672" s="1525" t="s">
        <v>3825</v>
      </c>
      <c r="F672" s="3937" t="s">
        <v>3826</v>
      </c>
      <c r="G672" s="3937"/>
    </row>
    <row r="673" spans="5:7">
      <c r="E673" s="1525" t="s">
        <v>3827</v>
      </c>
      <c r="F673" s="3937" t="s">
        <v>3828</v>
      </c>
      <c r="G673" s="3937"/>
    </row>
    <row r="674" spans="5:7">
      <c r="E674" s="1525" t="s">
        <v>3829</v>
      </c>
      <c r="F674" s="3937" t="s">
        <v>3830</v>
      </c>
      <c r="G674" s="3937"/>
    </row>
    <row r="675" spans="5:7">
      <c r="E675" s="1525" t="s">
        <v>3831</v>
      </c>
      <c r="F675" s="3937" t="s">
        <v>3832</v>
      </c>
      <c r="G675" s="3937"/>
    </row>
    <row r="676" spans="5:7">
      <c r="E676" s="1525" t="s">
        <v>3833</v>
      </c>
      <c r="F676" s="3937" t="s">
        <v>3834</v>
      </c>
      <c r="G676" s="3937"/>
    </row>
    <row r="677" spans="5:7">
      <c r="E677" s="1525" t="s">
        <v>3835</v>
      </c>
      <c r="F677" s="3937" t="s">
        <v>3836</v>
      </c>
      <c r="G677" s="3937"/>
    </row>
    <row r="678" spans="5:7">
      <c r="E678" s="1525" t="s">
        <v>3837</v>
      </c>
      <c r="F678" s="3937" t="s">
        <v>3838</v>
      </c>
      <c r="G678" s="3937"/>
    </row>
    <row r="679" spans="5:7">
      <c r="E679" s="1525" t="s">
        <v>3839</v>
      </c>
      <c r="F679" s="3937" t="s">
        <v>3840</v>
      </c>
      <c r="G679" s="3937"/>
    </row>
    <row r="680" spans="5:7">
      <c r="E680" s="1525" t="s">
        <v>3841</v>
      </c>
      <c r="F680" s="3937" t="s">
        <v>3842</v>
      </c>
      <c r="G680" s="3937"/>
    </row>
    <row r="681" spans="5:7">
      <c r="E681" s="1525" t="s">
        <v>3843</v>
      </c>
      <c r="F681" s="3937" t="s">
        <v>3844</v>
      </c>
      <c r="G681" s="3937"/>
    </row>
    <row r="682" spans="5:7">
      <c r="E682" s="1525" t="s">
        <v>3845</v>
      </c>
      <c r="F682" s="3937" t="s">
        <v>3846</v>
      </c>
      <c r="G682" s="3937"/>
    </row>
    <row r="683" spans="5:7">
      <c r="E683" s="1525" t="s">
        <v>3847</v>
      </c>
      <c r="F683" s="3937" t="s">
        <v>3848</v>
      </c>
      <c r="G683" s="3937"/>
    </row>
    <row r="684" spans="5:7">
      <c r="E684" s="1525" t="s">
        <v>3849</v>
      </c>
      <c r="F684" s="3937" t="s">
        <v>3850</v>
      </c>
      <c r="G684" s="3937"/>
    </row>
    <row r="685" spans="5:7">
      <c r="E685" s="1525" t="s">
        <v>3851</v>
      </c>
      <c r="F685" s="3937" t="s">
        <v>3852</v>
      </c>
      <c r="G685" s="3937"/>
    </row>
    <row r="686" spans="5:7">
      <c r="E686" s="1525" t="s">
        <v>3853</v>
      </c>
      <c r="F686" s="3937" t="s">
        <v>3854</v>
      </c>
      <c r="G686" s="3937"/>
    </row>
    <row r="687" spans="5:7">
      <c r="E687" s="1525" t="s">
        <v>3855</v>
      </c>
      <c r="F687" s="3937" t="s">
        <v>3856</v>
      </c>
      <c r="G687" s="3937"/>
    </row>
    <row r="688" spans="5:7">
      <c r="E688" s="1525" t="s">
        <v>3857</v>
      </c>
      <c r="F688" s="3937" t="s">
        <v>3858</v>
      </c>
      <c r="G688" s="3937"/>
    </row>
    <row r="689" spans="5:7">
      <c r="E689" s="1525" t="s">
        <v>3859</v>
      </c>
      <c r="F689" s="3937" t="s">
        <v>3860</v>
      </c>
      <c r="G689" s="3937"/>
    </row>
    <row r="690" spans="5:7">
      <c r="E690" s="1525" t="s">
        <v>3861</v>
      </c>
      <c r="F690" s="3937" t="s">
        <v>3862</v>
      </c>
      <c r="G690" s="3937"/>
    </row>
    <row r="691" spans="5:7">
      <c r="E691" s="1525" t="s">
        <v>3863</v>
      </c>
      <c r="F691" s="3937" t="s">
        <v>3864</v>
      </c>
      <c r="G691" s="3937"/>
    </row>
    <row r="692" spans="5:7">
      <c r="E692" s="1525" t="s">
        <v>3865</v>
      </c>
      <c r="F692" s="3937" t="s">
        <v>3866</v>
      </c>
      <c r="G692" s="3937"/>
    </row>
    <row r="693" spans="5:7">
      <c r="E693" s="1525" t="s">
        <v>3867</v>
      </c>
      <c r="F693" s="3937" t="s">
        <v>3868</v>
      </c>
      <c r="G693" s="3937"/>
    </row>
    <row r="694" spans="5:7">
      <c r="E694" s="1525" t="s">
        <v>3869</v>
      </c>
      <c r="F694" s="3937" t="s">
        <v>3870</v>
      </c>
      <c r="G694" s="3937"/>
    </row>
    <row r="695" spans="5:7">
      <c r="E695" s="1525" t="s">
        <v>3871</v>
      </c>
      <c r="F695" s="3937" t="s">
        <v>3872</v>
      </c>
      <c r="G695" s="3937"/>
    </row>
    <row r="696" spans="5:7">
      <c r="E696" s="1525" t="s">
        <v>3873</v>
      </c>
      <c r="F696" s="3937" t="s">
        <v>3874</v>
      </c>
      <c r="G696" s="3937"/>
    </row>
    <row r="697" spans="5:7">
      <c r="E697" s="1525" t="s">
        <v>3875</v>
      </c>
      <c r="F697" s="3937" t="s">
        <v>3876</v>
      </c>
      <c r="G697" s="3937"/>
    </row>
    <row r="698" spans="5:7">
      <c r="E698" s="1525" t="s">
        <v>3877</v>
      </c>
      <c r="F698" s="3937" t="s">
        <v>3878</v>
      </c>
      <c r="G698" s="3937"/>
    </row>
    <row r="699" spans="5:7">
      <c r="E699" s="1525" t="s">
        <v>3879</v>
      </c>
      <c r="F699" s="3937" t="s">
        <v>3880</v>
      </c>
      <c r="G699" s="3937"/>
    </row>
    <row r="700" spans="5:7">
      <c r="E700" s="1525" t="s">
        <v>3881</v>
      </c>
      <c r="F700" s="3937" t="s">
        <v>3882</v>
      </c>
      <c r="G700" s="3937"/>
    </row>
    <row r="701" spans="5:7">
      <c r="E701" s="1525" t="s">
        <v>3883</v>
      </c>
      <c r="F701" s="3937" t="s">
        <v>3884</v>
      </c>
      <c r="G701" s="3937"/>
    </row>
    <row r="702" spans="5:7">
      <c r="E702" s="1525" t="s">
        <v>3885</v>
      </c>
      <c r="F702" s="3937" t="s">
        <v>3886</v>
      </c>
      <c r="G702" s="3937"/>
    </row>
    <row r="703" spans="5:7">
      <c r="E703" s="1525" t="s">
        <v>3887</v>
      </c>
      <c r="F703" s="3937" t="s">
        <v>3888</v>
      </c>
      <c r="G703" s="3937"/>
    </row>
    <row r="704" spans="5:7">
      <c r="E704" s="1525" t="s">
        <v>3889</v>
      </c>
      <c r="F704" s="3937" t="s">
        <v>3890</v>
      </c>
      <c r="G704" s="3937"/>
    </row>
    <row r="705" spans="5:7">
      <c r="E705" s="1525" t="s">
        <v>3891</v>
      </c>
      <c r="F705" s="3937" t="s">
        <v>3892</v>
      </c>
      <c r="G705" s="3937"/>
    </row>
    <row r="706" spans="5:7">
      <c r="E706" s="1525" t="s">
        <v>3893</v>
      </c>
      <c r="F706" s="3937" t="s">
        <v>3894</v>
      </c>
      <c r="G706" s="3937"/>
    </row>
    <row r="707" spans="5:7">
      <c r="E707" s="1525" t="s">
        <v>3895</v>
      </c>
      <c r="F707" s="3937" t="s">
        <v>3896</v>
      </c>
      <c r="G707" s="3937"/>
    </row>
    <row r="708" spans="5:7">
      <c r="E708" s="1525" t="s">
        <v>3897</v>
      </c>
      <c r="F708" s="3937" t="s">
        <v>3898</v>
      </c>
      <c r="G708" s="3937"/>
    </row>
    <row r="709" spans="5:7">
      <c r="E709" s="1525" t="s">
        <v>3899</v>
      </c>
      <c r="F709" s="3937" t="s">
        <v>3900</v>
      </c>
      <c r="G709" s="3937"/>
    </row>
    <row r="710" spans="5:7">
      <c r="E710" s="1525" t="s">
        <v>3901</v>
      </c>
      <c r="F710" s="3937" t="s">
        <v>3902</v>
      </c>
      <c r="G710" s="3937"/>
    </row>
    <row r="711" spans="5:7">
      <c r="E711" s="1525" t="s">
        <v>3903</v>
      </c>
      <c r="F711" s="3937" t="s">
        <v>3904</v>
      </c>
      <c r="G711" s="3937"/>
    </row>
    <row r="712" spans="5:7">
      <c r="E712" s="1525" t="s">
        <v>3905</v>
      </c>
      <c r="F712" s="3937" t="s">
        <v>3906</v>
      </c>
      <c r="G712" s="3937"/>
    </row>
    <row r="713" spans="5:7">
      <c r="E713" s="1525" t="s">
        <v>3907</v>
      </c>
      <c r="F713" s="3937" t="s">
        <v>3908</v>
      </c>
      <c r="G713" s="3937"/>
    </row>
    <row r="714" spans="5:7">
      <c r="E714" s="1525" t="s">
        <v>3909</v>
      </c>
      <c r="F714" s="3937" t="s">
        <v>3910</v>
      </c>
      <c r="G714" s="3937"/>
    </row>
    <row r="715" spans="5:7">
      <c r="E715" s="1525" t="s">
        <v>3911</v>
      </c>
      <c r="F715" s="3937" t="s">
        <v>3912</v>
      </c>
      <c r="G715" s="3937"/>
    </row>
    <row r="716" spans="5:7">
      <c r="E716" s="1525" t="s">
        <v>3913</v>
      </c>
      <c r="F716" s="3937" t="s">
        <v>3914</v>
      </c>
      <c r="G716" s="3937"/>
    </row>
    <row r="717" spans="5:7">
      <c r="E717" s="1525" t="s">
        <v>3915</v>
      </c>
      <c r="F717" s="3937" t="s">
        <v>3916</v>
      </c>
      <c r="G717" s="3937"/>
    </row>
    <row r="718" spans="5:7">
      <c r="E718" s="1525" t="s">
        <v>3917</v>
      </c>
      <c r="F718" s="3937" t="s">
        <v>3918</v>
      </c>
      <c r="G718" s="3937"/>
    </row>
    <row r="719" spans="5:7">
      <c r="E719" s="1525" t="s">
        <v>3919</v>
      </c>
      <c r="F719" s="3937" t="s">
        <v>3920</v>
      </c>
      <c r="G719" s="3937"/>
    </row>
    <row r="720" spans="5:7">
      <c r="E720" s="1525" t="s">
        <v>3921</v>
      </c>
      <c r="F720" s="3937" t="s">
        <v>3922</v>
      </c>
      <c r="G720" s="3937"/>
    </row>
    <row r="721" spans="5:7">
      <c r="E721" s="1525" t="s">
        <v>3923</v>
      </c>
      <c r="F721" s="3937" t="s">
        <v>3924</v>
      </c>
      <c r="G721" s="3937"/>
    </row>
    <row r="722" spans="5:7">
      <c r="E722" s="1525" t="s">
        <v>3925</v>
      </c>
      <c r="F722" s="3937" t="s">
        <v>3926</v>
      </c>
      <c r="G722" s="3937"/>
    </row>
    <row r="723" spans="5:7">
      <c r="E723" s="1525" t="s">
        <v>3927</v>
      </c>
      <c r="F723" s="3937" t="s">
        <v>3928</v>
      </c>
      <c r="G723" s="3937"/>
    </row>
    <row r="724" spans="5:7">
      <c r="E724" s="1525" t="s">
        <v>3929</v>
      </c>
      <c r="F724" s="3937" t="s">
        <v>3930</v>
      </c>
      <c r="G724" s="3937"/>
    </row>
    <row r="725" spans="5:7">
      <c r="E725" s="1525" t="s">
        <v>3931</v>
      </c>
      <c r="F725" s="3937" t="s">
        <v>3932</v>
      </c>
      <c r="G725" s="3937"/>
    </row>
    <row r="726" spans="5:7">
      <c r="E726" s="1525" t="s">
        <v>3933</v>
      </c>
      <c r="F726" s="3937" t="s">
        <v>3934</v>
      </c>
      <c r="G726" s="3937"/>
    </row>
    <row r="727" spans="5:7">
      <c r="E727" s="1525" t="s">
        <v>3935</v>
      </c>
      <c r="F727" s="3937" t="s">
        <v>3936</v>
      </c>
      <c r="G727" s="3937"/>
    </row>
    <row r="728" spans="5:7">
      <c r="E728" s="1525" t="s">
        <v>3937</v>
      </c>
      <c r="F728" s="3937" t="s">
        <v>3938</v>
      </c>
      <c r="G728" s="3937"/>
    </row>
    <row r="729" spans="5:7">
      <c r="E729" s="1525" t="s">
        <v>3939</v>
      </c>
      <c r="F729" s="3937" t="s">
        <v>3940</v>
      </c>
      <c r="G729" s="3937"/>
    </row>
    <row r="730" spans="5:7">
      <c r="E730" s="1525" t="s">
        <v>3941</v>
      </c>
      <c r="F730" s="3937" t="s">
        <v>3942</v>
      </c>
      <c r="G730" s="3937"/>
    </row>
    <row r="731" spans="5:7">
      <c r="E731" s="1525" t="s">
        <v>3943</v>
      </c>
      <c r="F731" s="3937" t="s">
        <v>3944</v>
      </c>
      <c r="G731" s="3937"/>
    </row>
    <row r="732" spans="5:7">
      <c r="E732" s="1525" t="s">
        <v>3945</v>
      </c>
      <c r="F732" s="3937" t="s">
        <v>3946</v>
      </c>
      <c r="G732" s="3937"/>
    </row>
    <row r="733" spans="5:7">
      <c r="E733" s="1525" t="s">
        <v>3947</v>
      </c>
      <c r="F733" s="3937" t="s">
        <v>3948</v>
      </c>
      <c r="G733" s="3937"/>
    </row>
    <row r="734" spans="5:7">
      <c r="E734" s="1525" t="s">
        <v>3949</v>
      </c>
      <c r="F734" s="3937" t="s">
        <v>3950</v>
      </c>
      <c r="G734" s="3937"/>
    </row>
    <row r="735" spans="5:7">
      <c r="E735" s="1525" t="s">
        <v>3951</v>
      </c>
      <c r="F735" s="3937" t="s">
        <v>3952</v>
      </c>
      <c r="G735" s="3937"/>
    </row>
    <row r="736" spans="5:7">
      <c r="E736" s="1525" t="s">
        <v>3953</v>
      </c>
      <c r="F736" s="3937" t="s">
        <v>3954</v>
      </c>
      <c r="G736" s="3937"/>
    </row>
    <row r="737" spans="5:7">
      <c r="E737" s="1525" t="s">
        <v>3955</v>
      </c>
      <c r="F737" s="3937" t="s">
        <v>3956</v>
      </c>
      <c r="G737" s="3937"/>
    </row>
    <row r="738" spans="5:7">
      <c r="E738" s="1525" t="s">
        <v>3957</v>
      </c>
      <c r="F738" s="3937" t="s">
        <v>3958</v>
      </c>
      <c r="G738" s="3937"/>
    </row>
    <row r="739" spans="5:7">
      <c r="E739" s="1525" t="s">
        <v>3959</v>
      </c>
      <c r="F739" s="3937" t="s">
        <v>3960</v>
      </c>
      <c r="G739" s="3937"/>
    </row>
    <row r="740" spans="5:7">
      <c r="E740" s="1525" t="s">
        <v>3961</v>
      </c>
      <c r="F740" s="3937" t="s">
        <v>3962</v>
      </c>
      <c r="G740" s="3937"/>
    </row>
    <row r="741" spans="5:7">
      <c r="E741" s="1525" t="s">
        <v>3963</v>
      </c>
      <c r="F741" s="3937" t="s">
        <v>3964</v>
      </c>
      <c r="G741" s="3937"/>
    </row>
    <row r="742" spans="5:7">
      <c r="E742" s="1525" t="s">
        <v>3965</v>
      </c>
      <c r="F742" s="3937" t="s">
        <v>3966</v>
      </c>
      <c r="G742" s="3937"/>
    </row>
    <row r="743" spans="5:7">
      <c r="E743" s="1525" t="s">
        <v>3967</v>
      </c>
      <c r="F743" s="3937" t="s">
        <v>3968</v>
      </c>
      <c r="G743" s="3937"/>
    </row>
    <row r="744" spans="5:7">
      <c r="E744" s="1525" t="s">
        <v>3969</v>
      </c>
      <c r="F744" s="3937" t="s">
        <v>3970</v>
      </c>
      <c r="G744" s="3937"/>
    </row>
    <row r="745" spans="5:7">
      <c r="E745" s="1525" t="s">
        <v>3971</v>
      </c>
      <c r="F745" s="3937" t="s">
        <v>3972</v>
      </c>
      <c r="G745" s="3937"/>
    </row>
    <row r="746" spans="5:7">
      <c r="E746" s="1525" t="s">
        <v>3973</v>
      </c>
      <c r="F746" s="3937" t="s">
        <v>3974</v>
      </c>
      <c r="G746" s="3937"/>
    </row>
    <row r="747" spans="5:7">
      <c r="E747" s="1525" t="s">
        <v>3975</v>
      </c>
      <c r="F747" s="3937" t="s">
        <v>3976</v>
      </c>
      <c r="G747" s="3937"/>
    </row>
    <row r="748" spans="5:7">
      <c r="E748" s="1525" t="s">
        <v>3977</v>
      </c>
      <c r="F748" s="3937" t="s">
        <v>3978</v>
      </c>
      <c r="G748" s="3937"/>
    </row>
    <row r="749" spans="5:7">
      <c r="E749" s="1525" t="s">
        <v>3979</v>
      </c>
      <c r="F749" s="3937" t="s">
        <v>3980</v>
      </c>
      <c r="G749" s="3937"/>
    </row>
    <row r="750" spans="5:7">
      <c r="E750" s="1525" t="s">
        <v>3981</v>
      </c>
      <c r="F750" s="3937" t="s">
        <v>3982</v>
      </c>
      <c r="G750" s="3937"/>
    </row>
    <row r="751" spans="5:7">
      <c r="E751" s="1525" t="s">
        <v>3983</v>
      </c>
      <c r="F751" s="3937" t="s">
        <v>3984</v>
      </c>
      <c r="G751" s="3937"/>
    </row>
    <row r="752" spans="5:7">
      <c r="E752" s="1525" t="s">
        <v>3985</v>
      </c>
      <c r="F752" s="3937" t="s">
        <v>3986</v>
      </c>
      <c r="G752" s="3937"/>
    </row>
    <row r="753" spans="5:7">
      <c r="E753" s="1525" t="s">
        <v>3987</v>
      </c>
      <c r="F753" s="3937" t="s">
        <v>3988</v>
      </c>
      <c r="G753" s="3937"/>
    </row>
    <row r="754" spans="5:7">
      <c r="E754" s="1525" t="s">
        <v>3989</v>
      </c>
      <c r="F754" s="3937" t="s">
        <v>3990</v>
      </c>
      <c r="G754" s="3937"/>
    </row>
    <row r="755" spans="5:7">
      <c r="E755" s="1525" t="s">
        <v>3991</v>
      </c>
      <c r="F755" s="3937" t="s">
        <v>3992</v>
      </c>
      <c r="G755" s="3937"/>
    </row>
    <row r="756" spans="5:7">
      <c r="E756" s="1525" t="s">
        <v>3993</v>
      </c>
      <c r="F756" s="3937" t="s">
        <v>3994</v>
      </c>
      <c r="G756" s="3937"/>
    </row>
    <row r="757" spans="5:7">
      <c r="E757" s="1525" t="s">
        <v>3995</v>
      </c>
      <c r="F757" s="3937" t="s">
        <v>3996</v>
      </c>
      <c r="G757" s="3937"/>
    </row>
    <row r="758" spans="5:7">
      <c r="E758" s="1525" t="s">
        <v>3997</v>
      </c>
      <c r="F758" s="3937" t="s">
        <v>3998</v>
      </c>
      <c r="G758" s="3937"/>
    </row>
    <row r="759" spans="5:7">
      <c r="E759" s="1525" t="s">
        <v>3999</v>
      </c>
      <c r="F759" s="3937" t="s">
        <v>4000</v>
      </c>
      <c r="G759" s="3937"/>
    </row>
    <row r="760" spans="5:7">
      <c r="E760" s="1525" t="s">
        <v>4001</v>
      </c>
      <c r="F760" s="3937" t="s">
        <v>4002</v>
      </c>
      <c r="G760" s="3937"/>
    </row>
    <row r="761" spans="5:7">
      <c r="E761" s="1525" t="s">
        <v>4003</v>
      </c>
      <c r="F761" s="3937" t="s">
        <v>4004</v>
      </c>
      <c r="G761" s="3937"/>
    </row>
    <row r="762" spans="5:7">
      <c r="E762" s="1525" t="s">
        <v>4005</v>
      </c>
      <c r="F762" s="3937" t="s">
        <v>4006</v>
      </c>
      <c r="G762" s="3937"/>
    </row>
    <row r="763" spans="5:7">
      <c r="E763" s="1525" t="s">
        <v>4007</v>
      </c>
      <c r="F763" s="3937" t="s">
        <v>4008</v>
      </c>
      <c r="G763" s="3937"/>
    </row>
    <row r="764" spans="5:7">
      <c r="E764" s="1525" t="s">
        <v>4009</v>
      </c>
      <c r="F764" s="3937" t="s">
        <v>4010</v>
      </c>
      <c r="G764" s="3937"/>
    </row>
    <row r="765" spans="5:7">
      <c r="E765" s="1525" t="s">
        <v>4011</v>
      </c>
      <c r="F765" s="3937" t="s">
        <v>4012</v>
      </c>
      <c r="G765" s="3937"/>
    </row>
    <row r="766" spans="5:7">
      <c r="E766" s="1525" t="s">
        <v>4013</v>
      </c>
      <c r="F766" s="3937" t="s">
        <v>4014</v>
      </c>
      <c r="G766" s="3937"/>
    </row>
    <row r="767" spans="5:7">
      <c r="E767" s="1525" t="s">
        <v>4015</v>
      </c>
      <c r="F767" s="3937" t="s">
        <v>4016</v>
      </c>
      <c r="G767" s="3937"/>
    </row>
    <row r="768" spans="5:7">
      <c r="E768" s="1525" t="s">
        <v>4017</v>
      </c>
      <c r="F768" s="3937" t="s">
        <v>4018</v>
      </c>
      <c r="G768" s="3937"/>
    </row>
    <row r="769" spans="5:7">
      <c r="E769" s="1525" t="s">
        <v>4019</v>
      </c>
      <c r="F769" s="3937" t="s">
        <v>4020</v>
      </c>
      <c r="G769" s="3937"/>
    </row>
    <row r="770" spans="5:7">
      <c r="E770" s="1525" t="s">
        <v>4021</v>
      </c>
      <c r="F770" s="3937" t="s">
        <v>4022</v>
      </c>
      <c r="G770" s="3937"/>
    </row>
    <row r="771" spans="5:7">
      <c r="E771" s="1525" t="s">
        <v>4023</v>
      </c>
      <c r="F771" s="3937" t="s">
        <v>4024</v>
      </c>
      <c r="G771" s="3937"/>
    </row>
    <row r="772" spans="5:7">
      <c r="E772" s="1525" t="s">
        <v>4025</v>
      </c>
      <c r="F772" s="3937" t="s">
        <v>4026</v>
      </c>
      <c r="G772" s="3937"/>
    </row>
    <row r="773" spans="5:7">
      <c r="E773" s="1525" t="s">
        <v>4027</v>
      </c>
      <c r="F773" s="3937" t="s">
        <v>4028</v>
      </c>
      <c r="G773" s="3937"/>
    </row>
    <row r="774" spans="5:7">
      <c r="E774" s="1525" t="s">
        <v>4029</v>
      </c>
      <c r="F774" s="3937" t="s">
        <v>4030</v>
      </c>
      <c r="G774" s="3937"/>
    </row>
    <row r="775" spans="5:7">
      <c r="E775" s="1525" t="s">
        <v>4031</v>
      </c>
      <c r="F775" s="3937" t="s">
        <v>4032</v>
      </c>
      <c r="G775" s="3937"/>
    </row>
    <row r="776" spans="5:7">
      <c r="E776" s="1525" t="s">
        <v>4033</v>
      </c>
      <c r="F776" s="3937" t="s">
        <v>4034</v>
      </c>
      <c r="G776" s="3937"/>
    </row>
    <row r="777" spans="5:7">
      <c r="E777" s="1525" t="s">
        <v>4035</v>
      </c>
      <c r="F777" s="3937" t="s">
        <v>4036</v>
      </c>
      <c r="G777" s="3937"/>
    </row>
    <row r="778" spans="5:7">
      <c r="E778" s="1525" t="s">
        <v>4037</v>
      </c>
      <c r="F778" s="3937" t="s">
        <v>4038</v>
      </c>
      <c r="G778" s="3937"/>
    </row>
    <row r="779" spans="5:7">
      <c r="E779" s="1525" t="s">
        <v>4039</v>
      </c>
      <c r="F779" s="3937" t="s">
        <v>4040</v>
      </c>
      <c r="G779" s="3937"/>
    </row>
    <row r="780" spans="5:7">
      <c r="E780" s="1525" t="s">
        <v>4041</v>
      </c>
      <c r="F780" s="3937" t="s">
        <v>4042</v>
      </c>
      <c r="G780" s="3937"/>
    </row>
    <row r="781" spans="5:7">
      <c r="E781" s="1525" t="s">
        <v>4043</v>
      </c>
      <c r="F781" s="3937" t="s">
        <v>4044</v>
      </c>
      <c r="G781" s="3937"/>
    </row>
    <row r="782" spans="5:7">
      <c r="E782" s="1525" t="s">
        <v>4045</v>
      </c>
      <c r="F782" s="3937" t="s">
        <v>4046</v>
      </c>
      <c r="G782" s="3937"/>
    </row>
    <row r="783" spans="5:7">
      <c r="E783" s="1525" t="s">
        <v>4047</v>
      </c>
      <c r="F783" s="3937" t="s">
        <v>4048</v>
      </c>
      <c r="G783" s="3937"/>
    </row>
    <row r="784" spans="5:7">
      <c r="E784" s="1525" t="s">
        <v>4049</v>
      </c>
      <c r="F784" s="3937" t="s">
        <v>4050</v>
      </c>
      <c r="G784" s="3937"/>
    </row>
    <row r="785" spans="5:7">
      <c r="E785" s="1525" t="s">
        <v>4051</v>
      </c>
      <c r="F785" s="3937" t="s">
        <v>4052</v>
      </c>
      <c r="G785" s="3937"/>
    </row>
    <row r="786" spans="5:7">
      <c r="E786" s="1525" t="s">
        <v>4053</v>
      </c>
      <c r="F786" s="3937" t="s">
        <v>4054</v>
      </c>
      <c r="G786" s="3937"/>
    </row>
    <row r="787" spans="5:7">
      <c r="E787" s="1525" t="s">
        <v>4055</v>
      </c>
      <c r="F787" s="3937" t="s">
        <v>4056</v>
      </c>
      <c r="G787" s="3937"/>
    </row>
    <row r="788" spans="5:7">
      <c r="E788" s="1525" t="s">
        <v>4057</v>
      </c>
      <c r="F788" s="3937" t="s">
        <v>4058</v>
      </c>
      <c r="G788" s="3937"/>
    </row>
    <row r="789" spans="5:7">
      <c r="E789" s="1525" t="s">
        <v>4059</v>
      </c>
      <c r="F789" s="3937" t="s">
        <v>4060</v>
      </c>
      <c r="G789" s="3937"/>
    </row>
    <row r="790" spans="5:7">
      <c r="E790" s="1525" t="s">
        <v>4061</v>
      </c>
      <c r="F790" s="3937" t="s">
        <v>4062</v>
      </c>
      <c r="G790" s="3937"/>
    </row>
    <row r="791" spans="5:7">
      <c r="E791" s="1525" t="s">
        <v>4063</v>
      </c>
      <c r="F791" s="3937" t="s">
        <v>4064</v>
      </c>
      <c r="G791" s="3937"/>
    </row>
    <row r="792" spans="5:7">
      <c r="E792" s="1525" t="s">
        <v>4065</v>
      </c>
      <c r="F792" s="3937" t="s">
        <v>4066</v>
      </c>
      <c r="G792" s="3937"/>
    </row>
    <row r="793" spans="5:7">
      <c r="E793" s="1525" t="s">
        <v>4067</v>
      </c>
      <c r="F793" s="3937" t="s">
        <v>4068</v>
      </c>
      <c r="G793" s="3937"/>
    </row>
    <row r="794" spans="5:7">
      <c r="E794" s="1525" t="s">
        <v>4069</v>
      </c>
      <c r="F794" s="3937" t="s">
        <v>4070</v>
      </c>
      <c r="G794" s="3937"/>
    </row>
    <row r="795" spans="5:7">
      <c r="E795" s="1525" t="s">
        <v>4071</v>
      </c>
      <c r="F795" s="3937" t="s">
        <v>4072</v>
      </c>
      <c r="G795" s="3937"/>
    </row>
    <row r="796" spans="5:7">
      <c r="E796" s="1525" t="s">
        <v>4073</v>
      </c>
      <c r="F796" s="3937" t="s">
        <v>4074</v>
      </c>
      <c r="G796" s="3937"/>
    </row>
    <row r="797" spans="5:7">
      <c r="E797" s="1525" t="s">
        <v>4075</v>
      </c>
      <c r="F797" s="3937" t="s">
        <v>4076</v>
      </c>
      <c r="G797" s="3937"/>
    </row>
    <row r="798" spans="5:7">
      <c r="E798" s="1525" t="s">
        <v>4077</v>
      </c>
      <c r="F798" s="3937" t="s">
        <v>4078</v>
      </c>
      <c r="G798" s="3937"/>
    </row>
    <row r="799" spans="5:7">
      <c r="E799" s="1525" t="s">
        <v>4079</v>
      </c>
      <c r="F799" s="3937" t="s">
        <v>4080</v>
      </c>
      <c r="G799" s="3937"/>
    </row>
    <row r="800" spans="5:7">
      <c r="E800" s="1525" t="s">
        <v>4081</v>
      </c>
      <c r="F800" s="3937" t="s">
        <v>4082</v>
      </c>
      <c r="G800" s="3937"/>
    </row>
    <row r="801" spans="5:7">
      <c r="E801" s="1525" t="s">
        <v>4083</v>
      </c>
      <c r="F801" s="3937" t="s">
        <v>4084</v>
      </c>
      <c r="G801" s="3937"/>
    </row>
    <row r="802" spans="5:7">
      <c r="E802" s="1525" t="s">
        <v>4085</v>
      </c>
      <c r="F802" s="3937" t="s">
        <v>4086</v>
      </c>
      <c r="G802" s="3937"/>
    </row>
    <row r="803" spans="5:7">
      <c r="E803" s="1525" t="s">
        <v>4087</v>
      </c>
      <c r="F803" s="3937" t="s">
        <v>4088</v>
      </c>
      <c r="G803" s="3937"/>
    </row>
    <row r="804" spans="5:7">
      <c r="E804" s="1525" t="s">
        <v>4089</v>
      </c>
      <c r="F804" s="3937" t="s">
        <v>4090</v>
      </c>
      <c r="G804" s="3937"/>
    </row>
    <row r="805" spans="5:7">
      <c r="E805" s="1525" t="s">
        <v>4091</v>
      </c>
      <c r="F805" s="3937" t="s">
        <v>4092</v>
      </c>
      <c r="G805" s="3937"/>
    </row>
    <row r="806" spans="5:7">
      <c r="E806" s="1525" t="s">
        <v>4093</v>
      </c>
      <c r="F806" s="3937" t="s">
        <v>4094</v>
      </c>
      <c r="G806" s="3937"/>
    </row>
    <row r="807" spans="5:7">
      <c r="E807" s="1525" t="s">
        <v>4095</v>
      </c>
      <c r="F807" s="3937" t="s">
        <v>4096</v>
      </c>
      <c r="G807" s="3937"/>
    </row>
    <row r="808" spans="5:7">
      <c r="E808" s="1525" t="s">
        <v>4097</v>
      </c>
      <c r="F808" s="3937" t="s">
        <v>4098</v>
      </c>
      <c r="G808" s="3937"/>
    </row>
    <row r="809" spans="5:7">
      <c r="E809" s="1525" t="s">
        <v>4099</v>
      </c>
      <c r="F809" s="3937" t="s">
        <v>4100</v>
      </c>
      <c r="G809" s="3937"/>
    </row>
    <row r="810" spans="5:7">
      <c r="E810" s="1525" t="s">
        <v>4101</v>
      </c>
      <c r="F810" s="3937" t="s">
        <v>4102</v>
      </c>
      <c r="G810" s="3937"/>
    </row>
    <row r="811" spans="5:7">
      <c r="E811" s="1525" t="s">
        <v>4103</v>
      </c>
      <c r="F811" s="3937" t="s">
        <v>4104</v>
      </c>
      <c r="G811" s="3937"/>
    </row>
    <row r="812" spans="5:7">
      <c r="E812" s="1525" t="s">
        <v>4105</v>
      </c>
      <c r="F812" s="3937" t="s">
        <v>4106</v>
      </c>
      <c r="G812" s="3937"/>
    </row>
    <row r="813" spans="5:7">
      <c r="E813" s="1525" t="s">
        <v>4107</v>
      </c>
      <c r="F813" s="3937" t="s">
        <v>4108</v>
      </c>
      <c r="G813" s="3937"/>
    </row>
    <row r="814" spans="5:7">
      <c r="E814" s="1525" t="s">
        <v>4109</v>
      </c>
      <c r="F814" s="3937" t="s">
        <v>4110</v>
      </c>
      <c r="G814" s="3937"/>
    </row>
    <row r="815" spans="5:7">
      <c r="E815" s="1525" t="s">
        <v>4111</v>
      </c>
      <c r="F815" s="3937" t="s">
        <v>4112</v>
      </c>
      <c r="G815" s="3937"/>
    </row>
    <row r="816" spans="5:7">
      <c r="E816" s="1525" t="s">
        <v>4113</v>
      </c>
      <c r="F816" s="3937" t="s">
        <v>4114</v>
      </c>
      <c r="G816" s="3937"/>
    </row>
    <row r="817" spans="5:7">
      <c r="E817" s="1525" t="s">
        <v>4115</v>
      </c>
      <c r="F817" s="3937" t="s">
        <v>4116</v>
      </c>
      <c r="G817" s="3937"/>
    </row>
    <row r="818" spans="5:7">
      <c r="E818" s="1525" t="s">
        <v>4117</v>
      </c>
      <c r="F818" s="3937" t="s">
        <v>4118</v>
      </c>
      <c r="G818" s="3937"/>
    </row>
    <row r="819" spans="5:7">
      <c r="E819" s="1525" t="s">
        <v>4119</v>
      </c>
      <c r="F819" s="3937" t="s">
        <v>4120</v>
      </c>
      <c r="G819" s="3937"/>
    </row>
    <row r="820" spans="5:7">
      <c r="E820" s="1525" t="s">
        <v>4121</v>
      </c>
      <c r="F820" s="3937" t="s">
        <v>4122</v>
      </c>
      <c r="G820" s="3937"/>
    </row>
    <row r="821" spans="5:7">
      <c r="E821" s="1525" t="s">
        <v>4123</v>
      </c>
      <c r="F821" s="3937" t="s">
        <v>4124</v>
      </c>
      <c r="G821" s="3937"/>
    </row>
    <row r="822" spans="5:7">
      <c r="E822" s="1525" t="s">
        <v>4125</v>
      </c>
      <c r="F822" s="3937" t="s">
        <v>4126</v>
      </c>
      <c r="G822" s="3937"/>
    </row>
    <row r="823" spans="5:7">
      <c r="E823" s="1525" t="s">
        <v>4127</v>
      </c>
      <c r="F823" s="3937" t="s">
        <v>4128</v>
      </c>
      <c r="G823" s="3937"/>
    </row>
    <row r="824" spans="5:7">
      <c r="E824" s="1525" t="s">
        <v>4129</v>
      </c>
      <c r="F824" s="3937" t="s">
        <v>4130</v>
      </c>
      <c r="G824" s="3937"/>
    </row>
    <row r="825" spans="5:7">
      <c r="E825" s="1525" t="s">
        <v>4131</v>
      </c>
      <c r="F825" s="3937" t="s">
        <v>4132</v>
      </c>
      <c r="G825" s="3937"/>
    </row>
    <row r="826" spans="5:7">
      <c r="E826" s="1525" t="s">
        <v>4133</v>
      </c>
      <c r="F826" s="3937" t="s">
        <v>4134</v>
      </c>
      <c r="G826" s="3937"/>
    </row>
    <row r="827" spans="5:7">
      <c r="E827" s="1525" t="s">
        <v>4135</v>
      </c>
      <c r="F827" s="3937" t="s">
        <v>4136</v>
      </c>
      <c r="G827" s="3937"/>
    </row>
    <row r="828" spans="5:7">
      <c r="E828" s="1525" t="s">
        <v>4137</v>
      </c>
      <c r="F828" s="3937" t="s">
        <v>4138</v>
      </c>
      <c r="G828" s="3937"/>
    </row>
    <row r="829" spans="5:7">
      <c r="E829" s="1525" t="s">
        <v>4139</v>
      </c>
      <c r="F829" s="3937" t="s">
        <v>4140</v>
      </c>
      <c r="G829" s="3937"/>
    </row>
    <row r="830" spans="5:7">
      <c r="E830" s="1525" t="s">
        <v>4141</v>
      </c>
      <c r="F830" s="3937" t="s">
        <v>4142</v>
      </c>
      <c r="G830" s="3937"/>
    </row>
    <row r="831" spans="5:7">
      <c r="E831" s="1525" t="s">
        <v>4143</v>
      </c>
      <c r="F831" s="3937" t="s">
        <v>4144</v>
      </c>
      <c r="G831" s="3937"/>
    </row>
    <row r="832" spans="5:7">
      <c r="E832" s="1525" t="s">
        <v>4145</v>
      </c>
      <c r="F832" s="3937" t="s">
        <v>4146</v>
      </c>
      <c r="G832" s="3937"/>
    </row>
    <row r="833" spans="5:7">
      <c r="E833" s="1525" t="s">
        <v>4147</v>
      </c>
      <c r="F833" s="3937" t="s">
        <v>4148</v>
      </c>
      <c r="G833" s="3937"/>
    </row>
    <row r="834" spans="5:7">
      <c r="E834" s="1525" t="s">
        <v>4149</v>
      </c>
      <c r="F834" s="3937" t="s">
        <v>4150</v>
      </c>
      <c r="G834" s="3937"/>
    </row>
    <row r="835" spans="5:7">
      <c r="E835" s="1525" t="s">
        <v>4151</v>
      </c>
      <c r="F835" s="3937" t="s">
        <v>4152</v>
      </c>
      <c r="G835" s="3937"/>
    </row>
    <row r="836" spans="5:7">
      <c r="E836" s="1525" t="s">
        <v>4153</v>
      </c>
      <c r="F836" s="3937" t="s">
        <v>4154</v>
      </c>
      <c r="G836" s="3937"/>
    </row>
    <row r="837" spans="5:7">
      <c r="E837" s="1525" t="s">
        <v>4155</v>
      </c>
      <c r="F837" s="3937" t="s">
        <v>4156</v>
      </c>
      <c r="G837" s="3937"/>
    </row>
    <row r="838" spans="5:7">
      <c r="E838" s="1525" t="s">
        <v>4157</v>
      </c>
      <c r="F838" s="3937" t="s">
        <v>4158</v>
      </c>
      <c r="G838" s="3937"/>
    </row>
    <row r="839" spans="5:7">
      <c r="E839" s="1525" t="s">
        <v>4159</v>
      </c>
      <c r="F839" s="3937" t="s">
        <v>4160</v>
      </c>
      <c r="G839" s="3937"/>
    </row>
    <row r="840" spans="5:7">
      <c r="E840" s="1525" t="s">
        <v>4161</v>
      </c>
      <c r="F840" s="3937" t="s">
        <v>4162</v>
      </c>
      <c r="G840" s="3937"/>
    </row>
    <row r="841" spans="5:7">
      <c r="E841" s="1525" t="s">
        <v>4163</v>
      </c>
      <c r="F841" s="3937" t="s">
        <v>4164</v>
      </c>
      <c r="G841" s="3937"/>
    </row>
    <row r="842" spans="5:7">
      <c r="E842" s="1525" t="s">
        <v>4165</v>
      </c>
      <c r="F842" s="3937" t="s">
        <v>4166</v>
      </c>
      <c r="G842" s="3937"/>
    </row>
    <row r="843" spans="5:7">
      <c r="E843" s="1525" t="s">
        <v>4167</v>
      </c>
      <c r="F843" s="3937" t="s">
        <v>4168</v>
      </c>
      <c r="G843" s="3937"/>
    </row>
    <row r="844" spans="5:7">
      <c r="E844" s="1525" t="s">
        <v>4169</v>
      </c>
      <c r="F844" s="3937" t="s">
        <v>4170</v>
      </c>
      <c r="G844" s="3937"/>
    </row>
    <row r="845" spans="5:7">
      <c r="E845" s="1525" t="s">
        <v>4171</v>
      </c>
      <c r="F845" s="3937" t="s">
        <v>4172</v>
      </c>
      <c r="G845" s="3937"/>
    </row>
    <row r="846" spans="5:7">
      <c r="E846" s="1525" t="s">
        <v>4173</v>
      </c>
      <c r="F846" s="3937" t="s">
        <v>4174</v>
      </c>
      <c r="G846" s="3937"/>
    </row>
    <row r="847" spans="5:7">
      <c r="E847" s="1525" t="s">
        <v>4175</v>
      </c>
      <c r="F847" s="3937" t="s">
        <v>4176</v>
      </c>
      <c r="G847" s="3937"/>
    </row>
    <row r="848" spans="5:7">
      <c r="E848" s="1525" t="s">
        <v>4177</v>
      </c>
      <c r="F848" s="3937" t="s">
        <v>4178</v>
      </c>
      <c r="G848" s="3937"/>
    </row>
    <row r="849" spans="5:7">
      <c r="E849" s="1525" t="s">
        <v>4179</v>
      </c>
      <c r="F849" s="3937" t="s">
        <v>4180</v>
      </c>
      <c r="G849" s="3937"/>
    </row>
    <row r="850" spans="5:7">
      <c r="E850" s="1525" t="s">
        <v>4181</v>
      </c>
      <c r="F850" s="3937" t="s">
        <v>4182</v>
      </c>
      <c r="G850" s="3937"/>
    </row>
    <row r="851" spans="5:7">
      <c r="E851" s="1525" t="s">
        <v>4183</v>
      </c>
      <c r="F851" s="3937" t="s">
        <v>4184</v>
      </c>
      <c r="G851" s="3937"/>
    </row>
    <row r="852" spans="5:7">
      <c r="E852" s="1525" t="s">
        <v>4185</v>
      </c>
      <c r="F852" s="3937" t="s">
        <v>4186</v>
      </c>
      <c r="G852" s="3937"/>
    </row>
    <row r="853" spans="5:7">
      <c r="E853" s="1525" t="s">
        <v>4187</v>
      </c>
      <c r="F853" s="3937" t="s">
        <v>4188</v>
      </c>
      <c r="G853" s="3937"/>
    </row>
    <row r="854" spans="5:7">
      <c r="E854" s="1525" t="s">
        <v>4189</v>
      </c>
      <c r="F854" s="3937" t="s">
        <v>4190</v>
      </c>
      <c r="G854" s="3937"/>
    </row>
    <row r="855" spans="5:7">
      <c r="E855" s="1525" t="s">
        <v>4191</v>
      </c>
      <c r="F855" s="3937" t="s">
        <v>4192</v>
      </c>
      <c r="G855" s="3937"/>
    </row>
    <row r="856" spans="5:7">
      <c r="E856" s="1525" t="s">
        <v>4193</v>
      </c>
      <c r="F856" s="3937" t="s">
        <v>4194</v>
      </c>
      <c r="G856" s="3937"/>
    </row>
    <row r="857" spans="5:7">
      <c r="E857" s="1525" t="s">
        <v>4195</v>
      </c>
      <c r="F857" s="3937" t="s">
        <v>4196</v>
      </c>
      <c r="G857" s="3937"/>
    </row>
    <row r="858" spans="5:7">
      <c r="E858" s="1525" t="s">
        <v>4197</v>
      </c>
      <c r="F858" s="3937" t="s">
        <v>4198</v>
      </c>
      <c r="G858" s="3937"/>
    </row>
    <row r="859" spans="5:7">
      <c r="E859" s="1525" t="s">
        <v>4199</v>
      </c>
      <c r="F859" s="3937" t="s">
        <v>4200</v>
      </c>
      <c r="G859" s="3937"/>
    </row>
    <row r="860" spans="5:7">
      <c r="E860" s="1525" t="s">
        <v>4201</v>
      </c>
      <c r="F860" s="3937" t="s">
        <v>4202</v>
      </c>
      <c r="G860" s="3937"/>
    </row>
    <row r="861" spans="5:7">
      <c r="E861" s="1525" t="s">
        <v>4203</v>
      </c>
      <c r="F861" s="3937" t="s">
        <v>4204</v>
      </c>
      <c r="G861" s="3937"/>
    </row>
    <row r="862" spans="5:7">
      <c r="E862" s="1525" t="s">
        <v>4205</v>
      </c>
      <c r="F862" s="3937" t="s">
        <v>4206</v>
      </c>
      <c r="G862" s="3937"/>
    </row>
    <row r="863" spans="5:7">
      <c r="E863" s="1525" t="s">
        <v>4207</v>
      </c>
      <c r="F863" s="3937" t="s">
        <v>4208</v>
      </c>
      <c r="G863" s="3937"/>
    </row>
    <row r="864" spans="5:7">
      <c r="E864" s="1525" t="s">
        <v>4209</v>
      </c>
      <c r="F864" s="3937" t="s">
        <v>4210</v>
      </c>
      <c r="G864" s="3937"/>
    </row>
    <row r="865" spans="5:7">
      <c r="E865" s="1525" t="s">
        <v>4211</v>
      </c>
      <c r="F865" s="3937" t="s">
        <v>4212</v>
      </c>
      <c r="G865" s="3937"/>
    </row>
    <row r="866" spans="5:7">
      <c r="E866" s="1525" t="s">
        <v>4213</v>
      </c>
      <c r="F866" s="3937" t="s">
        <v>4214</v>
      </c>
      <c r="G866" s="3937"/>
    </row>
    <row r="867" spans="5:7">
      <c r="E867" s="1525" t="s">
        <v>4215</v>
      </c>
      <c r="F867" s="3937" t="s">
        <v>4216</v>
      </c>
      <c r="G867" s="3937"/>
    </row>
    <row r="868" spans="5:7">
      <c r="E868" s="1525" t="s">
        <v>4217</v>
      </c>
      <c r="F868" s="3937" t="s">
        <v>4218</v>
      </c>
      <c r="G868" s="3937"/>
    </row>
    <row r="869" spans="5:7">
      <c r="E869" s="1525" t="s">
        <v>4219</v>
      </c>
      <c r="F869" s="3937" t="s">
        <v>4220</v>
      </c>
      <c r="G869" s="3937"/>
    </row>
    <row r="870" spans="5:7">
      <c r="E870" s="1525" t="s">
        <v>4221</v>
      </c>
      <c r="F870" s="3937" t="s">
        <v>4222</v>
      </c>
      <c r="G870" s="3937"/>
    </row>
    <row r="871" spans="5:7">
      <c r="E871" s="1525" t="s">
        <v>4223</v>
      </c>
      <c r="F871" s="3937" t="s">
        <v>4224</v>
      </c>
      <c r="G871" s="3937"/>
    </row>
    <row r="872" spans="5:7">
      <c r="E872" s="1525" t="s">
        <v>4225</v>
      </c>
      <c r="F872" s="3937" t="s">
        <v>4226</v>
      </c>
      <c r="G872" s="3937"/>
    </row>
    <row r="873" spans="5:7">
      <c r="E873" s="1525" t="s">
        <v>4227</v>
      </c>
      <c r="F873" s="3937" t="s">
        <v>4228</v>
      </c>
      <c r="G873" s="3937"/>
    </row>
    <row r="874" spans="5:7">
      <c r="E874" s="1525" t="s">
        <v>4229</v>
      </c>
      <c r="F874" s="3937" t="s">
        <v>4230</v>
      </c>
      <c r="G874" s="3937"/>
    </row>
    <row r="875" spans="5:7">
      <c r="E875" s="1525" t="s">
        <v>4231</v>
      </c>
      <c r="F875" s="3937" t="s">
        <v>4232</v>
      </c>
      <c r="G875" s="3937"/>
    </row>
    <row r="876" spans="5:7">
      <c r="E876" s="1525" t="s">
        <v>4233</v>
      </c>
      <c r="F876" s="3937" t="s">
        <v>4234</v>
      </c>
      <c r="G876" s="3937"/>
    </row>
    <row r="877" spans="5:7">
      <c r="E877" s="1525" t="s">
        <v>4235</v>
      </c>
      <c r="F877" s="3937" t="s">
        <v>4236</v>
      </c>
      <c r="G877" s="3937"/>
    </row>
    <row r="878" spans="5:7">
      <c r="E878" s="1525" t="s">
        <v>4237</v>
      </c>
      <c r="F878" s="3937" t="s">
        <v>4238</v>
      </c>
      <c r="G878" s="3937"/>
    </row>
    <row r="879" spans="5:7">
      <c r="E879" s="1525" t="s">
        <v>4239</v>
      </c>
      <c r="F879" s="3937" t="s">
        <v>4240</v>
      </c>
      <c r="G879" s="3937"/>
    </row>
    <row r="880" spans="5:7">
      <c r="E880" s="1525" t="s">
        <v>4241</v>
      </c>
      <c r="F880" s="3937" t="s">
        <v>4242</v>
      </c>
      <c r="G880" s="3937"/>
    </row>
    <row r="881" spans="5:7">
      <c r="E881" s="1525" t="s">
        <v>4243</v>
      </c>
      <c r="F881" s="3937" t="s">
        <v>4244</v>
      </c>
      <c r="G881" s="3937"/>
    </row>
    <row r="882" spans="5:7">
      <c r="E882" s="1525" t="s">
        <v>4245</v>
      </c>
      <c r="F882" s="3937" t="s">
        <v>4246</v>
      </c>
      <c r="G882" s="3937"/>
    </row>
    <row r="883" spans="5:7">
      <c r="E883" s="1525" t="s">
        <v>4247</v>
      </c>
      <c r="F883" s="3937" t="s">
        <v>4248</v>
      </c>
      <c r="G883" s="3937"/>
    </row>
    <row r="884" spans="5:7">
      <c r="E884" s="1525" t="s">
        <v>4249</v>
      </c>
      <c r="F884" s="3937" t="s">
        <v>4250</v>
      </c>
      <c r="G884" s="3937"/>
    </row>
    <row r="885" spans="5:7">
      <c r="E885" s="1525" t="s">
        <v>4251</v>
      </c>
      <c r="F885" s="3937" t="s">
        <v>4252</v>
      </c>
      <c r="G885" s="3937"/>
    </row>
    <row r="886" spans="5:7">
      <c r="E886" s="1525" t="s">
        <v>4253</v>
      </c>
      <c r="F886" s="3937" t="s">
        <v>4254</v>
      </c>
      <c r="G886" s="3937"/>
    </row>
    <row r="887" spans="5:7">
      <c r="E887" s="1525" t="s">
        <v>4255</v>
      </c>
      <c r="F887" s="3937" t="s">
        <v>4256</v>
      </c>
      <c r="G887" s="3937"/>
    </row>
    <row r="888" spans="5:7">
      <c r="E888" s="1525" t="s">
        <v>4257</v>
      </c>
      <c r="F888" s="3937" t="s">
        <v>4258</v>
      </c>
      <c r="G888" s="3937"/>
    </row>
    <row r="889" spans="5:7">
      <c r="E889" s="1525" t="s">
        <v>4259</v>
      </c>
      <c r="F889" s="3937" t="s">
        <v>4260</v>
      </c>
      <c r="G889" s="3937"/>
    </row>
    <row r="890" spans="5:7">
      <c r="E890" s="1525" t="s">
        <v>4261</v>
      </c>
      <c r="F890" s="3937" t="s">
        <v>4262</v>
      </c>
      <c r="G890" s="3937"/>
    </row>
    <row r="891" spans="5:7">
      <c r="E891" s="1525" t="s">
        <v>4263</v>
      </c>
      <c r="F891" s="3937" t="s">
        <v>4264</v>
      </c>
      <c r="G891" s="3937"/>
    </row>
    <row r="892" spans="5:7">
      <c r="E892" s="1525" t="s">
        <v>4265</v>
      </c>
      <c r="F892" s="3937" t="s">
        <v>4266</v>
      </c>
      <c r="G892" s="3937"/>
    </row>
    <row r="893" spans="5:7">
      <c r="E893" s="1525" t="s">
        <v>4267</v>
      </c>
      <c r="F893" s="3937" t="s">
        <v>4268</v>
      </c>
      <c r="G893" s="3937"/>
    </row>
    <row r="894" spans="5:7">
      <c r="E894" s="1525" t="s">
        <v>4269</v>
      </c>
      <c r="F894" s="3937" t="s">
        <v>4270</v>
      </c>
      <c r="G894" s="3937"/>
    </row>
    <row r="895" spans="5:7">
      <c r="E895" s="1525" t="s">
        <v>4271</v>
      </c>
      <c r="F895" s="3937" t="s">
        <v>4272</v>
      </c>
      <c r="G895" s="3937"/>
    </row>
    <row r="896" spans="5:7">
      <c r="E896" s="1525" t="s">
        <v>4273</v>
      </c>
      <c r="F896" s="3937" t="s">
        <v>4274</v>
      </c>
      <c r="G896" s="3937"/>
    </row>
    <row r="897" spans="5:7">
      <c r="E897" s="1525" t="s">
        <v>4275</v>
      </c>
      <c r="F897" s="3937" t="s">
        <v>4276</v>
      </c>
      <c r="G897" s="3937"/>
    </row>
    <row r="898" spans="5:7">
      <c r="E898" s="1525" t="s">
        <v>4277</v>
      </c>
      <c r="F898" s="3937" t="s">
        <v>4278</v>
      </c>
      <c r="G898" s="3937"/>
    </row>
    <row r="899" spans="5:7">
      <c r="E899" s="1525" t="s">
        <v>4279</v>
      </c>
      <c r="F899" s="3937" t="s">
        <v>4280</v>
      </c>
      <c r="G899" s="3937"/>
    </row>
    <row r="900" spans="5:7">
      <c r="E900" s="1525" t="s">
        <v>4281</v>
      </c>
      <c r="F900" s="3937" t="s">
        <v>4282</v>
      </c>
      <c r="G900" s="3937"/>
    </row>
    <row r="901" spans="5:7">
      <c r="E901" s="1525" t="s">
        <v>4283</v>
      </c>
      <c r="F901" s="3937" t="s">
        <v>4284</v>
      </c>
      <c r="G901" s="3937"/>
    </row>
    <row r="902" spans="5:7">
      <c r="E902" s="1525" t="s">
        <v>4285</v>
      </c>
      <c r="F902" s="3937" t="s">
        <v>4286</v>
      </c>
      <c r="G902" s="3937"/>
    </row>
    <row r="903" spans="5:7">
      <c r="E903" s="1525" t="s">
        <v>4287</v>
      </c>
      <c r="F903" s="3937" t="s">
        <v>4288</v>
      </c>
      <c r="G903" s="3937"/>
    </row>
    <row r="904" spans="5:7">
      <c r="E904" s="1525" t="s">
        <v>4289</v>
      </c>
      <c r="F904" s="3937" t="s">
        <v>4290</v>
      </c>
      <c r="G904" s="3937"/>
    </row>
    <row r="905" spans="5:7">
      <c r="E905" s="1525" t="s">
        <v>4291</v>
      </c>
      <c r="F905" s="3937" t="s">
        <v>4292</v>
      </c>
      <c r="G905" s="3937"/>
    </row>
    <row r="906" spans="5:7">
      <c r="E906" s="1525" t="s">
        <v>4293</v>
      </c>
      <c r="F906" s="3937" t="s">
        <v>4294</v>
      </c>
      <c r="G906" s="3937"/>
    </row>
    <row r="907" spans="5:7">
      <c r="E907" s="1525" t="s">
        <v>4295</v>
      </c>
      <c r="F907" s="3937" t="s">
        <v>4296</v>
      </c>
      <c r="G907" s="3937"/>
    </row>
    <row r="908" spans="5:7">
      <c r="E908" s="1525" t="s">
        <v>4297</v>
      </c>
      <c r="F908" s="3937" t="s">
        <v>4298</v>
      </c>
      <c r="G908" s="3937"/>
    </row>
    <row r="909" spans="5:7">
      <c r="E909" s="1525" t="s">
        <v>4299</v>
      </c>
      <c r="F909" s="3937" t="s">
        <v>4300</v>
      </c>
      <c r="G909" s="3937"/>
    </row>
    <row r="910" spans="5:7">
      <c r="E910" s="1525" t="s">
        <v>4301</v>
      </c>
      <c r="F910" s="3937" t="s">
        <v>4302</v>
      </c>
      <c r="G910" s="3937"/>
    </row>
    <row r="911" spans="5:7">
      <c r="E911" s="1525" t="s">
        <v>4303</v>
      </c>
      <c r="F911" s="3937" t="s">
        <v>4304</v>
      </c>
      <c r="G911" s="3937"/>
    </row>
    <row r="912" spans="5:7">
      <c r="E912" s="1525" t="s">
        <v>4305</v>
      </c>
      <c r="F912" s="3937" t="s">
        <v>4306</v>
      </c>
      <c r="G912" s="3937"/>
    </row>
    <row r="913" spans="5:7">
      <c r="E913" s="1525" t="s">
        <v>4307</v>
      </c>
      <c r="F913" s="3937" t="s">
        <v>4308</v>
      </c>
      <c r="G913" s="3937"/>
    </row>
    <row r="914" spans="5:7">
      <c r="E914" s="1525" t="s">
        <v>4309</v>
      </c>
      <c r="F914" s="3937" t="s">
        <v>4310</v>
      </c>
      <c r="G914" s="3937"/>
    </row>
    <row r="915" spans="5:7">
      <c r="E915" s="1525" t="s">
        <v>4311</v>
      </c>
      <c r="F915" s="3937" t="s">
        <v>4312</v>
      </c>
      <c r="G915" s="3937"/>
    </row>
    <row r="916" spans="5:7">
      <c r="E916" s="1525" t="s">
        <v>4313</v>
      </c>
      <c r="F916" s="3937" t="s">
        <v>4314</v>
      </c>
      <c r="G916" s="3937"/>
    </row>
    <row r="917" spans="5:7">
      <c r="E917" s="1525" t="s">
        <v>4315</v>
      </c>
      <c r="F917" s="3937" t="s">
        <v>4316</v>
      </c>
      <c r="G917" s="3937"/>
    </row>
    <row r="918" spans="5:7">
      <c r="E918" s="1525" t="s">
        <v>4317</v>
      </c>
      <c r="F918" s="3937" t="s">
        <v>4318</v>
      </c>
      <c r="G918" s="3937"/>
    </row>
    <row r="919" spans="5:7">
      <c r="E919" s="1525" t="s">
        <v>4319</v>
      </c>
      <c r="F919" s="3937" t="s">
        <v>4320</v>
      </c>
      <c r="G919" s="3937"/>
    </row>
    <row r="920" spans="5:7">
      <c r="E920" s="1525" t="s">
        <v>4321</v>
      </c>
      <c r="F920" s="3937" t="s">
        <v>4322</v>
      </c>
      <c r="G920" s="3937"/>
    </row>
    <row r="921" spans="5:7">
      <c r="E921" s="1525" t="s">
        <v>4323</v>
      </c>
      <c r="F921" s="3937" t="s">
        <v>4324</v>
      </c>
      <c r="G921" s="3937"/>
    </row>
    <row r="922" spans="5:7">
      <c r="E922" s="1525" t="s">
        <v>4325</v>
      </c>
      <c r="F922" s="3937" t="s">
        <v>4326</v>
      </c>
      <c r="G922" s="3937"/>
    </row>
    <row r="923" spans="5:7">
      <c r="E923" s="1525" t="s">
        <v>4327</v>
      </c>
      <c r="F923" s="3937" t="s">
        <v>4328</v>
      </c>
      <c r="G923" s="3937"/>
    </row>
    <row r="924" spans="5:7">
      <c r="E924" s="1525" t="s">
        <v>4329</v>
      </c>
      <c r="F924" s="3937" t="s">
        <v>4330</v>
      </c>
      <c r="G924" s="3937"/>
    </row>
    <row r="925" spans="5:7">
      <c r="E925" s="1525" t="s">
        <v>4331</v>
      </c>
      <c r="F925" s="3937" t="s">
        <v>4332</v>
      </c>
      <c r="G925" s="3937"/>
    </row>
    <row r="926" spans="5:7">
      <c r="E926" s="1525" t="s">
        <v>4333</v>
      </c>
      <c r="F926" s="3937" t="s">
        <v>4334</v>
      </c>
      <c r="G926" s="3937"/>
    </row>
    <row r="927" spans="5:7">
      <c r="E927" s="1525" t="s">
        <v>4335</v>
      </c>
      <c r="F927" s="3937" t="s">
        <v>4336</v>
      </c>
      <c r="G927" s="3937"/>
    </row>
    <row r="928" spans="5:7">
      <c r="E928" s="1525" t="s">
        <v>4337</v>
      </c>
      <c r="F928" s="3937" t="s">
        <v>4338</v>
      </c>
      <c r="G928" s="3937"/>
    </row>
    <row r="929" spans="5:7">
      <c r="E929" s="1525" t="s">
        <v>4339</v>
      </c>
      <c r="F929" s="3937" t="s">
        <v>4340</v>
      </c>
      <c r="G929" s="3937"/>
    </row>
    <row r="930" spans="5:7">
      <c r="E930" s="1525" t="s">
        <v>4341</v>
      </c>
      <c r="F930" s="3937" t="s">
        <v>4342</v>
      </c>
      <c r="G930" s="3937"/>
    </row>
    <row r="931" spans="5:7">
      <c r="E931" s="1525" t="s">
        <v>4343</v>
      </c>
      <c r="F931" s="3937" t="s">
        <v>4344</v>
      </c>
      <c r="G931" s="3937"/>
    </row>
    <row r="932" spans="5:7">
      <c r="E932" s="1525" t="s">
        <v>4345</v>
      </c>
      <c r="F932" s="3937" t="s">
        <v>4346</v>
      </c>
      <c r="G932" s="3937"/>
    </row>
    <row r="933" spans="5:7">
      <c r="E933" s="1525" t="s">
        <v>4347</v>
      </c>
      <c r="F933" s="3937" t="s">
        <v>4348</v>
      </c>
      <c r="G933" s="3937"/>
    </row>
    <row r="934" spans="5:7">
      <c r="E934" s="1525" t="s">
        <v>4349</v>
      </c>
      <c r="F934" s="3937" t="s">
        <v>4350</v>
      </c>
      <c r="G934" s="3937"/>
    </row>
    <row r="935" spans="5:7">
      <c r="E935" s="1525" t="s">
        <v>4351</v>
      </c>
      <c r="F935" s="3937" t="s">
        <v>4352</v>
      </c>
      <c r="G935" s="3937"/>
    </row>
    <row r="936" spans="5:7">
      <c r="E936" s="1525" t="s">
        <v>4353</v>
      </c>
      <c r="F936" s="3937" t="s">
        <v>4354</v>
      </c>
      <c r="G936" s="3937"/>
    </row>
    <row r="937" spans="5:7">
      <c r="E937" s="1525" t="s">
        <v>4355</v>
      </c>
      <c r="F937" s="3937" t="s">
        <v>4356</v>
      </c>
      <c r="G937" s="3937"/>
    </row>
    <row r="938" spans="5:7">
      <c r="E938" s="1525" t="s">
        <v>4357</v>
      </c>
      <c r="F938" s="3937" t="s">
        <v>4358</v>
      </c>
      <c r="G938" s="3937"/>
    </row>
    <row r="939" spans="5:7">
      <c r="E939" s="1525" t="s">
        <v>4359</v>
      </c>
      <c r="F939" s="3937" t="s">
        <v>4360</v>
      </c>
      <c r="G939" s="3937"/>
    </row>
    <row r="940" spans="5:7">
      <c r="E940" s="1525" t="s">
        <v>4361</v>
      </c>
      <c r="F940" s="3937" t="s">
        <v>4362</v>
      </c>
      <c r="G940" s="3937"/>
    </row>
    <row r="941" spans="5:7">
      <c r="E941" s="1525" t="s">
        <v>4363</v>
      </c>
      <c r="F941" s="3937" t="s">
        <v>4364</v>
      </c>
      <c r="G941" s="3937"/>
    </row>
    <row r="942" spans="5:7">
      <c r="E942" s="1525" t="s">
        <v>4365</v>
      </c>
      <c r="F942" s="3937" t="s">
        <v>4366</v>
      </c>
      <c r="G942" s="3937"/>
    </row>
    <row r="943" spans="5:7">
      <c r="E943" s="1525" t="s">
        <v>4367</v>
      </c>
      <c r="F943" s="3937" t="s">
        <v>4368</v>
      </c>
      <c r="G943" s="3937"/>
    </row>
    <row r="944" spans="5:7">
      <c r="E944" s="1525" t="s">
        <v>4369</v>
      </c>
      <c r="F944" s="3937" t="s">
        <v>4370</v>
      </c>
      <c r="G944" s="3937"/>
    </row>
    <row r="945" spans="5:7">
      <c r="E945" s="1525" t="s">
        <v>4371</v>
      </c>
      <c r="F945" s="3937" t="s">
        <v>4372</v>
      </c>
      <c r="G945" s="3937"/>
    </row>
    <row r="946" spans="5:7">
      <c r="E946" s="1525" t="s">
        <v>4373</v>
      </c>
      <c r="F946" s="3937" t="s">
        <v>4374</v>
      </c>
      <c r="G946" s="3937"/>
    </row>
    <row r="947" spans="5:7">
      <c r="E947" s="1525" t="s">
        <v>4375</v>
      </c>
      <c r="F947" s="3937" t="s">
        <v>4376</v>
      </c>
      <c r="G947" s="3937"/>
    </row>
    <row r="948" spans="5:7">
      <c r="E948" s="1525" t="s">
        <v>4377</v>
      </c>
      <c r="F948" s="3937" t="s">
        <v>4378</v>
      </c>
      <c r="G948" s="3937"/>
    </row>
    <row r="949" spans="5:7">
      <c r="E949" s="1525" t="s">
        <v>4379</v>
      </c>
      <c r="F949" s="3937" t="s">
        <v>4380</v>
      </c>
      <c r="G949" s="3937"/>
    </row>
    <row r="950" spans="5:7">
      <c r="E950" s="1525" t="s">
        <v>4381</v>
      </c>
      <c r="F950" s="3937" t="s">
        <v>4382</v>
      </c>
      <c r="G950" s="3937"/>
    </row>
    <row r="951" spans="5:7">
      <c r="E951" s="1525" t="s">
        <v>4383</v>
      </c>
      <c r="F951" s="3937" t="s">
        <v>4384</v>
      </c>
      <c r="G951" s="3937"/>
    </row>
    <row r="952" spans="5:7">
      <c r="E952" s="1525" t="s">
        <v>4385</v>
      </c>
      <c r="F952" s="3937" t="s">
        <v>4386</v>
      </c>
      <c r="G952" s="3937"/>
    </row>
    <row r="953" spans="5:7">
      <c r="E953" s="1525" t="s">
        <v>4387</v>
      </c>
      <c r="F953" s="3937" t="s">
        <v>4388</v>
      </c>
      <c r="G953" s="3937"/>
    </row>
    <row r="954" spans="5:7">
      <c r="E954" s="1525" t="s">
        <v>4389</v>
      </c>
      <c r="F954" s="3937" t="s">
        <v>4390</v>
      </c>
      <c r="G954" s="3937"/>
    </row>
    <row r="955" spans="5:7">
      <c r="E955" s="1525" t="s">
        <v>4391</v>
      </c>
      <c r="F955" s="3937" t="s">
        <v>4392</v>
      </c>
      <c r="G955" s="3937"/>
    </row>
    <row r="956" spans="5:7">
      <c r="E956" s="1525" t="s">
        <v>4393</v>
      </c>
      <c r="F956" s="3937" t="s">
        <v>4394</v>
      </c>
      <c r="G956" s="3937"/>
    </row>
    <row r="957" spans="5:7">
      <c r="E957" s="1525" t="s">
        <v>4395</v>
      </c>
      <c r="F957" s="3937" t="s">
        <v>4396</v>
      </c>
      <c r="G957" s="3937"/>
    </row>
    <row r="958" spans="5:7">
      <c r="E958" s="1525" t="s">
        <v>4397</v>
      </c>
      <c r="F958" s="3937" t="s">
        <v>4398</v>
      </c>
      <c r="G958" s="3937"/>
    </row>
    <row r="959" spans="5:7">
      <c r="E959" s="1525" t="s">
        <v>4399</v>
      </c>
      <c r="F959" s="3937" t="s">
        <v>4400</v>
      </c>
      <c r="G959" s="3937"/>
    </row>
    <row r="960" spans="5:7">
      <c r="E960" s="1525" t="s">
        <v>4401</v>
      </c>
      <c r="F960" s="3937" t="s">
        <v>4402</v>
      </c>
      <c r="G960" s="3937"/>
    </row>
    <row r="961" spans="5:7">
      <c r="E961" s="1525" t="s">
        <v>4403</v>
      </c>
      <c r="F961" s="3937" t="s">
        <v>4404</v>
      </c>
      <c r="G961" s="3937"/>
    </row>
    <row r="962" spans="5:7">
      <c r="E962" s="1525" t="s">
        <v>4405</v>
      </c>
      <c r="F962" s="3937" t="s">
        <v>4406</v>
      </c>
      <c r="G962" s="3937"/>
    </row>
    <row r="963" spans="5:7">
      <c r="E963" s="1525" t="s">
        <v>4407</v>
      </c>
      <c r="F963" s="3937" t="s">
        <v>4408</v>
      </c>
      <c r="G963" s="3937"/>
    </row>
    <row r="964" spans="5:7">
      <c r="E964" s="1525" t="s">
        <v>4409</v>
      </c>
      <c r="F964" s="3937" t="s">
        <v>4410</v>
      </c>
      <c r="G964" s="3937"/>
    </row>
    <row r="965" spans="5:7">
      <c r="E965" s="1525" t="s">
        <v>4411</v>
      </c>
      <c r="F965" s="3937" t="s">
        <v>4412</v>
      </c>
      <c r="G965" s="3937"/>
    </row>
    <row r="966" spans="5:7">
      <c r="E966" s="1525" t="s">
        <v>4413</v>
      </c>
      <c r="F966" s="3937" t="s">
        <v>4414</v>
      </c>
      <c r="G966" s="3937"/>
    </row>
    <row r="967" spans="5:7">
      <c r="E967" s="1525" t="s">
        <v>4415</v>
      </c>
      <c r="F967" s="3937" t="s">
        <v>4416</v>
      </c>
      <c r="G967" s="3937"/>
    </row>
    <row r="968" spans="5:7">
      <c r="E968" s="1525" t="s">
        <v>4417</v>
      </c>
      <c r="F968" s="3937" t="s">
        <v>4418</v>
      </c>
      <c r="G968" s="3937"/>
    </row>
    <row r="969" spans="5:7">
      <c r="E969" s="1525" t="s">
        <v>4419</v>
      </c>
      <c r="F969" s="3937" t="s">
        <v>4420</v>
      </c>
      <c r="G969" s="3937"/>
    </row>
    <row r="970" spans="5:7">
      <c r="E970" s="1525" t="s">
        <v>4421</v>
      </c>
      <c r="F970" s="3937" t="s">
        <v>4422</v>
      </c>
      <c r="G970" s="3937"/>
    </row>
    <row r="971" spans="5:7">
      <c r="E971" s="1525" t="s">
        <v>4423</v>
      </c>
      <c r="F971" s="3937" t="s">
        <v>4424</v>
      </c>
      <c r="G971" s="3937"/>
    </row>
    <row r="972" spans="5:7">
      <c r="E972" s="1525" t="s">
        <v>4425</v>
      </c>
      <c r="F972" s="3937" t="s">
        <v>4426</v>
      </c>
      <c r="G972" s="3937"/>
    </row>
    <row r="973" spans="5:7">
      <c r="E973" s="1525" t="s">
        <v>4427</v>
      </c>
      <c r="F973" s="3937" t="s">
        <v>4428</v>
      </c>
      <c r="G973" s="3937"/>
    </row>
    <row r="974" spans="5:7">
      <c r="E974" s="1525" t="s">
        <v>4429</v>
      </c>
      <c r="F974" s="3937" t="s">
        <v>4430</v>
      </c>
      <c r="G974" s="3937"/>
    </row>
    <row r="975" spans="5:7">
      <c r="E975" s="1525" t="s">
        <v>4431</v>
      </c>
      <c r="F975" s="3937" t="s">
        <v>4432</v>
      </c>
      <c r="G975" s="3937"/>
    </row>
    <row r="976" spans="5:7">
      <c r="E976" s="1525" t="s">
        <v>4433</v>
      </c>
      <c r="F976" s="3937" t="s">
        <v>4434</v>
      </c>
      <c r="G976" s="3937"/>
    </row>
    <row r="977" spans="5:7">
      <c r="E977" s="1525" t="s">
        <v>4435</v>
      </c>
      <c r="F977" s="3937" t="s">
        <v>4436</v>
      </c>
      <c r="G977" s="3937"/>
    </row>
    <row r="978" spans="5:7">
      <c r="E978" s="1525" t="s">
        <v>4437</v>
      </c>
      <c r="F978" s="3937" t="s">
        <v>4438</v>
      </c>
      <c r="G978" s="3937"/>
    </row>
    <row r="979" spans="5:7">
      <c r="E979" s="1525" t="s">
        <v>4439</v>
      </c>
      <c r="F979" s="3937" t="s">
        <v>4440</v>
      </c>
      <c r="G979" s="3937"/>
    </row>
    <row r="980" spans="5:7">
      <c r="E980" s="1525" t="s">
        <v>4441</v>
      </c>
      <c r="F980" s="3937" t="s">
        <v>4442</v>
      </c>
      <c r="G980" s="3937"/>
    </row>
    <row r="981" spans="5:7">
      <c r="E981" s="1525" t="s">
        <v>4443</v>
      </c>
      <c r="F981" s="3937" t="s">
        <v>4444</v>
      </c>
      <c r="G981" s="3937"/>
    </row>
    <row r="982" spans="5:7">
      <c r="E982" s="1525" t="s">
        <v>4445</v>
      </c>
      <c r="F982" s="3937" t="s">
        <v>4446</v>
      </c>
      <c r="G982" s="3937"/>
    </row>
    <row r="983" spans="5:7">
      <c r="E983" s="1525" t="s">
        <v>4447</v>
      </c>
      <c r="F983" s="3937" t="s">
        <v>4448</v>
      </c>
      <c r="G983" s="3937"/>
    </row>
    <row r="984" spans="5:7">
      <c r="E984" s="1525" t="s">
        <v>4449</v>
      </c>
      <c r="F984" s="3937" t="s">
        <v>4450</v>
      </c>
      <c r="G984" s="3937"/>
    </row>
    <row r="985" spans="5:7">
      <c r="E985" s="1525" t="s">
        <v>4451</v>
      </c>
      <c r="F985" s="3937" t="s">
        <v>4452</v>
      </c>
      <c r="G985" s="3937"/>
    </row>
    <row r="986" spans="5:7">
      <c r="E986" s="1525" t="s">
        <v>4453</v>
      </c>
      <c r="F986" s="3937" t="s">
        <v>4454</v>
      </c>
      <c r="G986" s="3937"/>
    </row>
    <row r="987" spans="5:7">
      <c r="E987" s="1525" t="s">
        <v>4455</v>
      </c>
      <c r="F987" s="3937" t="s">
        <v>4456</v>
      </c>
      <c r="G987" s="3937"/>
    </row>
    <row r="988" spans="5:7">
      <c r="E988" s="1525" t="s">
        <v>4457</v>
      </c>
      <c r="F988" s="3937" t="s">
        <v>4458</v>
      </c>
      <c r="G988" s="3937"/>
    </row>
    <row r="989" spans="5:7">
      <c r="E989" s="1525" t="s">
        <v>4459</v>
      </c>
      <c r="F989" s="3937" t="s">
        <v>4460</v>
      </c>
      <c r="G989" s="3937"/>
    </row>
    <row r="990" spans="5:7">
      <c r="E990" s="1525" t="s">
        <v>4461</v>
      </c>
      <c r="F990" s="3937" t="s">
        <v>4462</v>
      </c>
      <c r="G990" s="3937"/>
    </row>
    <row r="991" spans="5:7">
      <c r="E991" s="1525" t="s">
        <v>4463</v>
      </c>
      <c r="F991" s="3937" t="s">
        <v>4464</v>
      </c>
      <c r="G991" s="3937"/>
    </row>
    <row r="992" spans="5:7">
      <c r="E992" s="1525" t="s">
        <v>4465</v>
      </c>
      <c r="F992" s="3937" t="s">
        <v>4466</v>
      </c>
      <c r="G992" s="3937"/>
    </row>
    <row r="993" spans="5:7">
      <c r="E993" s="1525" t="s">
        <v>4467</v>
      </c>
      <c r="F993" s="3937" t="s">
        <v>4468</v>
      </c>
      <c r="G993" s="3937"/>
    </row>
    <row r="994" spans="5:7">
      <c r="E994" s="1525" t="s">
        <v>4469</v>
      </c>
      <c r="F994" s="3937" t="s">
        <v>4470</v>
      </c>
      <c r="G994" s="3937"/>
    </row>
    <row r="995" spans="5:7">
      <c r="E995" s="1525" t="s">
        <v>4471</v>
      </c>
      <c r="F995" s="3937" t="s">
        <v>4472</v>
      </c>
      <c r="G995" s="3937"/>
    </row>
    <row r="996" spans="5:7">
      <c r="E996" s="1525" t="s">
        <v>4473</v>
      </c>
      <c r="F996" s="3937" t="s">
        <v>4474</v>
      </c>
      <c r="G996" s="3937"/>
    </row>
    <row r="997" spans="5:7">
      <c r="E997" s="1525" t="s">
        <v>4475</v>
      </c>
      <c r="F997" s="3937" t="s">
        <v>4476</v>
      </c>
      <c r="G997" s="3937"/>
    </row>
    <row r="998" spans="5:7">
      <c r="E998" s="1525" t="s">
        <v>4477</v>
      </c>
      <c r="F998" s="3937" t="s">
        <v>4478</v>
      </c>
      <c r="G998" s="3937"/>
    </row>
    <row r="999" spans="5:7">
      <c r="E999" s="1525" t="s">
        <v>4479</v>
      </c>
      <c r="F999" s="3937" t="s">
        <v>4480</v>
      </c>
      <c r="G999" s="3937"/>
    </row>
    <row r="1000" spans="5:7">
      <c r="E1000" s="1525" t="s">
        <v>4481</v>
      </c>
      <c r="F1000" s="3937" t="s">
        <v>4482</v>
      </c>
      <c r="G1000" s="3937"/>
    </row>
    <row r="1001" spans="5:7">
      <c r="E1001" s="1525" t="s">
        <v>4483</v>
      </c>
      <c r="F1001" s="3937" t="s">
        <v>4484</v>
      </c>
      <c r="G1001" s="3937"/>
    </row>
    <row r="1002" spans="5:7">
      <c r="E1002" s="1525" t="s">
        <v>4485</v>
      </c>
      <c r="F1002" s="3937" t="s">
        <v>4486</v>
      </c>
      <c r="G1002" s="3937"/>
    </row>
    <row r="1003" spans="5:7">
      <c r="E1003" s="1525" t="s">
        <v>4487</v>
      </c>
      <c r="F1003" s="3937" t="s">
        <v>4488</v>
      </c>
      <c r="G1003" s="3937"/>
    </row>
    <row r="1004" spans="5:7">
      <c r="E1004" s="1525" t="s">
        <v>4489</v>
      </c>
      <c r="F1004" s="3937" t="s">
        <v>4490</v>
      </c>
      <c r="G1004" s="3937"/>
    </row>
    <row r="1005" spans="5:7">
      <c r="E1005" s="1525" t="s">
        <v>4491</v>
      </c>
      <c r="F1005" s="3937" t="s">
        <v>4492</v>
      </c>
      <c r="G1005" s="3937"/>
    </row>
    <row r="1006" spans="5:7">
      <c r="E1006" s="1525" t="s">
        <v>4493</v>
      </c>
      <c r="F1006" s="3937" t="s">
        <v>4494</v>
      </c>
      <c r="G1006" s="3937"/>
    </row>
    <row r="1007" spans="5:7">
      <c r="E1007" s="1525" t="s">
        <v>4495</v>
      </c>
      <c r="F1007" s="3937" t="s">
        <v>4496</v>
      </c>
      <c r="G1007" s="3937"/>
    </row>
    <row r="1008" spans="5:7">
      <c r="E1008" s="1525" t="s">
        <v>4497</v>
      </c>
      <c r="F1008" s="3937" t="s">
        <v>4498</v>
      </c>
      <c r="G1008" s="3937"/>
    </row>
    <row r="1009" spans="5:7">
      <c r="E1009" s="1525" t="s">
        <v>4499</v>
      </c>
      <c r="F1009" s="3937" t="s">
        <v>4500</v>
      </c>
      <c r="G1009" s="3937"/>
    </row>
    <row r="1010" spans="5:7">
      <c r="E1010" s="1525" t="s">
        <v>4501</v>
      </c>
      <c r="F1010" s="3937" t="s">
        <v>4502</v>
      </c>
      <c r="G1010" s="3937"/>
    </row>
    <row r="1011" spans="5:7">
      <c r="E1011" s="1525" t="s">
        <v>4503</v>
      </c>
      <c r="F1011" s="3937" t="s">
        <v>4504</v>
      </c>
      <c r="G1011" s="3937"/>
    </row>
    <row r="1012" spans="5:7">
      <c r="E1012" s="1525" t="s">
        <v>4505</v>
      </c>
      <c r="F1012" s="3937" t="s">
        <v>4506</v>
      </c>
      <c r="G1012" s="3937"/>
    </row>
    <row r="1013" spans="5:7">
      <c r="E1013" s="1525" t="s">
        <v>4507</v>
      </c>
      <c r="F1013" s="3937" t="s">
        <v>4508</v>
      </c>
      <c r="G1013" s="3937"/>
    </row>
    <row r="1014" spans="5:7">
      <c r="E1014" s="1525" t="s">
        <v>4509</v>
      </c>
      <c r="F1014" s="3937" t="s">
        <v>4510</v>
      </c>
      <c r="G1014" s="3937"/>
    </row>
    <row r="1015" spans="5:7">
      <c r="E1015" s="1525" t="s">
        <v>4511</v>
      </c>
      <c r="F1015" s="3937" t="s">
        <v>4512</v>
      </c>
      <c r="G1015" s="3937"/>
    </row>
    <row r="1016" spans="5:7">
      <c r="E1016" s="1525" t="s">
        <v>4513</v>
      </c>
      <c r="F1016" s="3937" t="s">
        <v>4514</v>
      </c>
      <c r="G1016" s="3937"/>
    </row>
    <row r="1017" spans="5:7">
      <c r="E1017" s="1525" t="s">
        <v>4515</v>
      </c>
      <c r="F1017" s="3937" t="s">
        <v>4516</v>
      </c>
      <c r="G1017" s="3937"/>
    </row>
    <row r="1018" spans="5:7">
      <c r="E1018" s="1525" t="s">
        <v>4517</v>
      </c>
      <c r="F1018" s="3937" t="s">
        <v>4518</v>
      </c>
      <c r="G1018" s="3937"/>
    </row>
    <row r="1019" spans="5:7">
      <c r="E1019" s="1525" t="s">
        <v>4519</v>
      </c>
      <c r="F1019" s="3937" t="s">
        <v>4520</v>
      </c>
      <c r="G1019" s="3937"/>
    </row>
    <row r="1020" spans="5:7">
      <c r="E1020" s="1525" t="s">
        <v>4521</v>
      </c>
      <c r="F1020" s="3937" t="s">
        <v>4522</v>
      </c>
      <c r="G1020" s="3937"/>
    </row>
    <row r="1021" spans="5:7">
      <c r="E1021" s="1525" t="s">
        <v>4523</v>
      </c>
      <c r="F1021" s="3937" t="s">
        <v>4524</v>
      </c>
      <c r="G1021" s="3937"/>
    </row>
    <row r="1022" spans="5:7">
      <c r="E1022" s="1525" t="s">
        <v>4525</v>
      </c>
      <c r="F1022" s="3937" t="s">
        <v>4526</v>
      </c>
      <c r="G1022" s="3937"/>
    </row>
    <row r="1023" spans="5:7">
      <c r="E1023" s="1525" t="s">
        <v>4527</v>
      </c>
      <c r="F1023" s="3937" t="s">
        <v>4528</v>
      </c>
      <c r="G1023" s="3937"/>
    </row>
    <row r="1024" spans="5:7">
      <c r="E1024" s="1525" t="s">
        <v>4529</v>
      </c>
      <c r="F1024" s="3937" t="s">
        <v>4530</v>
      </c>
      <c r="G1024" s="3937"/>
    </row>
    <row r="1025" spans="5:7">
      <c r="E1025" s="1525" t="s">
        <v>4531</v>
      </c>
      <c r="F1025" s="3937" t="s">
        <v>4532</v>
      </c>
      <c r="G1025" s="3937"/>
    </row>
    <row r="1026" spans="5:7">
      <c r="E1026" s="1525" t="s">
        <v>4533</v>
      </c>
      <c r="F1026" s="3937" t="s">
        <v>4534</v>
      </c>
      <c r="G1026" s="3937"/>
    </row>
    <row r="1027" spans="5:7">
      <c r="E1027" s="1525" t="s">
        <v>4535</v>
      </c>
      <c r="F1027" s="3937" t="s">
        <v>4536</v>
      </c>
      <c r="G1027" s="3937"/>
    </row>
    <row r="1028" spans="5:7">
      <c r="E1028" s="1525" t="s">
        <v>4537</v>
      </c>
      <c r="F1028" s="3937" t="s">
        <v>4538</v>
      </c>
      <c r="G1028" s="3937"/>
    </row>
    <row r="1029" spans="5:7">
      <c r="E1029" s="1525" t="s">
        <v>4539</v>
      </c>
      <c r="F1029" s="3937" t="s">
        <v>4540</v>
      </c>
      <c r="G1029" s="3937"/>
    </row>
    <row r="1030" spans="5:7">
      <c r="E1030" s="1525" t="s">
        <v>4541</v>
      </c>
      <c r="F1030" s="3937" t="s">
        <v>4542</v>
      </c>
      <c r="G1030" s="3937"/>
    </row>
    <row r="1031" spans="5:7">
      <c r="E1031" s="1525" t="s">
        <v>4543</v>
      </c>
      <c r="F1031" s="3937" t="s">
        <v>4544</v>
      </c>
      <c r="G1031" s="3937"/>
    </row>
    <row r="1032" spans="5:7">
      <c r="E1032" s="1525" t="s">
        <v>4545</v>
      </c>
      <c r="F1032" s="3937" t="s">
        <v>4546</v>
      </c>
      <c r="G1032" s="3937"/>
    </row>
    <row r="1033" spans="5:7">
      <c r="E1033" s="1525" t="s">
        <v>4547</v>
      </c>
      <c r="F1033" s="3937" t="s">
        <v>4548</v>
      </c>
      <c r="G1033" s="3937"/>
    </row>
    <row r="1034" spans="5:7">
      <c r="E1034" s="1525" t="s">
        <v>4549</v>
      </c>
      <c r="F1034" s="3937" t="s">
        <v>4550</v>
      </c>
      <c r="G1034" s="3937"/>
    </row>
    <row r="1035" spans="5:7">
      <c r="E1035" s="1525" t="s">
        <v>4551</v>
      </c>
      <c r="F1035" s="3937" t="s">
        <v>4552</v>
      </c>
      <c r="G1035" s="3937"/>
    </row>
    <row r="1036" spans="5:7">
      <c r="E1036" s="1525" t="s">
        <v>4553</v>
      </c>
      <c r="F1036" s="3937" t="s">
        <v>4554</v>
      </c>
      <c r="G1036" s="3937"/>
    </row>
    <row r="1037" spans="5:7">
      <c r="E1037" s="1525" t="s">
        <v>4555</v>
      </c>
      <c r="F1037" s="3937" t="s">
        <v>4556</v>
      </c>
      <c r="G1037" s="3937"/>
    </row>
    <row r="1038" spans="5:7">
      <c r="E1038" s="1525" t="s">
        <v>4557</v>
      </c>
      <c r="F1038" s="3937" t="s">
        <v>4558</v>
      </c>
      <c r="G1038" s="3937"/>
    </row>
    <row r="1039" spans="5:7">
      <c r="E1039" s="1525" t="s">
        <v>4559</v>
      </c>
      <c r="F1039" s="3937" t="s">
        <v>4560</v>
      </c>
      <c r="G1039" s="3937"/>
    </row>
    <row r="1040" spans="5:7">
      <c r="E1040" s="1525" t="s">
        <v>4561</v>
      </c>
      <c r="F1040" s="3937" t="s">
        <v>4562</v>
      </c>
      <c r="G1040" s="3937"/>
    </row>
    <row r="1041" spans="5:7">
      <c r="E1041" s="1525" t="s">
        <v>4563</v>
      </c>
      <c r="F1041" s="3937" t="s">
        <v>4564</v>
      </c>
      <c r="G1041" s="3937"/>
    </row>
    <row r="1042" spans="5:7">
      <c r="E1042" s="1525" t="s">
        <v>4565</v>
      </c>
      <c r="F1042" s="3937" t="s">
        <v>4566</v>
      </c>
      <c r="G1042" s="3937"/>
    </row>
    <row r="1043" spans="5:7">
      <c r="E1043" s="1525" t="s">
        <v>4567</v>
      </c>
      <c r="F1043" s="3937" t="s">
        <v>4568</v>
      </c>
      <c r="G1043" s="3937"/>
    </row>
    <row r="1044" spans="5:7">
      <c r="E1044" s="1525" t="s">
        <v>4569</v>
      </c>
      <c r="F1044" s="3937" t="s">
        <v>4570</v>
      </c>
      <c r="G1044" s="3937"/>
    </row>
    <row r="1045" spans="5:7">
      <c r="E1045" s="1525" t="s">
        <v>4571</v>
      </c>
      <c r="F1045" s="3937" t="s">
        <v>4572</v>
      </c>
      <c r="G1045" s="3937"/>
    </row>
    <row r="1046" spans="5:7">
      <c r="E1046" s="1525" t="s">
        <v>4573</v>
      </c>
      <c r="F1046" s="3937" t="s">
        <v>4574</v>
      </c>
      <c r="G1046" s="3937"/>
    </row>
    <row r="1047" spans="5:7">
      <c r="E1047" s="1525" t="s">
        <v>4575</v>
      </c>
      <c r="F1047" s="3937" t="s">
        <v>4576</v>
      </c>
      <c r="G1047" s="3937"/>
    </row>
    <row r="1048" spans="5:7">
      <c r="E1048" s="1525" t="s">
        <v>4577</v>
      </c>
      <c r="F1048" s="3937" t="s">
        <v>4578</v>
      </c>
      <c r="G1048" s="3937"/>
    </row>
    <row r="1049" spans="5:7">
      <c r="E1049" s="1525" t="s">
        <v>4579</v>
      </c>
      <c r="F1049" s="3937" t="s">
        <v>4580</v>
      </c>
      <c r="G1049" s="3937"/>
    </row>
    <row r="1050" spans="5:7">
      <c r="E1050" s="1525" t="s">
        <v>4581</v>
      </c>
      <c r="F1050" s="3937" t="s">
        <v>4582</v>
      </c>
      <c r="G1050" s="3937"/>
    </row>
    <row r="1051" spans="5:7">
      <c r="E1051" s="1525" t="s">
        <v>4583</v>
      </c>
      <c r="F1051" s="3937" t="s">
        <v>4584</v>
      </c>
      <c r="G1051" s="3937"/>
    </row>
    <row r="1052" spans="5:7">
      <c r="E1052" s="1525" t="s">
        <v>4585</v>
      </c>
      <c r="F1052" s="3937" t="s">
        <v>4586</v>
      </c>
      <c r="G1052" s="3937"/>
    </row>
    <row r="1053" spans="5:7">
      <c r="E1053" s="1525" t="s">
        <v>4587</v>
      </c>
      <c r="F1053" s="3937" t="s">
        <v>4588</v>
      </c>
      <c r="G1053" s="3937"/>
    </row>
    <row r="1054" spans="5:7">
      <c r="E1054" s="1525" t="s">
        <v>4589</v>
      </c>
      <c r="F1054" s="3937" t="s">
        <v>4590</v>
      </c>
      <c r="G1054" s="3937"/>
    </row>
    <row r="1055" spans="5:7">
      <c r="E1055" s="1525" t="s">
        <v>4591</v>
      </c>
      <c r="F1055" s="3937" t="s">
        <v>4592</v>
      </c>
      <c r="G1055" s="3937"/>
    </row>
    <row r="1056" spans="5:7">
      <c r="E1056" s="1525" t="s">
        <v>4593</v>
      </c>
      <c r="F1056" s="3937" t="s">
        <v>4594</v>
      </c>
      <c r="G1056" s="3937"/>
    </row>
    <row r="1057" spans="5:7">
      <c r="E1057" s="1525" t="s">
        <v>4595</v>
      </c>
      <c r="F1057" s="3937" t="s">
        <v>4596</v>
      </c>
      <c r="G1057" s="3937"/>
    </row>
    <row r="1058" spans="5:7">
      <c r="E1058" s="1525" t="s">
        <v>4597</v>
      </c>
      <c r="F1058" s="3937" t="s">
        <v>4598</v>
      </c>
      <c r="G1058" s="3937"/>
    </row>
    <row r="1059" spans="5:7">
      <c r="E1059" s="1525" t="s">
        <v>4599</v>
      </c>
      <c r="F1059" s="3937" t="s">
        <v>4600</v>
      </c>
      <c r="G1059" s="3937"/>
    </row>
    <row r="1060" spans="5:7">
      <c r="E1060" s="1525" t="s">
        <v>4601</v>
      </c>
      <c r="F1060" s="3937" t="s">
        <v>4602</v>
      </c>
      <c r="G1060" s="3937"/>
    </row>
    <row r="1061" spans="5:7">
      <c r="E1061" s="1525" t="s">
        <v>4603</v>
      </c>
      <c r="F1061" s="3937" t="s">
        <v>4604</v>
      </c>
      <c r="G1061" s="3937"/>
    </row>
    <row r="1062" spans="5:7">
      <c r="E1062" s="1525" t="s">
        <v>4605</v>
      </c>
      <c r="F1062" s="3937" t="s">
        <v>4606</v>
      </c>
      <c r="G1062" s="3937"/>
    </row>
    <row r="1063" spans="5:7">
      <c r="E1063" s="1525" t="s">
        <v>4607</v>
      </c>
      <c r="F1063" s="3937" t="s">
        <v>4608</v>
      </c>
      <c r="G1063" s="3937"/>
    </row>
    <row r="1064" spans="5:7">
      <c r="E1064" s="1525" t="s">
        <v>4609</v>
      </c>
      <c r="F1064" s="3937" t="s">
        <v>4610</v>
      </c>
      <c r="G1064" s="3937"/>
    </row>
    <row r="1065" spans="5:7">
      <c r="E1065" s="1525" t="s">
        <v>4611</v>
      </c>
      <c r="F1065" s="3937" t="s">
        <v>4612</v>
      </c>
      <c r="G1065" s="3937"/>
    </row>
    <row r="1066" spans="5:7">
      <c r="E1066" s="1525" t="s">
        <v>4613</v>
      </c>
      <c r="F1066" s="3937" t="s">
        <v>4614</v>
      </c>
      <c r="G1066" s="3937"/>
    </row>
    <row r="1067" spans="5:7">
      <c r="E1067" s="1525" t="s">
        <v>4615</v>
      </c>
      <c r="F1067" s="3937" t="s">
        <v>4616</v>
      </c>
      <c r="G1067" s="3937"/>
    </row>
    <row r="1068" spans="5:7">
      <c r="E1068" s="1525" t="s">
        <v>4617</v>
      </c>
      <c r="F1068" s="3937" t="s">
        <v>4618</v>
      </c>
      <c r="G1068" s="3937"/>
    </row>
    <row r="1069" spans="5:7">
      <c r="E1069" s="1525" t="s">
        <v>4619</v>
      </c>
      <c r="F1069" s="3937" t="s">
        <v>4620</v>
      </c>
      <c r="G1069" s="3937"/>
    </row>
    <row r="1070" spans="5:7">
      <c r="E1070" s="1525" t="s">
        <v>4621</v>
      </c>
      <c r="F1070" s="3937" t="s">
        <v>4622</v>
      </c>
      <c r="G1070" s="3937"/>
    </row>
    <row r="1071" spans="5:7">
      <c r="E1071" s="1525" t="s">
        <v>4623</v>
      </c>
      <c r="F1071" s="3937" t="s">
        <v>4624</v>
      </c>
      <c r="G1071" s="3937"/>
    </row>
    <row r="1072" spans="5:7">
      <c r="E1072" s="1525" t="s">
        <v>4625</v>
      </c>
      <c r="F1072" s="3937" t="s">
        <v>4626</v>
      </c>
      <c r="G1072" s="3937"/>
    </row>
    <row r="1073" spans="5:7">
      <c r="E1073" s="1525" t="s">
        <v>4627</v>
      </c>
      <c r="F1073" s="3937" t="s">
        <v>4628</v>
      </c>
      <c r="G1073" s="3937"/>
    </row>
    <row r="1074" spans="5:7">
      <c r="E1074" s="1525" t="s">
        <v>4629</v>
      </c>
      <c r="F1074" s="3937" t="s">
        <v>4630</v>
      </c>
      <c r="G1074" s="3937"/>
    </row>
    <row r="1075" spans="5:7">
      <c r="E1075" s="1525" t="s">
        <v>4631</v>
      </c>
      <c r="F1075" s="3937" t="s">
        <v>4632</v>
      </c>
      <c r="G1075" s="3937"/>
    </row>
    <row r="1076" spans="5:7">
      <c r="E1076" s="1525" t="s">
        <v>4633</v>
      </c>
      <c r="F1076" s="3937" t="s">
        <v>4634</v>
      </c>
      <c r="G1076" s="3937"/>
    </row>
    <row r="1077" spans="5:7">
      <c r="E1077" s="1525" t="s">
        <v>4635</v>
      </c>
      <c r="F1077" s="3937" t="s">
        <v>4636</v>
      </c>
      <c r="G1077" s="3937"/>
    </row>
    <row r="1078" spans="5:7">
      <c r="E1078" s="1525" t="s">
        <v>4637</v>
      </c>
      <c r="F1078" s="3937" t="s">
        <v>4638</v>
      </c>
      <c r="G1078" s="3937"/>
    </row>
    <row r="1079" spans="5:7">
      <c r="E1079" s="1525" t="s">
        <v>4639</v>
      </c>
      <c r="F1079" s="3937" t="s">
        <v>4640</v>
      </c>
      <c r="G1079" s="3937"/>
    </row>
    <row r="1080" spans="5:7">
      <c r="E1080" s="1525" t="s">
        <v>4641</v>
      </c>
      <c r="F1080" s="3937" t="s">
        <v>4642</v>
      </c>
      <c r="G1080" s="3937"/>
    </row>
    <row r="1081" spans="5:7">
      <c r="E1081" s="1525" t="s">
        <v>4643</v>
      </c>
      <c r="F1081" s="3937" t="s">
        <v>4644</v>
      </c>
      <c r="G1081" s="3937"/>
    </row>
    <row r="1082" spans="5:7">
      <c r="E1082" s="1525" t="s">
        <v>4645</v>
      </c>
      <c r="F1082" s="3937" t="s">
        <v>4646</v>
      </c>
      <c r="G1082" s="3937"/>
    </row>
    <row r="1083" spans="5:7">
      <c r="E1083" s="1525" t="s">
        <v>4647</v>
      </c>
      <c r="F1083" s="3937" t="s">
        <v>4648</v>
      </c>
      <c r="G1083" s="3937"/>
    </row>
    <row r="1084" spans="5:7">
      <c r="E1084" s="1525" t="s">
        <v>4649</v>
      </c>
      <c r="F1084" s="3937" t="s">
        <v>4650</v>
      </c>
      <c r="G1084" s="3937"/>
    </row>
    <row r="1085" spans="5:7">
      <c r="E1085" s="1525" t="s">
        <v>4651</v>
      </c>
      <c r="F1085" s="3937" t="s">
        <v>4652</v>
      </c>
      <c r="G1085" s="3937"/>
    </row>
    <row r="1086" spans="5:7">
      <c r="E1086" s="1525" t="s">
        <v>4653</v>
      </c>
      <c r="F1086" s="3937" t="s">
        <v>4654</v>
      </c>
      <c r="G1086" s="3937"/>
    </row>
    <row r="1087" spans="5:7">
      <c r="E1087" s="1525" t="s">
        <v>4655</v>
      </c>
      <c r="F1087" s="3937" t="s">
        <v>4656</v>
      </c>
      <c r="G1087" s="3937"/>
    </row>
    <row r="1088" spans="5:7">
      <c r="E1088" s="1525" t="s">
        <v>4657</v>
      </c>
      <c r="F1088" s="3937" t="s">
        <v>4658</v>
      </c>
      <c r="G1088" s="3937"/>
    </row>
    <row r="1089" spans="5:7">
      <c r="E1089" s="1525" t="s">
        <v>4659</v>
      </c>
      <c r="F1089" s="3937" t="s">
        <v>4660</v>
      </c>
      <c r="G1089" s="3937"/>
    </row>
    <row r="1090" spans="5:7">
      <c r="E1090" s="1525" t="s">
        <v>4661</v>
      </c>
      <c r="F1090" s="3937" t="s">
        <v>4662</v>
      </c>
      <c r="G1090" s="3937"/>
    </row>
    <row r="1091" spans="5:7">
      <c r="E1091" s="1525" t="s">
        <v>4663</v>
      </c>
      <c r="F1091" s="3937" t="s">
        <v>4664</v>
      </c>
      <c r="G1091" s="3937"/>
    </row>
    <row r="1092" spans="5:7">
      <c r="E1092" s="1525" t="s">
        <v>4665</v>
      </c>
      <c r="F1092" s="3937" t="s">
        <v>4666</v>
      </c>
      <c r="G1092" s="3937"/>
    </row>
    <row r="1093" spans="5:7">
      <c r="E1093" s="1525" t="s">
        <v>4667</v>
      </c>
      <c r="F1093" s="3937" t="s">
        <v>4668</v>
      </c>
      <c r="G1093" s="3937"/>
    </row>
    <row r="1094" spans="5:7">
      <c r="E1094" s="1525" t="s">
        <v>4669</v>
      </c>
      <c r="F1094" s="3937" t="s">
        <v>4670</v>
      </c>
      <c r="G1094" s="3937"/>
    </row>
    <row r="1095" spans="5:7">
      <c r="E1095" s="1525" t="s">
        <v>4671</v>
      </c>
      <c r="F1095" s="3937" t="s">
        <v>4672</v>
      </c>
      <c r="G1095" s="3937"/>
    </row>
    <row r="1096" spans="5:7">
      <c r="E1096" s="1525" t="s">
        <v>4673</v>
      </c>
      <c r="F1096" s="3937" t="s">
        <v>4674</v>
      </c>
      <c r="G1096" s="3937"/>
    </row>
    <row r="1097" spans="5:7">
      <c r="E1097" s="1525" t="s">
        <v>4675</v>
      </c>
      <c r="F1097" s="3937" t="s">
        <v>4676</v>
      </c>
      <c r="G1097" s="3937"/>
    </row>
    <row r="1098" spans="5:7">
      <c r="E1098" s="1525" t="s">
        <v>4677</v>
      </c>
      <c r="F1098" s="3937" t="s">
        <v>4678</v>
      </c>
      <c r="G1098" s="3937"/>
    </row>
    <row r="1099" spans="5:7">
      <c r="E1099" s="1525" t="s">
        <v>4679</v>
      </c>
      <c r="F1099" s="3937" t="s">
        <v>4680</v>
      </c>
      <c r="G1099" s="3937"/>
    </row>
    <row r="1100" spans="5:7">
      <c r="E1100" s="1525" t="s">
        <v>4681</v>
      </c>
      <c r="F1100" s="3937" t="s">
        <v>4682</v>
      </c>
      <c r="G1100" s="3937"/>
    </row>
    <row r="1101" spans="5:7">
      <c r="E1101" s="1525" t="s">
        <v>4683</v>
      </c>
      <c r="F1101" s="3937" t="s">
        <v>4684</v>
      </c>
      <c r="G1101" s="3937"/>
    </row>
    <row r="1102" spans="5:7">
      <c r="E1102" s="1525" t="s">
        <v>4685</v>
      </c>
      <c r="F1102" s="3937" t="s">
        <v>4686</v>
      </c>
      <c r="G1102" s="3937"/>
    </row>
    <row r="1103" spans="5:7">
      <c r="E1103" s="1525" t="s">
        <v>4687</v>
      </c>
      <c r="F1103" s="3937" t="s">
        <v>4688</v>
      </c>
      <c r="G1103" s="3937"/>
    </row>
    <row r="1104" spans="5:7">
      <c r="E1104" s="1525" t="s">
        <v>4689</v>
      </c>
      <c r="F1104" s="3937" t="s">
        <v>4690</v>
      </c>
      <c r="G1104" s="3937"/>
    </row>
    <row r="1105" spans="5:7">
      <c r="E1105" s="1525" t="s">
        <v>4691</v>
      </c>
      <c r="F1105" s="3937" t="s">
        <v>4692</v>
      </c>
      <c r="G1105" s="3937"/>
    </row>
    <row r="1106" spans="5:7">
      <c r="E1106" s="1525" t="s">
        <v>4693</v>
      </c>
      <c r="F1106" s="3937" t="s">
        <v>4694</v>
      </c>
      <c r="G1106" s="3937"/>
    </row>
    <row r="1107" spans="5:7">
      <c r="E1107" s="1525" t="s">
        <v>4695</v>
      </c>
      <c r="F1107" s="3937" t="s">
        <v>4696</v>
      </c>
      <c r="G1107" s="3937"/>
    </row>
    <row r="1108" spans="5:7">
      <c r="E1108" s="1525" t="s">
        <v>4697</v>
      </c>
      <c r="F1108" s="3937" t="s">
        <v>4698</v>
      </c>
      <c r="G1108" s="3937"/>
    </row>
    <row r="1109" spans="5:7">
      <c r="E1109" s="1525" t="s">
        <v>4699</v>
      </c>
      <c r="F1109" s="3937" t="s">
        <v>4700</v>
      </c>
      <c r="G1109" s="3937"/>
    </row>
    <row r="1110" spans="5:7">
      <c r="E1110" s="1525" t="s">
        <v>4701</v>
      </c>
      <c r="F1110" s="3937" t="s">
        <v>4702</v>
      </c>
      <c r="G1110" s="3937"/>
    </row>
    <row r="1111" spans="5:7">
      <c r="E1111" s="1525" t="s">
        <v>4703</v>
      </c>
      <c r="F1111" s="3937" t="s">
        <v>4704</v>
      </c>
      <c r="G1111" s="3937"/>
    </row>
    <row r="1112" spans="5:7">
      <c r="E1112" s="1525" t="s">
        <v>4705</v>
      </c>
      <c r="F1112" s="3937" t="s">
        <v>4706</v>
      </c>
      <c r="G1112" s="3937"/>
    </row>
    <row r="1113" spans="5:7">
      <c r="E1113" s="1525" t="s">
        <v>4707</v>
      </c>
      <c r="F1113" s="3937" t="s">
        <v>4708</v>
      </c>
      <c r="G1113" s="3937"/>
    </row>
    <row r="1114" spans="5:7">
      <c r="E1114" s="1525" t="s">
        <v>4709</v>
      </c>
      <c r="F1114" s="3937" t="s">
        <v>4710</v>
      </c>
      <c r="G1114" s="3937"/>
    </row>
    <row r="1115" spans="5:7">
      <c r="E1115" s="1525" t="s">
        <v>4711</v>
      </c>
      <c r="F1115" s="3937" t="s">
        <v>4712</v>
      </c>
      <c r="G1115" s="3937"/>
    </row>
    <row r="1116" spans="5:7">
      <c r="E1116" s="1525" t="s">
        <v>4713</v>
      </c>
      <c r="F1116" s="3937" t="s">
        <v>4714</v>
      </c>
      <c r="G1116" s="3937"/>
    </row>
    <row r="1117" spans="5:7">
      <c r="E1117" s="1525" t="s">
        <v>4715</v>
      </c>
      <c r="F1117" s="3937" t="s">
        <v>4716</v>
      </c>
      <c r="G1117" s="3937"/>
    </row>
    <row r="1118" spans="5:7">
      <c r="E1118" s="1525" t="s">
        <v>4717</v>
      </c>
      <c r="F1118" s="3937" t="s">
        <v>4718</v>
      </c>
      <c r="G1118" s="3937"/>
    </row>
    <row r="1119" spans="5:7">
      <c r="E1119" s="1525" t="s">
        <v>4719</v>
      </c>
      <c r="F1119" s="3937" t="s">
        <v>4720</v>
      </c>
      <c r="G1119" s="3937"/>
    </row>
    <row r="1120" spans="5:7">
      <c r="E1120" s="1525" t="s">
        <v>4721</v>
      </c>
      <c r="F1120" s="3937" t="s">
        <v>4722</v>
      </c>
      <c r="G1120" s="3937"/>
    </row>
    <row r="1121" spans="5:7">
      <c r="E1121" s="1525" t="s">
        <v>4723</v>
      </c>
      <c r="F1121" s="3937" t="s">
        <v>4724</v>
      </c>
      <c r="G1121" s="3937"/>
    </row>
    <row r="1122" spans="5:7">
      <c r="E1122" s="1525" t="s">
        <v>4725</v>
      </c>
      <c r="F1122" s="3937" t="s">
        <v>4726</v>
      </c>
      <c r="G1122" s="3937"/>
    </row>
    <row r="1123" spans="5:7">
      <c r="E1123" s="1525" t="s">
        <v>4727</v>
      </c>
      <c r="F1123" s="3937" t="s">
        <v>4728</v>
      </c>
      <c r="G1123" s="3937"/>
    </row>
    <row r="1124" spans="5:7">
      <c r="E1124" s="1525" t="s">
        <v>4729</v>
      </c>
      <c r="F1124" s="3937" t="s">
        <v>4730</v>
      </c>
      <c r="G1124" s="3937"/>
    </row>
    <row r="1125" spans="5:7">
      <c r="E1125" s="1525" t="s">
        <v>4731</v>
      </c>
      <c r="F1125" s="3937" t="s">
        <v>4732</v>
      </c>
      <c r="G1125" s="3937"/>
    </row>
    <row r="1126" spans="5:7">
      <c r="E1126" s="1525" t="s">
        <v>4733</v>
      </c>
      <c r="F1126" s="3937" t="s">
        <v>4734</v>
      </c>
      <c r="G1126" s="3937"/>
    </row>
    <row r="1127" spans="5:7">
      <c r="E1127" s="1525" t="s">
        <v>4735</v>
      </c>
      <c r="F1127" s="3937" t="s">
        <v>4736</v>
      </c>
      <c r="G1127" s="3937"/>
    </row>
    <row r="1128" spans="5:7">
      <c r="E1128" s="1525" t="s">
        <v>4737</v>
      </c>
      <c r="F1128" s="3937" t="s">
        <v>4738</v>
      </c>
      <c r="G1128" s="3937"/>
    </row>
    <row r="1129" spans="5:7">
      <c r="E1129" s="1525" t="s">
        <v>4739</v>
      </c>
      <c r="F1129" s="3937" t="s">
        <v>4740</v>
      </c>
      <c r="G1129" s="3937"/>
    </row>
    <row r="1130" spans="5:7">
      <c r="E1130" s="1525" t="s">
        <v>4741</v>
      </c>
      <c r="F1130" s="3937" t="s">
        <v>4742</v>
      </c>
      <c r="G1130" s="3937"/>
    </row>
    <row r="1131" spans="5:7">
      <c r="E1131" s="1525" t="s">
        <v>4743</v>
      </c>
      <c r="F1131" s="3937" t="s">
        <v>4744</v>
      </c>
      <c r="G1131" s="3937"/>
    </row>
    <row r="1132" spans="5:7">
      <c r="E1132" s="1525" t="s">
        <v>4745</v>
      </c>
      <c r="F1132" s="3937" t="s">
        <v>4746</v>
      </c>
      <c r="G1132" s="3937"/>
    </row>
    <row r="1133" spans="5:7">
      <c r="E1133" s="1525" t="s">
        <v>4747</v>
      </c>
      <c r="F1133" s="3937" t="s">
        <v>4748</v>
      </c>
      <c r="G1133" s="3937"/>
    </row>
    <row r="1134" spans="5:7">
      <c r="E1134" s="1525" t="s">
        <v>4749</v>
      </c>
      <c r="F1134" s="3937" t="s">
        <v>4750</v>
      </c>
      <c r="G1134" s="3937"/>
    </row>
    <row r="1135" spans="5:7">
      <c r="E1135" s="1525" t="s">
        <v>4751</v>
      </c>
      <c r="F1135" s="3937" t="s">
        <v>4752</v>
      </c>
      <c r="G1135" s="3937"/>
    </row>
    <row r="1136" spans="5:7">
      <c r="E1136" s="1525" t="s">
        <v>4753</v>
      </c>
      <c r="F1136" s="3937" t="s">
        <v>4754</v>
      </c>
      <c r="G1136" s="3937"/>
    </row>
    <row r="1137" spans="5:7">
      <c r="E1137" s="1525" t="s">
        <v>4755</v>
      </c>
      <c r="F1137" s="3937" t="s">
        <v>4756</v>
      </c>
      <c r="G1137" s="3937"/>
    </row>
    <row r="1138" spans="5:7">
      <c r="E1138" s="1525" t="s">
        <v>4757</v>
      </c>
      <c r="F1138" s="3937" t="s">
        <v>4758</v>
      </c>
      <c r="G1138" s="3937"/>
    </row>
    <row r="1139" spans="5:7">
      <c r="E1139" s="1525" t="s">
        <v>4759</v>
      </c>
      <c r="F1139" s="3937" t="s">
        <v>4760</v>
      </c>
      <c r="G1139" s="3937"/>
    </row>
    <row r="1140" spans="5:7">
      <c r="E1140" s="1525" t="s">
        <v>4761</v>
      </c>
      <c r="F1140" s="3937" t="s">
        <v>4762</v>
      </c>
      <c r="G1140" s="3937"/>
    </row>
    <row r="1141" spans="5:7">
      <c r="E1141" s="1525" t="s">
        <v>4763</v>
      </c>
      <c r="F1141" s="3937" t="s">
        <v>4764</v>
      </c>
      <c r="G1141" s="3937"/>
    </row>
    <row r="1142" spans="5:7">
      <c r="E1142" s="1525" t="s">
        <v>4765</v>
      </c>
      <c r="F1142" s="3937" t="s">
        <v>4766</v>
      </c>
      <c r="G1142" s="3937"/>
    </row>
    <row r="1143" spans="5:7">
      <c r="E1143" s="1525" t="s">
        <v>4767</v>
      </c>
      <c r="F1143" s="3937" t="s">
        <v>4768</v>
      </c>
      <c r="G1143" s="3937"/>
    </row>
    <row r="1144" spans="5:7">
      <c r="E1144" s="1525" t="s">
        <v>4769</v>
      </c>
      <c r="F1144" s="3937" t="s">
        <v>4770</v>
      </c>
      <c r="G1144" s="3937"/>
    </row>
    <row r="1145" spans="5:7">
      <c r="E1145" s="1525" t="s">
        <v>4771</v>
      </c>
      <c r="F1145" s="3937" t="s">
        <v>4772</v>
      </c>
      <c r="G1145" s="3937"/>
    </row>
    <row r="1146" spans="5:7">
      <c r="E1146" s="1525" t="s">
        <v>4773</v>
      </c>
      <c r="F1146" s="3937" t="s">
        <v>4774</v>
      </c>
      <c r="G1146" s="3937"/>
    </row>
    <row r="1147" spans="5:7">
      <c r="E1147" s="1525" t="s">
        <v>4775</v>
      </c>
      <c r="F1147" s="3937" t="s">
        <v>4776</v>
      </c>
      <c r="G1147" s="3937"/>
    </row>
    <row r="1148" spans="5:7">
      <c r="E1148" s="1525" t="s">
        <v>4777</v>
      </c>
      <c r="F1148" s="3937" t="s">
        <v>4778</v>
      </c>
      <c r="G1148" s="3937"/>
    </row>
    <row r="1149" spans="5:7">
      <c r="E1149" s="1525" t="s">
        <v>4779</v>
      </c>
      <c r="F1149" s="3937" t="s">
        <v>4780</v>
      </c>
      <c r="G1149" s="3937"/>
    </row>
    <row r="1150" spans="5:7">
      <c r="E1150" s="1525" t="s">
        <v>4781</v>
      </c>
      <c r="F1150" s="3937" t="s">
        <v>4782</v>
      </c>
      <c r="G1150" s="3937"/>
    </row>
    <row r="1151" spans="5:7">
      <c r="E1151" s="1525" t="s">
        <v>4783</v>
      </c>
      <c r="F1151" s="3937" t="s">
        <v>4784</v>
      </c>
      <c r="G1151" s="3937"/>
    </row>
    <row r="1152" spans="5:7">
      <c r="E1152" s="1525" t="s">
        <v>4785</v>
      </c>
      <c r="F1152" s="3937" t="s">
        <v>4786</v>
      </c>
      <c r="G1152" s="3937"/>
    </row>
    <row r="1153" spans="5:7">
      <c r="E1153" s="1525" t="s">
        <v>4787</v>
      </c>
      <c r="F1153" s="3937" t="s">
        <v>4788</v>
      </c>
      <c r="G1153" s="3937"/>
    </row>
    <row r="1154" spans="5:7">
      <c r="E1154" s="1525" t="s">
        <v>4789</v>
      </c>
      <c r="F1154" s="3937" t="s">
        <v>4790</v>
      </c>
      <c r="G1154" s="3937"/>
    </row>
    <row r="1155" spans="5:7">
      <c r="E1155" s="1525" t="s">
        <v>4791</v>
      </c>
      <c r="F1155" s="3937" t="s">
        <v>4792</v>
      </c>
      <c r="G1155" s="3937"/>
    </row>
    <row r="1156" spans="5:7">
      <c r="E1156" s="1525" t="s">
        <v>4793</v>
      </c>
      <c r="F1156" s="3937" t="s">
        <v>4794</v>
      </c>
      <c r="G1156" s="3937"/>
    </row>
    <row r="1157" spans="5:7">
      <c r="E1157" s="1525" t="s">
        <v>4795</v>
      </c>
      <c r="F1157" s="3937" t="s">
        <v>4796</v>
      </c>
      <c r="G1157" s="3937"/>
    </row>
    <row r="1158" spans="5:7">
      <c r="E1158" s="1525" t="s">
        <v>4797</v>
      </c>
      <c r="F1158" s="3937" t="s">
        <v>4798</v>
      </c>
      <c r="G1158" s="3937"/>
    </row>
    <row r="1159" spans="5:7">
      <c r="E1159" s="1525" t="s">
        <v>4799</v>
      </c>
      <c r="F1159" s="3937" t="s">
        <v>4800</v>
      </c>
      <c r="G1159" s="3937"/>
    </row>
    <row r="1160" spans="5:7">
      <c r="E1160" s="1525" t="s">
        <v>4801</v>
      </c>
      <c r="F1160" s="3937" t="s">
        <v>4802</v>
      </c>
      <c r="G1160" s="3937"/>
    </row>
    <row r="1161" spans="5:7">
      <c r="E1161" s="1525" t="s">
        <v>4803</v>
      </c>
      <c r="F1161" s="3937" t="s">
        <v>4804</v>
      </c>
      <c r="G1161" s="3937"/>
    </row>
    <row r="1162" spans="5:7">
      <c r="E1162" s="1525" t="s">
        <v>4805</v>
      </c>
      <c r="F1162" s="3937" t="s">
        <v>1797</v>
      </c>
      <c r="G1162" s="3937"/>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F5" sqref="F5"/>
    </sheetView>
  </sheetViews>
  <sheetFormatPr defaultColWidth="20.3984375" defaultRowHeight="22.2"/>
  <cols>
    <col min="1" max="1" width="4.19921875" style="1528" customWidth="1"/>
    <col min="2" max="2" width="5.09765625" style="1531" customWidth="1"/>
    <col min="3" max="3" width="47.09765625" style="1528" customWidth="1"/>
    <col min="4" max="4" width="16.5" style="1528" customWidth="1"/>
    <col min="5" max="5" width="24.3984375" style="1528" customWidth="1"/>
    <col min="6" max="256" width="20.3984375" style="1528"/>
    <col min="257" max="257" width="4.19921875" style="1528" customWidth="1"/>
    <col min="258" max="258" width="5.09765625" style="1528" customWidth="1"/>
    <col min="259" max="259" width="47.09765625" style="1528" customWidth="1"/>
    <col min="260" max="260" width="10.5" style="1528" customWidth="1"/>
    <col min="261" max="261" width="24.3984375" style="1528" customWidth="1"/>
    <col min="262" max="512" width="20.3984375" style="1528"/>
    <col min="513" max="513" width="4.19921875" style="1528" customWidth="1"/>
    <col min="514" max="514" width="5.09765625" style="1528" customWidth="1"/>
    <col min="515" max="515" width="47.09765625" style="1528" customWidth="1"/>
    <col min="516" max="516" width="10.5" style="1528" customWidth="1"/>
    <col min="517" max="517" width="24.3984375" style="1528" customWidth="1"/>
    <col min="518" max="768" width="20.3984375" style="1528"/>
    <col min="769" max="769" width="4.19921875" style="1528" customWidth="1"/>
    <col min="770" max="770" width="5.09765625" style="1528" customWidth="1"/>
    <col min="771" max="771" width="47.09765625" style="1528" customWidth="1"/>
    <col min="772" max="772" width="10.5" style="1528" customWidth="1"/>
    <col min="773" max="773" width="24.3984375" style="1528" customWidth="1"/>
    <col min="774" max="1024" width="20.3984375" style="1528"/>
    <col min="1025" max="1025" width="4.19921875" style="1528" customWidth="1"/>
    <col min="1026" max="1026" width="5.09765625" style="1528" customWidth="1"/>
    <col min="1027" max="1027" width="47.09765625" style="1528" customWidth="1"/>
    <col min="1028" max="1028" width="10.5" style="1528" customWidth="1"/>
    <col min="1029" max="1029" width="24.3984375" style="1528" customWidth="1"/>
    <col min="1030" max="1280" width="20.3984375" style="1528"/>
    <col min="1281" max="1281" width="4.19921875" style="1528" customWidth="1"/>
    <col min="1282" max="1282" width="5.09765625" style="1528" customWidth="1"/>
    <col min="1283" max="1283" width="47.09765625" style="1528" customWidth="1"/>
    <col min="1284" max="1284" width="10.5" style="1528" customWidth="1"/>
    <col min="1285" max="1285" width="24.3984375" style="1528" customWidth="1"/>
    <col min="1286" max="1536" width="20.3984375" style="1528"/>
    <col min="1537" max="1537" width="4.19921875" style="1528" customWidth="1"/>
    <col min="1538" max="1538" width="5.09765625" style="1528" customWidth="1"/>
    <col min="1539" max="1539" width="47.09765625" style="1528" customWidth="1"/>
    <col min="1540" max="1540" width="10.5" style="1528" customWidth="1"/>
    <col min="1541" max="1541" width="24.3984375" style="1528" customWidth="1"/>
    <col min="1542" max="1792" width="20.3984375" style="1528"/>
    <col min="1793" max="1793" width="4.19921875" style="1528" customWidth="1"/>
    <col min="1794" max="1794" width="5.09765625" style="1528" customWidth="1"/>
    <col min="1795" max="1795" width="47.09765625" style="1528" customWidth="1"/>
    <col min="1796" max="1796" width="10.5" style="1528" customWidth="1"/>
    <col min="1797" max="1797" width="24.3984375" style="1528" customWidth="1"/>
    <col min="1798" max="2048" width="20.3984375" style="1528"/>
    <col min="2049" max="2049" width="4.19921875" style="1528" customWidth="1"/>
    <col min="2050" max="2050" width="5.09765625" style="1528" customWidth="1"/>
    <col min="2051" max="2051" width="47.09765625" style="1528" customWidth="1"/>
    <col min="2052" max="2052" width="10.5" style="1528" customWidth="1"/>
    <col min="2053" max="2053" width="24.3984375" style="1528" customWidth="1"/>
    <col min="2054" max="2304" width="20.3984375" style="1528"/>
    <col min="2305" max="2305" width="4.19921875" style="1528" customWidth="1"/>
    <col min="2306" max="2306" width="5.09765625" style="1528" customWidth="1"/>
    <col min="2307" max="2307" width="47.09765625" style="1528" customWidth="1"/>
    <col min="2308" max="2308" width="10.5" style="1528" customWidth="1"/>
    <col min="2309" max="2309" width="24.3984375" style="1528" customWidth="1"/>
    <col min="2310" max="2560" width="20.3984375" style="1528"/>
    <col min="2561" max="2561" width="4.19921875" style="1528" customWidth="1"/>
    <col min="2562" max="2562" width="5.09765625" style="1528" customWidth="1"/>
    <col min="2563" max="2563" width="47.09765625" style="1528" customWidth="1"/>
    <col min="2564" max="2564" width="10.5" style="1528" customWidth="1"/>
    <col min="2565" max="2565" width="24.3984375" style="1528" customWidth="1"/>
    <col min="2566" max="2816" width="20.3984375" style="1528"/>
    <col min="2817" max="2817" width="4.19921875" style="1528" customWidth="1"/>
    <col min="2818" max="2818" width="5.09765625" style="1528" customWidth="1"/>
    <col min="2819" max="2819" width="47.09765625" style="1528" customWidth="1"/>
    <col min="2820" max="2820" width="10.5" style="1528" customWidth="1"/>
    <col min="2821" max="2821" width="24.3984375" style="1528" customWidth="1"/>
    <col min="2822" max="3072" width="20.3984375" style="1528"/>
    <col min="3073" max="3073" width="4.19921875" style="1528" customWidth="1"/>
    <col min="3074" max="3074" width="5.09765625" style="1528" customWidth="1"/>
    <col min="3075" max="3075" width="47.09765625" style="1528" customWidth="1"/>
    <col min="3076" max="3076" width="10.5" style="1528" customWidth="1"/>
    <col min="3077" max="3077" width="24.3984375" style="1528" customWidth="1"/>
    <col min="3078" max="3328" width="20.3984375" style="1528"/>
    <col min="3329" max="3329" width="4.19921875" style="1528" customWidth="1"/>
    <col min="3330" max="3330" width="5.09765625" style="1528" customWidth="1"/>
    <col min="3331" max="3331" width="47.09765625" style="1528" customWidth="1"/>
    <col min="3332" max="3332" width="10.5" style="1528" customWidth="1"/>
    <col min="3333" max="3333" width="24.3984375" style="1528" customWidth="1"/>
    <col min="3334" max="3584" width="20.3984375" style="1528"/>
    <col min="3585" max="3585" width="4.19921875" style="1528" customWidth="1"/>
    <col min="3586" max="3586" width="5.09765625" style="1528" customWidth="1"/>
    <col min="3587" max="3587" width="47.09765625" style="1528" customWidth="1"/>
    <col min="3588" max="3588" width="10.5" style="1528" customWidth="1"/>
    <col min="3589" max="3589" width="24.3984375" style="1528" customWidth="1"/>
    <col min="3590" max="3840" width="20.3984375" style="1528"/>
    <col min="3841" max="3841" width="4.19921875" style="1528" customWidth="1"/>
    <col min="3842" max="3842" width="5.09765625" style="1528" customWidth="1"/>
    <col min="3843" max="3843" width="47.09765625" style="1528" customWidth="1"/>
    <col min="3844" max="3844" width="10.5" style="1528" customWidth="1"/>
    <col min="3845" max="3845" width="24.3984375" style="1528" customWidth="1"/>
    <col min="3846" max="4096" width="20.3984375" style="1528"/>
    <col min="4097" max="4097" width="4.19921875" style="1528" customWidth="1"/>
    <col min="4098" max="4098" width="5.09765625" style="1528" customWidth="1"/>
    <col min="4099" max="4099" width="47.09765625" style="1528" customWidth="1"/>
    <col min="4100" max="4100" width="10.5" style="1528" customWidth="1"/>
    <col min="4101" max="4101" width="24.3984375" style="1528" customWidth="1"/>
    <col min="4102" max="4352" width="20.3984375" style="1528"/>
    <col min="4353" max="4353" width="4.19921875" style="1528" customWidth="1"/>
    <col min="4354" max="4354" width="5.09765625" style="1528" customWidth="1"/>
    <col min="4355" max="4355" width="47.09765625" style="1528" customWidth="1"/>
    <col min="4356" max="4356" width="10.5" style="1528" customWidth="1"/>
    <col min="4357" max="4357" width="24.3984375" style="1528" customWidth="1"/>
    <col min="4358" max="4608" width="20.3984375" style="1528"/>
    <col min="4609" max="4609" width="4.19921875" style="1528" customWidth="1"/>
    <col min="4610" max="4610" width="5.09765625" style="1528" customWidth="1"/>
    <col min="4611" max="4611" width="47.09765625" style="1528" customWidth="1"/>
    <col min="4612" max="4612" width="10.5" style="1528" customWidth="1"/>
    <col min="4613" max="4613" width="24.3984375" style="1528" customWidth="1"/>
    <col min="4614" max="4864" width="20.3984375" style="1528"/>
    <col min="4865" max="4865" width="4.19921875" style="1528" customWidth="1"/>
    <col min="4866" max="4866" width="5.09765625" style="1528" customWidth="1"/>
    <col min="4867" max="4867" width="47.09765625" style="1528" customWidth="1"/>
    <col min="4868" max="4868" width="10.5" style="1528" customWidth="1"/>
    <col min="4869" max="4869" width="24.3984375" style="1528" customWidth="1"/>
    <col min="4870" max="5120" width="20.3984375" style="1528"/>
    <col min="5121" max="5121" width="4.19921875" style="1528" customWidth="1"/>
    <col min="5122" max="5122" width="5.09765625" style="1528" customWidth="1"/>
    <col min="5123" max="5123" width="47.09765625" style="1528" customWidth="1"/>
    <col min="5124" max="5124" width="10.5" style="1528" customWidth="1"/>
    <col min="5125" max="5125" width="24.3984375" style="1528" customWidth="1"/>
    <col min="5126" max="5376" width="20.3984375" style="1528"/>
    <col min="5377" max="5377" width="4.19921875" style="1528" customWidth="1"/>
    <col min="5378" max="5378" width="5.09765625" style="1528" customWidth="1"/>
    <col min="5379" max="5379" width="47.09765625" style="1528" customWidth="1"/>
    <col min="5380" max="5380" width="10.5" style="1528" customWidth="1"/>
    <col min="5381" max="5381" width="24.3984375" style="1528" customWidth="1"/>
    <col min="5382" max="5632" width="20.3984375" style="1528"/>
    <col min="5633" max="5633" width="4.19921875" style="1528" customWidth="1"/>
    <col min="5634" max="5634" width="5.09765625" style="1528" customWidth="1"/>
    <col min="5635" max="5635" width="47.09765625" style="1528" customWidth="1"/>
    <col min="5636" max="5636" width="10.5" style="1528" customWidth="1"/>
    <col min="5637" max="5637" width="24.3984375" style="1528" customWidth="1"/>
    <col min="5638" max="5888" width="20.3984375" style="1528"/>
    <col min="5889" max="5889" width="4.19921875" style="1528" customWidth="1"/>
    <col min="5890" max="5890" width="5.09765625" style="1528" customWidth="1"/>
    <col min="5891" max="5891" width="47.09765625" style="1528" customWidth="1"/>
    <col min="5892" max="5892" width="10.5" style="1528" customWidth="1"/>
    <col min="5893" max="5893" width="24.3984375" style="1528" customWidth="1"/>
    <col min="5894" max="6144" width="20.3984375" style="1528"/>
    <col min="6145" max="6145" width="4.19921875" style="1528" customWidth="1"/>
    <col min="6146" max="6146" width="5.09765625" style="1528" customWidth="1"/>
    <col min="6147" max="6147" width="47.09765625" style="1528" customWidth="1"/>
    <col min="6148" max="6148" width="10.5" style="1528" customWidth="1"/>
    <col min="6149" max="6149" width="24.3984375" style="1528" customWidth="1"/>
    <col min="6150" max="6400" width="20.3984375" style="1528"/>
    <col min="6401" max="6401" width="4.19921875" style="1528" customWidth="1"/>
    <col min="6402" max="6402" width="5.09765625" style="1528" customWidth="1"/>
    <col min="6403" max="6403" width="47.09765625" style="1528" customWidth="1"/>
    <col min="6404" max="6404" width="10.5" style="1528" customWidth="1"/>
    <col min="6405" max="6405" width="24.3984375" style="1528" customWidth="1"/>
    <col min="6406" max="6656" width="20.3984375" style="1528"/>
    <col min="6657" max="6657" width="4.19921875" style="1528" customWidth="1"/>
    <col min="6658" max="6658" width="5.09765625" style="1528" customWidth="1"/>
    <col min="6659" max="6659" width="47.09765625" style="1528" customWidth="1"/>
    <col min="6660" max="6660" width="10.5" style="1528" customWidth="1"/>
    <col min="6661" max="6661" width="24.3984375" style="1528" customWidth="1"/>
    <col min="6662" max="6912" width="20.3984375" style="1528"/>
    <col min="6913" max="6913" width="4.19921875" style="1528" customWidth="1"/>
    <col min="6914" max="6914" width="5.09765625" style="1528" customWidth="1"/>
    <col min="6915" max="6915" width="47.09765625" style="1528" customWidth="1"/>
    <col min="6916" max="6916" width="10.5" style="1528" customWidth="1"/>
    <col min="6917" max="6917" width="24.3984375" style="1528" customWidth="1"/>
    <col min="6918" max="7168" width="20.3984375" style="1528"/>
    <col min="7169" max="7169" width="4.19921875" style="1528" customWidth="1"/>
    <col min="7170" max="7170" width="5.09765625" style="1528" customWidth="1"/>
    <col min="7171" max="7171" width="47.09765625" style="1528" customWidth="1"/>
    <col min="7172" max="7172" width="10.5" style="1528" customWidth="1"/>
    <col min="7173" max="7173" width="24.3984375" style="1528" customWidth="1"/>
    <col min="7174" max="7424" width="20.3984375" style="1528"/>
    <col min="7425" max="7425" width="4.19921875" style="1528" customWidth="1"/>
    <col min="7426" max="7426" width="5.09765625" style="1528" customWidth="1"/>
    <col min="7427" max="7427" width="47.09765625" style="1528" customWidth="1"/>
    <col min="7428" max="7428" width="10.5" style="1528" customWidth="1"/>
    <col min="7429" max="7429" width="24.3984375" style="1528" customWidth="1"/>
    <col min="7430" max="7680" width="20.3984375" style="1528"/>
    <col min="7681" max="7681" width="4.19921875" style="1528" customWidth="1"/>
    <col min="7682" max="7682" width="5.09765625" style="1528" customWidth="1"/>
    <col min="7683" max="7683" width="47.09765625" style="1528" customWidth="1"/>
    <col min="7684" max="7684" width="10.5" style="1528" customWidth="1"/>
    <col min="7685" max="7685" width="24.3984375" style="1528" customWidth="1"/>
    <col min="7686" max="7936" width="20.3984375" style="1528"/>
    <col min="7937" max="7937" width="4.19921875" style="1528" customWidth="1"/>
    <col min="7938" max="7938" width="5.09765625" style="1528" customWidth="1"/>
    <col min="7939" max="7939" width="47.09765625" style="1528" customWidth="1"/>
    <col min="7940" max="7940" width="10.5" style="1528" customWidth="1"/>
    <col min="7941" max="7941" width="24.3984375" style="1528" customWidth="1"/>
    <col min="7942" max="8192" width="20.3984375" style="1528"/>
    <col min="8193" max="8193" width="4.19921875" style="1528" customWidth="1"/>
    <col min="8194" max="8194" width="5.09765625" style="1528" customWidth="1"/>
    <col min="8195" max="8195" width="47.09765625" style="1528" customWidth="1"/>
    <col min="8196" max="8196" width="10.5" style="1528" customWidth="1"/>
    <col min="8197" max="8197" width="24.3984375" style="1528" customWidth="1"/>
    <col min="8198" max="8448" width="20.3984375" style="1528"/>
    <col min="8449" max="8449" width="4.19921875" style="1528" customWidth="1"/>
    <col min="8450" max="8450" width="5.09765625" style="1528" customWidth="1"/>
    <col min="8451" max="8451" width="47.09765625" style="1528" customWidth="1"/>
    <col min="8452" max="8452" width="10.5" style="1528" customWidth="1"/>
    <col min="8453" max="8453" width="24.3984375" style="1528" customWidth="1"/>
    <col min="8454" max="8704" width="20.3984375" style="1528"/>
    <col min="8705" max="8705" width="4.19921875" style="1528" customWidth="1"/>
    <col min="8706" max="8706" width="5.09765625" style="1528" customWidth="1"/>
    <col min="8707" max="8707" width="47.09765625" style="1528" customWidth="1"/>
    <col min="8708" max="8708" width="10.5" style="1528" customWidth="1"/>
    <col min="8709" max="8709" width="24.3984375" style="1528" customWidth="1"/>
    <col min="8710" max="8960" width="20.3984375" style="1528"/>
    <col min="8961" max="8961" width="4.19921875" style="1528" customWidth="1"/>
    <col min="8962" max="8962" width="5.09765625" style="1528" customWidth="1"/>
    <col min="8963" max="8963" width="47.09765625" style="1528" customWidth="1"/>
    <col min="8964" max="8964" width="10.5" style="1528" customWidth="1"/>
    <col min="8965" max="8965" width="24.3984375" style="1528" customWidth="1"/>
    <col min="8966" max="9216" width="20.3984375" style="1528"/>
    <col min="9217" max="9217" width="4.19921875" style="1528" customWidth="1"/>
    <col min="9218" max="9218" width="5.09765625" style="1528" customWidth="1"/>
    <col min="9219" max="9219" width="47.09765625" style="1528" customWidth="1"/>
    <col min="9220" max="9220" width="10.5" style="1528" customWidth="1"/>
    <col min="9221" max="9221" width="24.3984375" style="1528" customWidth="1"/>
    <col min="9222" max="9472" width="20.3984375" style="1528"/>
    <col min="9473" max="9473" width="4.19921875" style="1528" customWidth="1"/>
    <col min="9474" max="9474" width="5.09765625" style="1528" customWidth="1"/>
    <col min="9475" max="9475" width="47.09765625" style="1528" customWidth="1"/>
    <col min="9476" max="9476" width="10.5" style="1528" customWidth="1"/>
    <col min="9477" max="9477" width="24.3984375" style="1528" customWidth="1"/>
    <col min="9478" max="9728" width="20.3984375" style="1528"/>
    <col min="9729" max="9729" width="4.19921875" style="1528" customWidth="1"/>
    <col min="9730" max="9730" width="5.09765625" style="1528" customWidth="1"/>
    <col min="9731" max="9731" width="47.09765625" style="1528" customWidth="1"/>
    <col min="9732" max="9732" width="10.5" style="1528" customWidth="1"/>
    <col min="9733" max="9733" width="24.3984375" style="1528" customWidth="1"/>
    <col min="9734" max="9984" width="20.3984375" style="1528"/>
    <col min="9985" max="9985" width="4.19921875" style="1528" customWidth="1"/>
    <col min="9986" max="9986" width="5.09765625" style="1528" customWidth="1"/>
    <col min="9987" max="9987" width="47.09765625" style="1528" customWidth="1"/>
    <col min="9988" max="9988" width="10.5" style="1528" customWidth="1"/>
    <col min="9989" max="9989" width="24.3984375" style="1528" customWidth="1"/>
    <col min="9990" max="10240" width="20.3984375" style="1528"/>
    <col min="10241" max="10241" width="4.19921875" style="1528" customWidth="1"/>
    <col min="10242" max="10242" width="5.09765625" style="1528" customWidth="1"/>
    <col min="10243" max="10243" width="47.09765625" style="1528" customWidth="1"/>
    <col min="10244" max="10244" width="10.5" style="1528" customWidth="1"/>
    <col min="10245" max="10245" width="24.3984375" style="1528" customWidth="1"/>
    <col min="10246" max="10496" width="20.3984375" style="1528"/>
    <col min="10497" max="10497" width="4.19921875" style="1528" customWidth="1"/>
    <col min="10498" max="10498" width="5.09765625" style="1528" customWidth="1"/>
    <col min="10499" max="10499" width="47.09765625" style="1528" customWidth="1"/>
    <col min="10500" max="10500" width="10.5" style="1528" customWidth="1"/>
    <col min="10501" max="10501" width="24.3984375" style="1528" customWidth="1"/>
    <col min="10502" max="10752" width="20.3984375" style="1528"/>
    <col min="10753" max="10753" width="4.19921875" style="1528" customWidth="1"/>
    <col min="10754" max="10754" width="5.09765625" style="1528" customWidth="1"/>
    <col min="10755" max="10755" width="47.09765625" style="1528" customWidth="1"/>
    <col min="10756" max="10756" width="10.5" style="1528" customWidth="1"/>
    <col min="10757" max="10757" width="24.3984375" style="1528" customWidth="1"/>
    <col min="10758" max="11008" width="20.3984375" style="1528"/>
    <col min="11009" max="11009" width="4.19921875" style="1528" customWidth="1"/>
    <col min="11010" max="11010" width="5.09765625" style="1528" customWidth="1"/>
    <col min="11011" max="11011" width="47.09765625" style="1528" customWidth="1"/>
    <col min="11012" max="11012" width="10.5" style="1528" customWidth="1"/>
    <col min="11013" max="11013" width="24.3984375" style="1528" customWidth="1"/>
    <col min="11014" max="11264" width="20.3984375" style="1528"/>
    <col min="11265" max="11265" width="4.19921875" style="1528" customWidth="1"/>
    <col min="11266" max="11266" width="5.09765625" style="1528" customWidth="1"/>
    <col min="11267" max="11267" width="47.09765625" style="1528" customWidth="1"/>
    <col min="11268" max="11268" width="10.5" style="1528" customWidth="1"/>
    <col min="11269" max="11269" width="24.3984375" style="1528" customWidth="1"/>
    <col min="11270" max="11520" width="20.3984375" style="1528"/>
    <col min="11521" max="11521" width="4.19921875" style="1528" customWidth="1"/>
    <col min="11522" max="11522" width="5.09765625" style="1528" customWidth="1"/>
    <col min="11523" max="11523" width="47.09765625" style="1528" customWidth="1"/>
    <col min="11524" max="11524" width="10.5" style="1528" customWidth="1"/>
    <col min="11525" max="11525" width="24.3984375" style="1528" customWidth="1"/>
    <col min="11526" max="11776" width="20.3984375" style="1528"/>
    <col min="11777" max="11777" width="4.19921875" style="1528" customWidth="1"/>
    <col min="11778" max="11778" width="5.09765625" style="1528" customWidth="1"/>
    <col min="11779" max="11779" width="47.09765625" style="1528" customWidth="1"/>
    <col min="11780" max="11780" width="10.5" style="1528" customWidth="1"/>
    <col min="11781" max="11781" width="24.3984375" style="1528" customWidth="1"/>
    <col min="11782" max="12032" width="20.3984375" style="1528"/>
    <col min="12033" max="12033" width="4.19921875" style="1528" customWidth="1"/>
    <col min="12034" max="12034" width="5.09765625" style="1528" customWidth="1"/>
    <col min="12035" max="12035" width="47.09765625" style="1528" customWidth="1"/>
    <col min="12036" max="12036" width="10.5" style="1528" customWidth="1"/>
    <col min="12037" max="12037" width="24.3984375" style="1528" customWidth="1"/>
    <col min="12038" max="12288" width="20.3984375" style="1528"/>
    <col min="12289" max="12289" width="4.19921875" style="1528" customWidth="1"/>
    <col min="12290" max="12290" width="5.09765625" style="1528" customWidth="1"/>
    <col min="12291" max="12291" width="47.09765625" style="1528" customWidth="1"/>
    <col min="12292" max="12292" width="10.5" style="1528" customWidth="1"/>
    <col min="12293" max="12293" width="24.3984375" style="1528" customWidth="1"/>
    <col min="12294" max="12544" width="20.3984375" style="1528"/>
    <col min="12545" max="12545" width="4.19921875" style="1528" customWidth="1"/>
    <col min="12546" max="12546" width="5.09765625" style="1528" customWidth="1"/>
    <col min="12547" max="12547" width="47.09765625" style="1528" customWidth="1"/>
    <col min="12548" max="12548" width="10.5" style="1528" customWidth="1"/>
    <col min="12549" max="12549" width="24.3984375" style="1528" customWidth="1"/>
    <col min="12550" max="12800" width="20.3984375" style="1528"/>
    <col min="12801" max="12801" width="4.19921875" style="1528" customWidth="1"/>
    <col min="12802" max="12802" width="5.09765625" style="1528" customWidth="1"/>
    <col min="12803" max="12803" width="47.09765625" style="1528" customWidth="1"/>
    <col min="12804" max="12804" width="10.5" style="1528" customWidth="1"/>
    <col min="12805" max="12805" width="24.3984375" style="1528" customWidth="1"/>
    <col min="12806" max="13056" width="20.3984375" style="1528"/>
    <col min="13057" max="13057" width="4.19921875" style="1528" customWidth="1"/>
    <col min="13058" max="13058" width="5.09765625" style="1528" customWidth="1"/>
    <col min="13059" max="13059" width="47.09765625" style="1528" customWidth="1"/>
    <col min="13060" max="13060" width="10.5" style="1528" customWidth="1"/>
    <col min="13061" max="13061" width="24.3984375" style="1528" customWidth="1"/>
    <col min="13062" max="13312" width="20.3984375" style="1528"/>
    <col min="13313" max="13313" width="4.19921875" style="1528" customWidth="1"/>
    <col min="13314" max="13314" width="5.09765625" style="1528" customWidth="1"/>
    <col min="13315" max="13315" width="47.09765625" style="1528" customWidth="1"/>
    <col min="13316" max="13316" width="10.5" style="1528" customWidth="1"/>
    <col min="13317" max="13317" width="24.3984375" style="1528" customWidth="1"/>
    <col min="13318" max="13568" width="20.3984375" style="1528"/>
    <col min="13569" max="13569" width="4.19921875" style="1528" customWidth="1"/>
    <col min="13570" max="13570" width="5.09765625" style="1528" customWidth="1"/>
    <col min="13571" max="13571" width="47.09765625" style="1528" customWidth="1"/>
    <col min="13572" max="13572" width="10.5" style="1528" customWidth="1"/>
    <col min="13573" max="13573" width="24.3984375" style="1528" customWidth="1"/>
    <col min="13574" max="13824" width="20.3984375" style="1528"/>
    <col min="13825" max="13825" width="4.19921875" style="1528" customWidth="1"/>
    <col min="13826" max="13826" width="5.09765625" style="1528" customWidth="1"/>
    <col min="13827" max="13827" width="47.09765625" style="1528" customWidth="1"/>
    <col min="13828" max="13828" width="10.5" style="1528" customWidth="1"/>
    <col min="13829" max="13829" width="24.3984375" style="1528" customWidth="1"/>
    <col min="13830" max="14080" width="20.3984375" style="1528"/>
    <col min="14081" max="14081" width="4.19921875" style="1528" customWidth="1"/>
    <col min="14082" max="14082" width="5.09765625" style="1528" customWidth="1"/>
    <col min="14083" max="14083" width="47.09765625" style="1528" customWidth="1"/>
    <col min="14084" max="14084" width="10.5" style="1528" customWidth="1"/>
    <col min="14085" max="14085" width="24.3984375" style="1528" customWidth="1"/>
    <col min="14086" max="14336" width="20.3984375" style="1528"/>
    <col min="14337" max="14337" width="4.19921875" style="1528" customWidth="1"/>
    <col min="14338" max="14338" width="5.09765625" style="1528" customWidth="1"/>
    <col min="14339" max="14339" width="47.09765625" style="1528" customWidth="1"/>
    <col min="14340" max="14340" width="10.5" style="1528" customWidth="1"/>
    <col min="14341" max="14341" width="24.3984375" style="1528" customWidth="1"/>
    <col min="14342" max="14592" width="20.3984375" style="1528"/>
    <col min="14593" max="14593" width="4.19921875" style="1528" customWidth="1"/>
    <col min="14594" max="14594" width="5.09765625" style="1528" customWidth="1"/>
    <col min="14595" max="14595" width="47.09765625" style="1528" customWidth="1"/>
    <col min="14596" max="14596" width="10.5" style="1528" customWidth="1"/>
    <col min="14597" max="14597" width="24.3984375" style="1528" customWidth="1"/>
    <col min="14598" max="14848" width="20.3984375" style="1528"/>
    <col min="14849" max="14849" width="4.19921875" style="1528" customWidth="1"/>
    <col min="14850" max="14850" width="5.09765625" style="1528" customWidth="1"/>
    <col min="14851" max="14851" width="47.09765625" style="1528" customWidth="1"/>
    <col min="14852" max="14852" width="10.5" style="1528" customWidth="1"/>
    <col min="14853" max="14853" width="24.3984375" style="1528" customWidth="1"/>
    <col min="14854" max="15104" width="20.3984375" style="1528"/>
    <col min="15105" max="15105" width="4.19921875" style="1528" customWidth="1"/>
    <col min="15106" max="15106" width="5.09765625" style="1528" customWidth="1"/>
    <col min="15107" max="15107" width="47.09765625" style="1528" customWidth="1"/>
    <col min="15108" max="15108" width="10.5" style="1528" customWidth="1"/>
    <col min="15109" max="15109" width="24.3984375" style="1528" customWidth="1"/>
    <col min="15110" max="15360" width="20.3984375" style="1528"/>
    <col min="15361" max="15361" width="4.19921875" style="1528" customWidth="1"/>
    <col min="15362" max="15362" width="5.09765625" style="1528" customWidth="1"/>
    <col min="15363" max="15363" width="47.09765625" style="1528" customWidth="1"/>
    <col min="15364" max="15364" width="10.5" style="1528" customWidth="1"/>
    <col min="15365" max="15365" width="24.3984375" style="1528" customWidth="1"/>
    <col min="15366" max="15616" width="20.3984375" style="1528"/>
    <col min="15617" max="15617" width="4.19921875" style="1528" customWidth="1"/>
    <col min="15618" max="15618" width="5.09765625" style="1528" customWidth="1"/>
    <col min="15619" max="15619" width="47.09765625" style="1528" customWidth="1"/>
    <col min="15620" max="15620" width="10.5" style="1528" customWidth="1"/>
    <col min="15621" max="15621" width="24.3984375" style="1528" customWidth="1"/>
    <col min="15622" max="15872" width="20.3984375" style="1528"/>
    <col min="15873" max="15873" width="4.19921875" style="1528" customWidth="1"/>
    <col min="15874" max="15874" width="5.09765625" style="1528" customWidth="1"/>
    <col min="15875" max="15875" width="47.09765625" style="1528" customWidth="1"/>
    <col min="15876" max="15876" width="10.5" style="1528" customWidth="1"/>
    <col min="15877" max="15877" width="24.3984375" style="1528" customWidth="1"/>
    <col min="15878" max="16128" width="20.3984375" style="1528"/>
    <col min="16129" max="16129" width="4.19921875" style="1528" customWidth="1"/>
    <col min="16130" max="16130" width="5.09765625" style="1528" customWidth="1"/>
    <col min="16131" max="16131" width="47.09765625" style="1528" customWidth="1"/>
    <col min="16132" max="16132" width="10.5" style="1528" customWidth="1"/>
    <col min="16133" max="16133" width="24.3984375" style="1528" customWidth="1"/>
    <col min="16134" max="16384" width="20.3984375" style="1528"/>
  </cols>
  <sheetData>
    <row r="1" spans="1:5" ht="20.100000000000001" customHeight="1">
      <c r="A1" s="3938" t="s">
        <v>4806</v>
      </c>
      <c r="B1" s="3938"/>
      <c r="C1" s="3938"/>
      <c r="D1" s="3938"/>
      <c r="E1" s="2632"/>
    </row>
    <row r="2" spans="1:5" ht="25.5" customHeight="1">
      <c r="A2" s="3939" t="s">
        <v>1631</v>
      </c>
      <c r="B2" s="3939"/>
      <c r="C2" s="3939"/>
      <c r="D2" s="3939"/>
      <c r="E2" s="2631"/>
    </row>
    <row r="3" spans="1:5" s="1529" customFormat="1" ht="14.25" customHeight="1">
      <c r="A3" s="1846" t="s">
        <v>1853</v>
      </c>
      <c r="B3" s="1848" t="s">
        <v>25</v>
      </c>
      <c r="C3" s="1846" t="s">
        <v>4807</v>
      </c>
      <c r="D3" s="1846" t="s">
        <v>4808</v>
      </c>
      <c r="E3" s="1846" t="s">
        <v>4809</v>
      </c>
    </row>
    <row r="4" spans="1:5" s="1529" customFormat="1" ht="57" customHeight="1">
      <c r="A4" s="1840">
        <v>1</v>
      </c>
      <c r="B4" s="3407" t="s">
        <v>1633</v>
      </c>
      <c r="C4" s="1818" t="s">
        <v>4810</v>
      </c>
      <c r="D4" s="2075">
        <f>A101010一般企业收入明细表!C4+A101020金融企业收入明细表!C4+SUM(A103000事业单位、民间非营利组织收入、支出明细表!C5:C9,A103000事业单位、民间非营利组织收入、支出明细表!C14:C18)</f>
        <v>0</v>
      </c>
      <c r="E4" s="1956" t="s">
        <v>4811</v>
      </c>
    </row>
    <row r="5" spans="1:5" s="1529" customFormat="1" ht="57" customHeight="1">
      <c r="A5" s="1840">
        <v>2</v>
      </c>
      <c r="B5" s="3407"/>
      <c r="C5" s="1818" t="s">
        <v>4812</v>
      </c>
      <c r="D5" s="2075">
        <f>A102010一般企业成本支出明细表!C4+A102020金融企业支出明细表!C4+SUM(A103000事业单位、民间非营利组织收入、支出明细表!C22:C25,A103000事业单位、民间非营利组织收入、支出明细表!C28:C30)</f>
        <v>0</v>
      </c>
      <c r="E5" s="1956" t="s">
        <v>4813</v>
      </c>
    </row>
    <row r="6" spans="1:5" s="1529" customFormat="1" ht="14.25" customHeight="1">
      <c r="A6" s="1840">
        <v>3</v>
      </c>
      <c r="B6" s="3407"/>
      <c r="C6" s="1818" t="s">
        <v>234</v>
      </c>
      <c r="D6" s="2075">
        <f>主营税金!E42</f>
        <v>0</v>
      </c>
      <c r="E6" s="1956"/>
    </row>
    <row r="7" spans="1:5" s="1529" customFormat="1" ht="13.5" customHeight="1">
      <c r="A7" s="1840">
        <v>4</v>
      </c>
      <c r="B7" s="3407"/>
      <c r="C7" s="1818" t="s">
        <v>4814</v>
      </c>
      <c r="D7" s="2075">
        <f>A104000期间费用明细表!C30</f>
        <v>0</v>
      </c>
      <c r="E7" s="1956" t="s">
        <v>4815</v>
      </c>
    </row>
    <row r="8" spans="1:5" s="1529" customFormat="1" ht="14.25" customHeight="1">
      <c r="A8" s="1840">
        <v>5</v>
      </c>
      <c r="B8" s="3407"/>
      <c r="C8" s="1818" t="s">
        <v>4816</v>
      </c>
      <c r="D8" s="2075">
        <f>A104000期间费用明细表!E30</f>
        <v>0</v>
      </c>
      <c r="E8" s="1956" t="s">
        <v>4817</v>
      </c>
    </row>
    <row r="9" spans="1:5" s="1529" customFormat="1" ht="14.25" customHeight="1">
      <c r="A9" s="1840">
        <v>6</v>
      </c>
      <c r="B9" s="3407"/>
      <c r="C9" s="1818" t="s">
        <v>4818</v>
      </c>
      <c r="D9" s="2075">
        <f>A104000期间费用明细表!G30</f>
        <v>0</v>
      </c>
      <c r="E9" s="1956" t="s">
        <v>4819</v>
      </c>
    </row>
    <row r="10" spans="1:5" s="1529" customFormat="1" ht="14.25" customHeight="1">
      <c r="A10" s="1840">
        <v>7</v>
      </c>
      <c r="B10" s="3407"/>
      <c r="C10" s="1818" t="s">
        <v>652</v>
      </c>
      <c r="D10" s="2075">
        <f>利润!C24</f>
        <v>0</v>
      </c>
      <c r="E10" s="1956"/>
    </row>
    <row r="11" spans="1:5" s="1529" customFormat="1" ht="14.25" customHeight="1">
      <c r="A11" s="1840">
        <v>8</v>
      </c>
      <c r="B11" s="3407"/>
      <c r="C11" s="1818" t="s">
        <v>4820</v>
      </c>
      <c r="D11" s="2075">
        <f>利润!C25</f>
        <v>0</v>
      </c>
      <c r="E11" s="1956"/>
    </row>
    <row r="12" spans="1:5" s="1529" customFormat="1" ht="14.25" customHeight="1">
      <c r="A12" s="1840">
        <v>9</v>
      </c>
      <c r="B12" s="3407"/>
      <c r="C12" s="1818" t="s">
        <v>235</v>
      </c>
      <c r="D12" s="2075">
        <f>利润!C26</f>
        <v>0</v>
      </c>
      <c r="E12" s="1956"/>
    </row>
    <row r="13" spans="1:5" s="1529" customFormat="1" ht="14.25" customHeight="1">
      <c r="A13" s="1840">
        <v>10</v>
      </c>
      <c r="B13" s="3407"/>
      <c r="C13" s="1818" t="s">
        <v>4821</v>
      </c>
      <c r="D13" s="2075">
        <f>D4-D5-D6-D7-D8-D9-D10+D11+D12</f>
        <v>0</v>
      </c>
      <c r="E13" s="1956"/>
    </row>
    <row r="14" spans="1:5" s="1529" customFormat="1" ht="42" customHeight="1">
      <c r="A14" s="1840">
        <v>11</v>
      </c>
      <c r="B14" s="3407"/>
      <c r="C14" s="1818" t="s">
        <v>4822</v>
      </c>
      <c r="D14" s="2075">
        <f>A101010一般企业收入明细表!C19+A101020金融企业收入明细表!C38+A103000事业单位、民间非营利组织收入、支出明细表!C12+A103000事业单位、民间非营利组织收入、支出明细表!C20</f>
        <v>0</v>
      </c>
      <c r="E14" s="1956" t="s">
        <v>4823</v>
      </c>
    </row>
    <row r="15" spans="1:5" s="1529" customFormat="1" ht="36" customHeight="1">
      <c r="A15" s="1840">
        <v>12</v>
      </c>
      <c r="B15" s="3407"/>
      <c r="C15" s="1818" t="s">
        <v>4824</v>
      </c>
      <c r="D15" s="2075">
        <f>A102010一般企业成本支出明细表!C19+A102020金融企业支出明细表!C36+A103000事业单位、民间非营利组织收入、支出明细表!C26+A103000事业单位、民间非营利组织收入、支出明细表!C31</f>
        <v>0</v>
      </c>
      <c r="E15" s="1956" t="s">
        <v>4825</v>
      </c>
    </row>
    <row r="16" spans="1:5" s="1529" customFormat="1" ht="14.25" customHeight="1">
      <c r="A16" s="1840">
        <v>13</v>
      </c>
      <c r="B16" s="3407"/>
      <c r="C16" s="1818" t="s">
        <v>4826</v>
      </c>
      <c r="D16" s="2075">
        <f>D13+D14-D15</f>
        <v>0</v>
      </c>
      <c r="E16" s="1956"/>
    </row>
    <row r="17" spans="1:5" s="1529" customFormat="1" ht="33" customHeight="1">
      <c r="A17" s="1840">
        <v>14</v>
      </c>
      <c r="B17" s="3405" t="s">
        <v>6843</v>
      </c>
      <c r="C17" s="1818" t="s">
        <v>4827</v>
      </c>
      <c r="D17" s="2075">
        <f>A108010境外所得纳税调整后所得明细表!O15-A108010境外所得纳税调整后所得明细表!L15</f>
        <v>0</v>
      </c>
      <c r="E17" s="1956" t="s">
        <v>4828</v>
      </c>
    </row>
    <row r="18" spans="1:5" s="1529" customFormat="1" ht="14.25" customHeight="1">
      <c r="A18" s="1840">
        <v>15</v>
      </c>
      <c r="B18" s="3409"/>
      <c r="C18" s="1818" t="s">
        <v>4829</v>
      </c>
      <c r="D18" s="2075">
        <f ca="1">A105000纳税调整项目明细表!E47</f>
        <v>0</v>
      </c>
      <c r="E18" s="1956" t="s">
        <v>4830</v>
      </c>
    </row>
    <row r="19" spans="1:5" s="1529" customFormat="1" ht="14.25" customHeight="1">
      <c r="A19" s="1840">
        <v>16</v>
      </c>
      <c r="B19" s="3409"/>
      <c r="C19" s="1818" t="s">
        <v>4831</v>
      </c>
      <c r="D19" s="2075">
        <f ca="1">A105000纳税调整项目明细表!F47</f>
        <v>0</v>
      </c>
      <c r="E19" s="1956" t="s">
        <v>4832</v>
      </c>
    </row>
    <row r="20" spans="1:5" s="1529" customFormat="1" ht="24.75" customHeight="1">
      <c r="A20" s="1840">
        <v>17</v>
      </c>
      <c r="B20" s="3409"/>
      <c r="C20" s="1818" t="s">
        <v>4833</v>
      </c>
      <c r="D20" s="2075">
        <f>A107010免税、减计收入及加计扣除优惠明细表!C30</f>
        <v>0</v>
      </c>
      <c r="E20" s="1956" t="s">
        <v>6798</v>
      </c>
    </row>
    <row r="21" spans="1:5" s="1529" customFormat="1" ht="41.25" customHeight="1">
      <c r="A21" s="1840">
        <v>18</v>
      </c>
      <c r="B21" s="3409"/>
      <c r="C21" s="1818" t="s">
        <v>4834</v>
      </c>
      <c r="D21" s="2075">
        <f ca="1">IF(D16-D17+D18-D19-D20&gt;=0,0,A108000境外所得税收抵免明细表!G15)</f>
        <v>0</v>
      </c>
      <c r="E21" s="1956" t="s">
        <v>4835</v>
      </c>
    </row>
    <row r="22" spans="1:5" s="1529" customFormat="1" ht="14.25" customHeight="1">
      <c r="A22" s="1840">
        <v>19</v>
      </c>
      <c r="B22" s="3409"/>
      <c r="C22" s="1818" t="s">
        <v>4836</v>
      </c>
      <c r="D22" s="2075">
        <f ca="1">D16-D17+D18-D19-D20+D21</f>
        <v>0</v>
      </c>
      <c r="E22" s="1956"/>
    </row>
    <row r="23" spans="1:5" s="1529" customFormat="1" ht="33" customHeight="1">
      <c r="A23" s="1840">
        <v>20</v>
      </c>
      <c r="B23" s="3409"/>
      <c r="C23" s="1818" t="s">
        <v>4837</v>
      </c>
      <c r="D23" s="2075">
        <f ca="1">MAX(MIN(D22,MAX(0,N(A107020所得减免优惠明细表!I44))),0)</f>
        <v>0</v>
      </c>
      <c r="E23" s="1956" t="s">
        <v>4838</v>
      </c>
    </row>
    <row r="24" spans="1:5" s="1529" customFormat="1" ht="26.25" customHeight="1">
      <c r="A24" s="1840">
        <v>21</v>
      </c>
      <c r="B24" s="3409"/>
      <c r="C24" s="1818" t="s">
        <v>4839</v>
      </c>
      <c r="D24" s="2075">
        <f ca="1">MAX(MIN(D22-D23,N(A107030抵扣应纳税所得额明细表!C21)),0)</f>
        <v>0</v>
      </c>
      <c r="E24" s="1956" t="s">
        <v>4840</v>
      </c>
    </row>
    <row r="25" spans="1:5" s="1529" customFormat="1" ht="28.5" customHeight="1">
      <c r="A25" s="1840">
        <v>22</v>
      </c>
      <c r="B25" s="3409"/>
      <c r="C25" s="1818" t="s">
        <v>4841</v>
      </c>
      <c r="D25" s="2075">
        <f ca="1">MAX(MIN(D22-D23-D24,MAX(0,A106000企业所得税弥补亏损明细表!L11)),0)</f>
        <v>0</v>
      </c>
      <c r="E25" s="1956" t="s">
        <v>4842</v>
      </c>
    </row>
    <row r="26" spans="1:5" s="1529" customFormat="1" ht="14.1" customHeight="1">
      <c r="A26" s="1840">
        <v>23</v>
      </c>
      <c r="B26" s="3406"/>
      <c r="C26" s="1818" t="s">
        <v>4843</v>
      </c>
      <c r="D26" s="2075">
        <f ca="1">MAX(D22-D23-D24-D25,0)</f>
        <v>0</v>
      </c>
      <c r="E26" s="1956" t="s">
        <v>4844</v>
      </c>
    </row>
    <row r="27" spans="1:5" s="1529" customFormat="1" ht="14.25" customHeight="1">
      <c r="A27" s="1840">
        <v>24</v>
      </c>
      <c r="B27" s="3407" t="s">
        <v>236</v>
      </c>
      <c r="C27" s="1818" t="s">
        <v>4845</v>
      </c>
      <c r="D27" s="2024">
        <v>0.25</v>
      </c>
      <c r="E27" s="1956"/>
    </row>
    <row r="28" spans="1:5" s="1529" customFormat="1" ht="14.25" customHeight="1">
      <c r="A28" s="1840">
        <v>25</v>
      </c>
      <c r="B28" s="3407"/>
      <c r="C28" s="1818" t="s">
        <v>4846</v>
      </c>
      <c r="D28" s="2075">
        <f ca="1">ROUND(D26*D27,2)</f>
        <v>0</v>
      </c>
      <c r="E28" s="1956" t="s">
        <v>4847</v>
      </c>
    </row>
    <row r="29" spans="1:5" s="1529" customFormat="1" ht="30" customHeight="1">
      <c r="A29" s="1840">
        <v>26</v>
      </c>
      <c r="B29" s="3407"/>
      <c r="C29" s="1818" t="s">
        <v>4848</v>
      </c>
      <c r="D29" s="2075">
        <f ca="1">MIN(D28,N(A107040减免所得税优惠明细表!D53))</f>
        <v>0</v>
      </c>
      <c r="E29" s="1956" t="s">
        <v>4849</v>
      </c>
    </row>
    <row r="30" spans="1:5" s="1529" customFormat="1" ht="33.75" customHeight="1">
      <c r="A30" s="1840">
        <v>27</v>
      </c>
      <c r="B30" s="3407"/>
      <c r="C30" s="1818" t="s">
        <v>4850</v>
      </c>
      <c r="D30" s="2075">
        <f ca="1">MIN(D28-D29,N(A107050税额抵免优惠明细表!M12))</f>
        <v>0</v>
      </c>
      <c r="E30" s="1956" t="s">
        <v>4851</v>
      </c>
    </row>
    <row r="31" spans="1:5" s="1529" customFormat="1" ht="14.25" customHeight="1">
      <c r="A31" s="1840">
        <v>28</v>
      </c>
      <c r="B31" s="3407"/>
      <c r="C31" s="1818" t="s">
        <v>4852</v>
      </c>
      <c r="D31" s="2075">
        <f ca="1">D28-D29-D30</f>
        <v>0</v>
      </c>
      <c r="E31" s="1956" t="s">
        <v>4844</v>
      </c>
    </row>
    <row r="32" spans="1:5" s="1529" customFormat="1" ht="24" customHeight="1">
      <c r="A32" s="1840">
        <v>29</v>
      </c>
      <c r="B32" s="3407"/>
      <c r="C32" s="1818" t="s">
        <v>4853</v>
      </c>
      <c r="D32" s="2075">
        <f>A108000境外所得税收抵免明细表!J15</f>
        <v>0</v>
      </c>
      <c r="E32" s="1956" t="s">
        <v>4854</v>
      </c>
    </row>
    <row r="33" spans="1:5" s="1529" customFormat="1" ht="23.25" customHeight="1">
      <c r="A33" s="1840">
        <v>30</v>
      </c>
      <c r="B33" s="3407"/>
      <c r="C33" s="1818" t="s">
        <v>4855</v>
      </c>
      <c r="D33" s="2075">
        <f>MIN(D32,N(A108000境外所得税收抵免明细表!T15))</f>
        <v>0</v>
      </c>
      <c r="E33" s="1956" t="s">
        <v>4856</v>
      </c>
    </row>
    <row r="34" spans="1:5" s="1529" customFormat="1" ht="14.25" customHeight="1">
      <c r="A34" s="1840">
        <v>31</v>
      </c>
      <c r="B34" s="3407"/>
      <c r="C34" s="1818" t="s">
        <v>4857</v>
      </c>
      <c r="D34" s="2075">
        <f ca="1">D31+D32-D33</f>
        <v>0</v>
      </c>
      <c r="E34" s="1956"/>
    </row>
    <row r="35" spans="1:5" s="1529" customFormat="1" ht="14.25" customHeight="1">
      <c r="A35" s="1840">
        <v>32</v>
      </c>
      <c r="B35" s="3407"/>
      <c r="C35" s="1818" t="s">
        <v>4858</v>
      </c>
      <c r="D35" s="2075">
        <f>纳税申报数据!K10</f>
        <v>0</v>
      </c>
      <c r="E35" s="1956"/>
    </row>
    <row r="36" spans="1:5" s="1530" customFormat="1" ht="14.25" customHeight="1">
      <c r="A36" s="1840">
        <v>33</v>
      </c>
      <c r="B36" s="3407"/>
      <c r="C36" s="1818" t="s">
        <v>4859</v>
      </c>
      <c r="D36" s="2075">
        <f ca="1">D34-D35</f>
        <v>0</v>
      </c>
      <c r="E36" s="1956"/>
    </row>
    <row r="37" spans="1:5" s="1529" customFormat="1" ht="14.25" customHeight="1">
      <c r="A37" s="1840">
        <v>34</v>
      </c>
      <c r="B37" s="3407"/>
      <c r="C37" s="1819" t="s">
        <v>4860</v>
      </c>
      <c r="D37" s="2075">
        <f>A109000跨地区经营汇总纳税企业年度分摊企业所得税明细表!C15+A109000跨地区经营汇总纳税企业年度分摊企业所得税明细表!C19</f>
        <v>0</v>
      </c>
      <c r="E37" s="1956" t="s">
        <v>4861</v>
      </c>
    </row>
    <row r="38" spans="1:5" s="1529" customFormat="1" ht="24" customHeight="1">
      <c r="A38" s="1840">
        <v>35</v>
      </c>
      <c r="B38" s="3407"/>
      <c r="C38" s="1819" t="s">
        <v>4862</v>
      </c>
      <c r="D38" s="2075">
        <f>A109000跨地区经营汇总纳税企业年度分摊企业所得税明细表!C16</f>
        <v>0</v>
      </c>
      <c r="E38" s="1956" t="s">
        <v>4863</v>
      </c>
    </row>
    <row r="39" spans="1:5" s="1529" customFormat="1" ht="24">
      <c r="A39" s="1841">
        <v>36</v>
      </c>
      <c r="B39" s="3407"/>
      <c r="C39" s="1819" t="s">
        <v>4864</v>
      </c>
      <c r="D39" s="2078">
        <f>A109000跨地区经营汇总纳税企业年度分摊企业所得税明细表!C18</f>
        <v>0</v>
      </c>
      <c r="E39" s="1956" t="s">
        <v>4865</v>
      </c>
    </row>
    <row r="40" spans="1:5" s="1529" customFormat="1" ht="14.25" customHeight="1">
      <c r="A40" s="1840">
        <v>37</v>
      </c>
      <c r="B40" s="3407" t="s">
        <v>1268</v>
      </c>
      <c r="C40" s="1818" t="s">
        <v>1269</v>
      </c>
      <c r="D40" s="2075">
        <f>纳税申报数据!K11</f>
        <v>0</v>
      </c>
      <c r="E40" s="1956"/>
    </row>
    <row r="41" spans="1:5" s="1529" customFormat="1" ht="14.25" customHeight="1">
      <c r="A41" s="1840">
        <v>38</v>
      </c>
      <c r="B41" s="3407"/>
      <c r="C41" s="1818" t="s">
        <v>6503</v>
      </c>
      <c r="D41" s="2075">
        <f>纳税申报数据!K13</f>
        <v>0</v>
      </c>
      <c r="E41" s="1956"/>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984375" defaultRowHeight="15.6"/>
  <cols>
    <col min="1" max="1" width="5.09765625" style="1532" customWidth="1"/>
    <col min="2" max="2" width="43.59765625" style="1532" customWidth="1"/>
    <col min="3" max="3" width="16.5" style="1532" customWidth="1"/>
    <col min="4" max="4" width="20.69921875" style="1532" customWidth="1"/>
    <col min="5" max="256" width="8.8984375" style="1532"/>
    <col min="257" max="257" width="5.09765625" style="1532" customWidth="1"/>
    <col min="258" max="258" width="43.59765625" style="1532" customWidth="1"/>
    <col min="259" max="259" width="10.19921875" style="1532" customWidth="1"/>
    <col min="260" max="260" width="20.69921875" style="1532" customWidth="1"/>
    <col min="261" max="512" width="8.8984375" style="1532"/>
    <col min="513" max="513" width="5.09765625" style="1532" customWidth="1"/>
    <col min="514" max="514" width="43.59765625" style="1532" customWidth="1"/>
    <col min="515" max="515" width="10.19921875" style="1532" customWidth="1"/>
    <col min="516" max="516" width="20.69921875" style="1532" customWidth="1"/>
    <col min="517" max="768" width="8.8984375" style="1532"/>
    <col min="769" max="769" width="5.09765625" style="1532" customWidth="1"/>
    <col min="770" max="770" width="43.59765625" style="1532" customWidth="1"/>
    <col min="771" max="771" width="10.19921875" style="1532" customWidth="1"/>
    <col min="772" max="772" width="20.69921875" style="1532" customWidth="1"/>
    <col min="773" max="1024" width="8.8984375" style="1532"/>
    <col min="1025" max="1025" width="5.09765625" style="1532" customWidth="1"/>
    <col min="1026" max="1026" width="43.59765625" style="1532" customWidth="1"/>
    <col min="1027" max="1027" width="10.19921875" style="1532" customWidth="1"/>
    <col min="1028" max="1028" width="20.69921875" style="1532" customWidth="1"/>
    <col min="1029" max="1280" width="8.8984375" style="1532"/>
    <col min="1281" max="1281" width="5.09765625" style="1532" customWidth="1"/>
    <col min="1282" max="1282" width="43.59765625" style="1532" customWidth="1"/>
    <col min="1283" max="1283" width="10.19921875" style="1532" customWidth="1"/>
    <col min="1284" max="1284" width="20.69921875" style="1532" customWidth="1"/>
    <col min="1285" max="1536" width="8.8984375" style="1532"/>
    <col min="1537" max="1537" width="5.09765625" style="1532" customWidth="1"/>
    <col min="1538" max="1538" width="43.59765625" style="1532" customWidth="1"/>
    <col min="1539" max="1539" width="10.19921875" style="1532" customWidth="1"/>
    <col min="1540" max="1540" width="20.69921875" style="1532" customWidth="1"/>
    <col min="1541" max="1792" width="8.8984375" style="1532"/>
    <col min="1793" max="1793" width="5.09765625" style="1532" customWidth="1"/>
    <col min="1794" max="1794" width="43.59765625" style="1532" customWidth="1"/>
    <col min="1795" max="1795" width="10.19921875" style="1532" customWidth="1"/>
    <col min="1796" max="1796" width="20.69921875" style="1532" customWidth="1"/>
    <col min="1797" max="2048" width="8.8984375" style="1532"/>
    <col min="2049" max="2049" width="5.09765625" style="1532" customWidth="1"/>
    <col min="2050" max="2050" width="43.59765625" style="1532" customWidth="1"/>
    <col min="2051" max="2051" width="10.19921875" style="1532" customWidth="1"/>
    <col min="2052" max="2052" width="20.69921875" style="1532" customWidth="1"/>
    <col min="2053" max="2304" width="8.8984375" style="1532"/>
    <col min="2305" max="2305" width="5.09765625" style="1532" customWidth="1"/>
    <col min="2306" max="2306" width="43.59765625" style="1532" customWidth="1"/>
    <col min="2307" max="2307" width="10.19921875" style="1532" customWidth="1"/>
    <col min="2308" max="2308" width="20.69921875" style="1532" customWidth="1"/>
    <col min="2309" max="2560" width="8.8984375" style="1532"/>
    <col min="2561" max="2561" width="5.09765625" style="1532" customWidth="1"/>
    <col min="2562" max="2562" width="43.59765625" style="1532" customWidth="1"/>
    <col min="2563" max="2563" width="10.19921875" style="1532" customWidth="1"/>
    <col min="2564" max="2564" width="20.69921875" style="1532" customWidth="1"/>
    <col min="2565" max="2816" width="8.8984375" style="1532"/>
    <col min="2817" max="2817" width="5.09765625" style="1532" customWidth="1"/>
    <col min="2818" max="2818" width="43.59765625" style="1532" customWidth="1"/>
    <col min="2819" max="2819" width="10.19921875" style="1532" customWidth="1"/>
    <col min="2820" max="2820" width="20.69921875" style="1532" customWidth="1"/>
    <col min="2821" max="3072" width="8.8984375" style="1532"/>
    <col min="3073" max="3073" width="5.09765625" style="1532" customWidth="1"/>
    <col min="3074" max="3074" width="43.59765625" style="1532" customWidth="1"/>
    <col min="3075" max="3075" width="10.19921875" style="1532" customWidth="1"/>
    <col min="3076" max="3076" width="20.69921875" style="1532" customWidth="1"/>
    <col min="3077" max="3328" width="8.8984375" style="1532"/>
    <col min="3329" max="3329" width="5.09765625" style="1532" customWidth="1"/>
    <col min="3330" max="3330" width="43.59765625" style="1532" customWidth="1"/>
    <col min="3331" max="3331" width="10.19921875" style="1532" customWidth="1"/>
    <col min="3332" max="3332" width="20.69921875" style="1532" customWidth="1"/>
    <col min="3333" max="3584" width="8.8984375" style="1532"/>
    <col min="3585" max="3585" width="5.09765625" style="1532" customWidth="1"/>
    <col min="3586" max="3586" width="43.59765625" style="1532" customWidth="1"/>
    <col min="3587" max="3587" width="10.19921875" style="1532" customWidth="1"/>
    <col min="3588" max="3588" width="20.69921875" style="1532" customWidth="1"/>
    <col min="3589" max="3840" width="8.8984375" style="1532"/>
    <col min="3841" max="3841" width="5.09765625" style="1532" customWidth="1"/>
    <col min="3842" max="3842" width="43.59765625" style="1532" customWidth="1"/>
    <col min="3843" max="3843" width="10.19921875" style="1532" customWidth="1"/>
    <col min="3844" max="3844" width="20.69921875" style="1532" customWidth="1"/>
    <col min="3845" max="4096" width="8.8984375" style="1532"/>
    <col min="4097" max="4097" width="5.09765625" style="1532" customWidth="1"/>
    <col min="4098" max="4098" width="43.59765625" style="1532" customWidth="1"/>
    <col min="4099" max="4099" width="10.19921875" style="1532" customWidth="1"/>
    <col min="4100" max="4100" width="20.69921875" style="1532" customWidth="1"/>
    <col min="4101" max="4352" width="8.8984375" style="1532"/>
    <col min="4353" max="4353" width="5.09765625" style="1532" customWidth="1"/>
    <col min="4354" max="4354" width="43.59765625" style="1532" customWidth="1"/>
    <col min="4355" max="4355" width="10.19921875" style="1532" customWidth="1"/>
    <col min="4356" max="4356" width="20.69921875" style="1532" customWidth="1"/>
    <col min="4357" max="4608" width="8.8984375" style="1532"/>
    <col min="4609" max="4609" width="5.09765625" style="1532" customWidth="1"/>
    <col min="4610" max="4610" width="43.59765625" style="1532" customWidth="1"/>
    <col min="4611" max="4611" width="10.19921875" style="1532" customWidth="1"/>
    <col min="4612" max="4612" width="20.69921875" style="1532" customWidth="1"/>
    <col min="4613" max="4864" width="8.8984375" style="1532"/>
    <col min="4865" max="4865" width="5.09765625" style="1532" customWidth="1"/>
    <col min="4866" max="4866" width="43.59765625" style="1532" customWidth="1"/>
    <col min="4867" max="4867" width="10.19921875" style="1532" customWidth="1"/>
    <col min="4868" max="4868" width="20.69921875" style="1532" customWidth="1"/>
    <col min="4869" max="5120" width="8.8984375" style="1532"/>
    <col min="5121" max="5121" width="5.09765625" style="1532" customWidth="1"/>
    <col min="5122" max="5122" width="43.59765625" style="1532" customWidth="1"/>
    <col min="5123" max="5123" width="10.19921875" style="1532" customWidth="1"/>
    <col min="5124" max="5124" width="20.69921875" style="1532" customWidth="1"/>
    <col min="5125" max="5376" width="8.8984375" style="1532"/>
    <col min="5377" max="5377" width="5.09765625" style="1532" customWidth="1"/>
    <col min="5378" max="5378" width="43.59765625" style="1532" customWidth="1"/>
    <col min="5379" max="5379" width="10.19921875" style="1532" customWidth="1"/>
    <col min="5380" max="5380" width="20.69921875" style="1532" customWidth="1"/>
    <col min="5381" max="5632" width="8.8984375" style="1532"/>
    <col min="5633" max="5633" width="5.09765625" style="1532" customWidth="1"/>
    <col min="5634" max="5634" width="43.59765625" style="1532" customWidth="1"/>
    <col min="5635" max="5635" width="10.19921875" style="1532" customWidth="1"/>
    <col min="5636" max="5636" width="20.69921875" style="1532" customWidth="1"/>
    <col min="5637" max="5888" width="8.8984375" style="1532"/>
    <col min="5889" max="5889" width="5.09765625" style="1532" customWidth="1"/>
    <col min="5890" max="5890" width="43.59765625" style="1532" customWidth="1"/>
    <col min="5891" max="5891" width="10.19921875" style="1532" customWidth="1"/>
    <col min="5892" max="5892" width="20.69921875" style="1532" customWidth="1"/>
    <col min="5893" max="6144" width="8.8984375" style="1532"/>
    <col min="6145" max="6145" width="5.09765625" style="1532" customWidth="1"/>
    <col min="6146" max="6146" width="43.59765625" style="1532" customWidth="1"/>
    <col min="6147" max="6147" width="10.19921875" style="1532" customWidth="1"/>
    <col min="6148" max="6148" width="20.69921875" style="1532" customWidth="1"/>
    <col min="6149" max="6400" width="8.8984375" style="1532"/>
    <col min="6401" max="6401" width="5.09765625" style="1532" customWidth="1"/>
    <col min="6402" max="6402" width="43.59765625" style="1532" customWidth="1"/>
    <col min="6403" max="6403" width="10.19921875" style="1532" customWidth="1"/>
    <col min="6404" max="6404" width="20.69921875" style="1532" customWidth="1"/>
    <col min="6405" max="6656" width="8.8984375" style="1532"/>
    <col min="6657" max="6657" width="5.09765625" style="1532" customWidth="1"/>
    <col min="6658" max="6658" width="43.59765625" style="1532" customWidth="1"/>
    <col min="6659" max="6659" width="10.19921875" style="1532" customWidth="1"/>
    <col min="6660" max="6660" width="20.69921875" style="1532" customWidth="1"/>
    <col min="6661" max="6912" width="8.8984375" style="1532"/>
    <col min="6913" max="6913" width="5.09765625" style="1532" customWidth="1"/>
    <col min="6914" max="6914" width="43.59765625" style="1532" customWidth="1"/>
    <col min="6915" max="6915" width="10.19921875" style="1532" customWidth="1"/>
    <col min="6916" max="6916" width="20.69921875" style="1532" customWidth="1"/>
    <col min="6917" max="7168" width="8.8984375" style="1532"/>
    <col min="7169" max="7169" width="5.09765625" style="1532" customWidth="1"/>
    <col min="7170" max="7170" width="43.59765625" style="1532" customWidth="1"/>
    <col min="7171" max="7171" width="10.19921875" style="1532" customWidth="1"/>
    <col min="7172" max="7172" width="20.69921875" style="1532" customWidth="1"/>
    <col min="7173" max="7424" width="8.8984375" style="1532"/>
    <col min="7425" max="7425" width="5.09765625" style="1532" customWidth="1"/>
    <col min="7426" max="7426" width="43.59765625" style="1532" customWidth="1"/>
    <col min="7427" max="7427" width="10.19921875" style="1532" customWidth="1"/>
    <col min="7428" max="7428" width="20.69921875" style="1532" customWidth="1"/>
    <col min="7429" max="7680" width="8.8984375" style="1532"/>
    <col min="7681" max="7681" width="5.09765625" style="1532" customWidth="1"/>
    <col min="7682" max="7682" width="43.59765625" style="1532" customWidth="1"/>
    <col min="7683" max="7683" width="10.19921875" style="1532" customWidth="1"/>
    <col min="7684" max="7684" width="20.69921875" style="1532" customWidth="1"/>
    <col min="7685" max="7936" width="8.8984375" style="1532"/>
    <col min="7937" max="7937" width="5.09765625" style="1532" customWidth="1"/>
    <col min="7938" max="7938" width="43.59765625" style="1532" customWidth="1"/>
    <col min="7939" max="7939" width="10.19921875" style="1532" customWidth="1"/>
    <col min="7940" max="7940" width="20.69921875" style="1532" customWidth="1"/>
    <col min="7941" max="8192" width="8.8984375" style="1532"/>
    <col min="8193" max="8193" width="5.09765625" style="1532" customWidth="1"/>
    <col min="8194" max="8194" width="43.59765625" style="1532" customWidth="1"/>
    <col min="8195" max="8195" width="10.19921875" style="1532" customWidth="1"/>
    <col min="8196" max="8196" width="20.69921875" style="1532" customWidth="1"/>
    <col min="8197" max="8448" width="8.8984375" style="1532"/>
    <col min="8449" max="8449" width="5.09765625" style="1532" customWidth="1"/>
    <col min="8450" max="8450" width="43.59765625" style="1532" customWidth="1"/>
    <col min="8451" max="8451" width="10.19921875" style="1532" customWidth="1"/>
    <col min="8452" max="8452" width="20.69921875" style="1532" customWidth="1"/>
    <col min="8453" max="8704" width="8.8984375" style="1532"/>
    <col min="8705" max="8705" width="5.09765625" style="1532" customWidth="1"/>
    <col min="8706" max="8706" width="43.59765625" style="1532" customWidth="1"/>
    <col min="8707" max="8707" width="10.19921875" style="1532" customWidth="1"/>
    <col min="8708" max="8708" width="20.69921875" style="1532" customWidth="1"/>
    <col min="8709" max="8960" width="8.8984375" style="1532"/>
    <col min="8961" max="8961" width="5.09765625" style="1532" customWidth="1"/>
    <col min="8962" max="8962" width="43.59765625" style="1532" customWidth="1"/>
    <col min="8963" max="8963" width="10.19921875" style="1532" customWidth="1"/>
    <col min="8964" max="8964" width="20.69921875" style="1532" customWidth="1"/>
    <col min="8965" max="9216" width="8.8984375" style="1532"/>
    <col min="9217" max="9217" width="5.09765625" style="1532" customWidth="1"/>
    <col min="9218" max="9218" width="43.59765625" style="1532" customWidth="1"/>
    <col min="9219" max="9219" width="10.19921875" style="1532" customWidth="1"/>
    <col min="9220" max="9220" width="20.69921875" style="1532" customWidth="1"/>
    <col min="9221" max="9472" width="8.8984375" style="1532"/>
    <col min="9473" max="9473" width="5.09765625" style="1532" customWidth="1"/>
    <col min="9474" max="9474" width="43.59765625" style="1532" customWidth="1"/>
    <col min="9475" max="9475" width="10.19921875" style="1532" customWidth="1"/>
    <col min="9476" max="9476" width="20.69921875" style="1532" customWidth="1"/>
    <col min="9477" max="9728" width="8.8984375" style="1532"/>
    <col min="9729" max="9729" width="5.09765625" style="1532" customWidth="1"/>
    <col min="9730" max="9730" width="43.59765625" style="1532" customWidth="1"/>
    <col min="9731" max="9731" width="10.19921875" style="1532" customWidth="1"/>
    <col min="9732" max="9732" width="20.69921875" style="1532" customWidth="1"/>
    <col min="9733" max="9984" width="8.8984375" style="1532"/>
    <col min="9985" max="9985" width="5.09765625" style="1532" customWidth="1"/>
    <col min="9986" max="9986" width="43.59765625" style="1532" customWidth="1"/>
    <col min="9987" max="9987" width="10.19921875" style="1532" customWidth="1"/>
    <col min="9988" max="9988" width="20.69921875" style="1532" customWidth="1"/>
    <col min="9989" max="10240" width="8.8984375" style="1532"/>
    <col min="10241" max="10241" width="5.09765625" style="1532" customWidth="1"/>
    <col min="10242" max="10242" width="43.59765625" style="1532" customWidth="1"/>
    <col min="10243" max="10243" width="10.19921875" style="1532" customWidth="1"/>
    <col min="10244" max="10244" width="20.69921875" style="1532" customWidth="1"/>
    <col min="10245" max="10496" width="8.8984375" style="1532"/>
    <col min="10497" max="10497" width="5.09765625" style="1532" customWidth="1"/>
    <col min="10498" max="10498" width="43.59765625" style="1532" customWidth="1"/>
    <col min="10499" max="10499" width="10.19921875" style="1532" customWidth="1"/>
    <col min="10500" max="10500" width="20.69921875" style="1532" customWidth="1"/>
    <col min="10501" max="10752" width="8.8984375" style="1532"/>
    <col min="10753" max="10753" width="5.09765625" style="1532" customWidth="1"/>
    <col min="10754" max="10754" width="43.59765625" style="1532" customWidth="1"/>
    <col min="10755" max="10755" width="10.19921875" style="1532" customWidth="1"/>
    <col min="10756" max="10756" width="20.69921875" style="1532" customWidth="1"/>
    <col min="10757" max="11008" width="8.8984375" style="1532"/>
    <col min="11009" max="11009" width="5.09765625" style="1532" customWidth="1"/>
    <col min="11010" max="11010" width="43.59765625" style="1532" customWidth="1"/>
    <col min="11011" max="11011" width="10.19921875" style="1532" customWidth="1"/>
    <col min="11012" max="11012" width="20.69921875" style="1532" customWidth="1"/>
    <col min="11013" max="11264" width="8.8984375" style="1532"/>
    <col min="11265" max="11265" width="5.09765625" style="1532" customWidth="1"/>
    <col min="11266" max="11266" width="43.59765625" style="1532" customWidth="1"/>
    <col min="11267" max="11267" width="10.19921875" style="1532" customWidth="1"/>
    <col min="11268" max="11268" width="20.69921875" style="1532" customWidth="1"/>
    <col min="11269" max="11520" width="8.8984375" style="1532"/>
    <col min="11521" max="11521" width="5.09765625" style="1532" customWidth="1"/>
    <col min="11522" max="11522" width="43.59765625" style="1532" customWidth="1"/>
    <col min="11523" max="11523" width="10.19921875" style="1532" customWidth="1"/>
    <col min="11524" max="11524" width="20.69921875" style="1532" customWidth="1"/>
    <col min="11525" max="11776" width="8.8984375" style="1532"/>
    <col min="11777" max="11777" width="5.09765625" style="1532" customWidth="1"/>
    <col min="11778" max="11778" width="43.59765625" style="1532" customWidth="1"/>
    <col min="11779" max="11779" width="10.19921875" style="1532" customWidth="1"/>
    <col min="11780" max="11780" width="20.69921875" style="1532" customWidth="1"/>
    <col min="11781" max="12032" width="8.8984375" style="1532"/>
    <col min="12033" max="12033" width="5.09765625" style="1532" customWidth="1"/>
    <col min="12034" max="12034" width="43.59765625" style="1532" customWidth="1"/>
    <col min="12035" max="12035" width="10.19921875" style="1532" customWidth="1"/>
    <col min="12036" max="12036" width="20.69921875" style="1532" customWidth="1"/>
    <col min="12037" max="12288" width="8.8984375" style="1532"/>
    <col min="12289" max="12289" width="5.09765625" style="1532" customWidth="1"/>
    <col min="12290" max="12290" width="43.59765625" style="1532" customWidth="1"/>
    <col min="12291" max="12291" width="10.19921875" style="1532" customWidth="1"/>
    <col min="12292" max="12292" width="20.69921875" style="1532" customWidth="1"/>
    <col min="12293" max="12544" width="8.8984375" style="1532"/>
    <col min="12545" max="12545" width="5.09765625" style="1532" customWidth="1"/>
    <col min="12546" max="12546" width="43.59765625" style="1532" customWidth="1"/>
    <col min="12547" max="12547" width="10.19921875" style="1532" customWidth="1"/>
    <col min="12548" max="12548" width="20.69921875" style="1532" customWidth="1"/>
    <col min="12549" max="12800" width="8.8984375" style="1532"/>
    <col min="12801" max="12801" width="5.09765625" style="1532" customWidth="1"/>
    <col min="12802" max="12802" width="43.59765625" style="1532" customWidth="1"/>
    <col min="12803" max="12803" width="10.19921875" style="1532" customWidth="1"/>
    <col min="12804" max="12804" width="20.69921875" style="1532" customWidth="1"/>
    <col min="12805" max="13056" width="8.8984375" style="1532"/>
    <col min="13057" max="13057" width="5.09765625" style="1532" customWidth="1"/>
    <col min="13058" max="13058" width="43.59765625" style="1532" customWidth="1"/>
    <col min="13059" max="13059" width="10.19921875" style="1532" customWidth="1"/>
    <col min="13060" max="13060" width="20.69921875" style="1532" customWidth="1"/>
    <col min="13061" max="13312" width="8.8984375" style="1532"/>
    <col min="13313" max="13313" width="5.09765625" style="1532" customWidth="1"/>
    <col min="13314" max="13314" width="43.59765625" style="1532" customWidth="1"/>
    <col min="13315" max="13315" width="10.19921875" style="1532" customWidth="1"/>
    <col min="13316" max="13316" width="20.69921875" style="1532" customWidth="1"/>
    <col min="13317" max="13568" width="8.8984375" style="1532"/>
    <col min="13569" max="13569" width="5.09765625" style="1532" customWidth="1"/>
    <col min="13570" max="13570" width="43.59765625" style="1532" customWidth="1"/>
    <col min="13571" max="13571" width="10.19921875" style="1532" customWidth="1"/>
    <col min="13572" max="13572" width="20.69921875" style="1532" customWidth="1"/>
    <col min="13573" max="13824" width="8.8984375" style="1532"/>
    <col min="13825" max="13825" width="5.09765625" style="1532" customWidth="1"/>
    <col min="13826" max="13826" width="43.59765625" style="1532" customWidth="1"/>
    <col min="13827" max="13827" width="10.19921875" style="1532" customWidth="1"/>
    <col min="13828" max="13828" width="20.69921875" style="1532" customWidth="1"/>
    <col min="13829" max="14080" width="8.8984375" style="1532"/>
    <col min="14081" max="14081" width="5.09765625" style="1532" customWidth="1"/>
    <col min="14082" max="14082" width="43.59765625" style="1532" customWidth="1"/>
    <col min="14083" max="14083" width="10.19921875" style="1532" customWidth="1"/>
    <col min="14084" max="14084" width="20.69921875" style="1532" customWidth="1"/>
    <col min="14085" max="14336" width="8.8984375" style="1532"/>
    <col min="14337" max="14337" width="5.09765625" style="1532" customWidth="1"/>
    <col min="14338" max="14338" width="43.59765625" style="1532" customWidth="1"/>
    <col min="14339" max="14339" width="10.19921875" style="1532" customWidth="1"/>
    <col min="14340" max="14340" width="20.69921875" style="1532" customWidth="1"/>
    <col min="14341" max="14592" width="8.8984375" style="1532"/>
    <col min="14593" max="14593" width="5.09765625" style="1532" customWidth="1"/>
    <col min="14594" max="14594" width="43.59765625" style="1532" customWidth="1"/>
    <col min="14595" max="14595" width="10.19921875" style="1532" customWidth="1"/>
    <col min="14596" max="14596" width="20.69921875" style="1532" customWidth="1"/>
    <col min="14597" max="14848" width="8.8984375" style="1532"/>
    <col min="14849" max="14849" width="5.09765625" style="1532" customWidth="1"/>
    <col min="14850" max="14850" width="43.59765625" style="1532" customWidth="1"/>
    <col min="14851" max="14851" width="10.19921875" style="1532" customWidth="1"/>
    <col min="14852" max="14852" width="20.69921875" style="1532" customWidth="1"/>
    <col min="14853" max="15104" width="8.8984375" style="1532"/>
    <col min="15105" max="15105" width="5.09765625" style="1532" customWidth="1"/>
    <col min="15106" max="15106" width="43.59765625" style="1532" customWidth="1"/>
    <col min="15107" max="15107" width="10.19921875" style="1532" customWidth="1"/>
    <col min="15108" max="15108" width="20.69921875" style="1532" customWidth="1"/>
    <col min="15109" max="15360" width="8.8984375" style="1532"/>
    <col min="15361" max="15361" width="5.09765625" style="1532" customWidth="1"/>
    <col min="15362" max="15362" width="43.59765625" style="1532" customWidth="1"/>
    <col min="15363" max="15363" width="10.19921875" style="1532" customWidth="1"/>
    <col min="15364" max="15364" width="20.69921875" style="1532" customWidth="1"/>
    <col min="15365" max="15616" width="8.8984375" style="1532"/>
    <col min="15617" max="15617" width="5.09765625" style="1532" customWidth="1"/>
    <col min="15618" max="15618" width="43.59765625" style="1532" customWidth="1"/>
    <col min="15619" max="15619" width="10.19921875" style="1532" customWidth="1"/>
    <col min="15620" max="15620" width="20.69921875" style="1532" customWidth="1"/>
    <col min="15621" max="15872" width="8.8984375" style="1532"/>
    <col min="15873" max="15873" width="5.09765625" style="1532" customWidth="1"/>
    <col min="15874" max="15874" width="43.59765625" style="1532" customWidth="1"/>
    <col min="15875" max="15875" width="10.19921875" style="1532" customWidth="1"/>
    <col min="15876" max="15876" width="20.69921875" style="1532" customWidth="1"/>
    <col min="15877" max="16128" width="8.8984375" style="1532"/>
    <col min="16129" max="16129" width="5.09765625" style="1532" customWidth="1"/>
    <col min="16130" max="16130" width="43.59765625" style="1532" customWidth="1"/>
    <col min="16131" max="16131" width="10.19921875" style="1532" customWidth="1"/>
    <col min="16132" max="16132" width="20.69921875" style="1532" customWidth="1"/>
    <col min="16133" max="16384" width="8.8984375" style="1532"/>
  </cols>
  <sheetData>
    <row r="1" spans="1:4" ht="20.100000000000001" customHeight="1">
      <c r="A1" s="3462" t="s">
        <v>4866</v>
      </c>
      <c r="B1" s="3462"/>
      <c r="C1" s="3462"/>
      <c r="D1" s="1937"/>
    </row>
    <row r="2" spans="1:4" ht="25.5" customHeight="1">
      <c r="A2" s="3401" t="s">
        <v>1856</v>
      </c>
      <c r="B2" s="3401"/>
      <c r="C2" s="3401"/>
      <c r="D2" s="1854"/>
    </row>
    <row r="3" spans="1:4" s="1533" customFormat="1">
      <c r="A3" s="1846" t="s">
        <v>1853</v>
      </c>
      <c r="B3" s="1846" t="s">
        <v>4867</v>
      </c>
      <c r="C3" s="1846" t="s">
        <v>4808</v>
      </c>
      <c r="D3" s="1846" t="s">
        <v>4809</v>
      </c>
    </row>
    <row r="4" spans="1:4">
      <c r="A4" s="1846">
        <v>1</v>
      </c>
      <c r="B4" s="1829" t="s">
        <v>4868</v>
      </c>
      <c r="C4" s="2075">
        <f>C5+C12</f>
        <v>0</v>
      </c>
      <c r="D4" s="1954" t="s">
        <v>4869</v>
      </c>
    </row>
    <row r="5" spans="1:4">
      <c r="A5" s="1846">
        <v>2</v>
      </c>
      <c r="B5" s="1829" t="s">
        <v>4870</v>
      </c>
      <c r="C5" s="2075">
        <f>C6+C8+C9+C10+C11</f>
        <v>0</v>
      </c>
      <c r="D5" s="1523"/>
    </row>
    <row r="6" spans="1:4">
      <c r="A6" s="1846">
        <v>3</v>
      </c>
      <c r="B6" s="1829" t="s">
        <v>4871</v>
      </c>
      <c r="C6" s="2072">
        <f>主营收支!C23</f>
        <v>0</v>
      </c>
      <c r="D6" s="1523"/>
    </row>
    <row r="7" spans="1:4">
      <c r="A7" s="1846">
        <v>4</v>
      </c>
      <c r="B7" s="1829" t="s">
        <v>4872</v>
      </c>
      <c r="C7" s="2072">
        <f>主营收支!C21</f>
        <v>0</v>
      </c>
      <c r="D7" s="1523"/>
    </row>
    <row r="8" spans="1:4">
      <c r="A8" s="1846">
        <v>5</v>
      </c>
      <c r="B8" s="1829" t="s">
        <v>4873</v>
      </c>
      <c r="C8" s="2072">
        <f>主营收支!D23</f>
        <v>0</v>
      </c>
      <c r="D8" s="1523"/>
    </row>
    <row r="9" spans="1:4">
      <c r="A9" s="1846">
        <v>6</v>
      </c>
      <c r="B9" s="1829" t="s">
        <v>4874</v>
      </c>
      <c r="C9" s="2072">
        <f>主营收支!E23</f>
        <v>0</v>
      </c>
      <c r="D9" s="1523"/>
    </row>
    <row r="10" spans="1:4">
      <c r="A10" s="1846">
        <v>7</v>
      </c>
      <c r="B10" s="1829" t="s">
        <v>4875</v>
      </c>
      <c r="C10" s="2072">
        <f>主营收支!F23</f>
        <v>0</v>
      </c>
      <c r="D10" s="1523"/>
    </row>
    <row r="11" spans="1:4">
      <c r="A11" s="1846">
        <v>8</v>
      </c>
      <c r="B11" s="1829" t="s">
        <v>4876</v>
      </c>
      <c r="C11" s="2072">
        <f>主营收支!G23</f>
        <v>0</v>
      </c>
      <c r="D11" s="1523"/>
    </row>
    <row r="12" spans="1:4">
      <c r="A12" s="1846">
        <v>9</v>
      </c>
      <c r="B12" s="1829" t="s">
        <v>4877</v>
      </c>
      <c r="C12" s="2075">
        <f>C13+C15+C16+C17+C18</f>
        <v>0</v>
      </c>
      <c r="D12" s="1523"/>
    </row>
    <row r="13" spans="1:4">
      <c r="A13" s="1846">
        <v>10</v>
      </c>
      <c r="B13" s="1829" t="s">
        <v>4878</v>
      </c>
      <c r="C13" s="2072">
        <f>其他业务!C8</f>
        <v>0</v>
      </c>
      <c r="D13" s="1523"/>
    </row>
    <row r="14" spans="1:4">
      <c r="A14" s="1846">
        <v>11</v>
      </c>
      <c r="B14" s="1829" t="s">
        <v>4879</v>
      </c>
      <c r="C14" s="2072">
        <f>其他业务!C9</f>
        <v>0</v>
      </c>
      <c r="D14" s="1523"/>
    </row>
    <row r="15" spans="1:4">
      <c r="A15" s="1846">
        <v>12</v>
      </c>
      <c r="B15" s="1829" t="s">
        <v>4880</v>
      </c>
      <c r="C15" s="2072">
        <f>其他业务!C10+其他业务!C11</f>
        <v>0</v>
      </c>
      <c r="D15" s="1523"/>
    </row>
    <row r="16" spans="1:4">
      <c r="A16" s="1846">
        <v>13</v>
      </c>
      <c r="B16" s="1829" t="s">
        <v>4881</v>
      </c>
      <c r="C16" s="2072">
        <f>其他业务!C12</f>
        <v>0</v>
      </c>
      <c r="D16" s="1523"/>
    </row>
    <row r="17" spans="1:4">
      <c r="A17" s="1846">
        <v>14</v>
      </c>
      <c r="B17" s="1829" t="s">
        <v>4882</v>
      </c>
      <c r="C17" s="2072">
        <f>其他业务!C13</f>
        <v>0</v>
      </c>
      <c r="D17" s="1523"/>
    </row>
    <row r="18" spans="1:4">
      <c r="A18" s="1846">
        <v>15</v>
      </c>
      <c r="B18" s="1829" t="s">
        <v>4876</v>
      </c>
      <c r="C18" s="2072">
        <f>其他业务!C17</f>
        <v>0</v>
      </c>
      <c r="D18" s="1523"/>
    </row>
    <row r="19" spans="1:4">
      <c r="A19" s="1846">
        <v>16</v>
      </c>
      <c r="B19" s="1829" t="s">
        <v>4883</v>
      </c>
      <c r="C19" s="2075">
        <f>C20+C21+C22+C23+C24+C25+C26+C27+C28+C29</f>
        <v>0</v>
      </c>
      <c r="D19" s="1954" t="s">
        <v>4884</v>
      </c>
    </row>
    <row r="20" spans="1:4">
      <c r="A20" s="1846">
        <v>17</v>
      </c>
      <c r="B20" s="1829" t="s">
        <v>4885</v>
      </c>
      <c r="C20" s="2072">
        <f>营外收支!E6</f>
        <v>0</v>
      </c>
      <c r="D20" s="1523"/>
    </row>
    <row r="21" spans="1:4">
      <c r="A21" s="1846">
        <v>18</v>
      </c>
      <c r="B21" s="1829" t="s">
        <v>4886</v>
      </c>
      <c r="C21" s="2072">
        <f>营外收支!E7</f>
        <v>0</v>
      </c>
      <c r="D21" s="1523"/>
    </row>
    <row r="22" spans="1:4">
      <c r="A22" s="1846">
        <v>19</v>
      </c>
      <c r="B22" s="1829" t="s">
        <v>4887</v>
      </c>
      <c r="C22" s="2072">
        <f>营外收支!E8</f>
        <v>0</v>
      </c>
      <c r="D22" s="1523"/>
    </row>
    <row r="23" spans="1:4">
      <c r="A23" s="1846">
        <v>20</v>
      </c>
      <c r="B23" s="1829" t="s">
        <v>4888</v>
      </c>
      <c r="C23" s="2072">
        <f>营外收支!E9</f>
        <v>0</v>
      </c>
      <c r="D23" s="1523"/>
    </row>
    <row r="24" spans="1:4" ht="14.1" customHeight="1">
      <c r="A24" s="1846">
        <v>21</v>
      </c>
      <c r="B24" s="1829" t="s">
        <v>4889</v>
      </c>
      <c r="C24" s="2072">
        <f>营外收支!E10</f>
        <v>0</v>
      </c>
      <c r="D24" s="1523"/>
    </row>
    <row r="25" spans="1:4" ht="14.1" customHeight="1">
      <c r="A25" s="1846">
        <v>22</v>
      </c>
      <c r="B25" s="1829" t="s">
        <v>4890</v>
      </c>
      <c r="C25" s="2072">
        <f>营外收支!E11</f>
        <v>0</v>
      </c>
      <c r="D25" s="1523"/>
    </row>
    <row r="26" spans="1:4">
      <c r="A26" s="1846">
        <v>23</v>
      </c>
      <c r="B26" s="1829" t="s">
        <v>4891</v>
      </c>
      <c r="C26" s="2072">
        <f>营外收支!E12</f>
        <v>0</v>
      </c>
      <c r="D26" s="1523"/>
    </row>
    <row r="27" spans="1:4">
      <c r="A27" s="1846">
        <v>24</v>
      </c>
      <c r="B27" s="1829" t="s">
        <v>4892</v>
      </c>
      <c r="C27" s="2072">
        <f>营外收支!E13</f>
        <v>0</v>
      </c>
      <c r="D27" s="1523"/>
    </row>
    <row r="28" spans="1:4">
      <c r="A28" s="1846">
        <v>25</v>
      </c>
      <c r="B28" s="1829" t="s">
        <v>4893</v>
      </c>
      <c r="C28" s="2072">
        <f>营外收支!E14</f>
        <v>0</v>
      </c>
      <c r="D28" s="1523"/>
    </row>
    <row r="29" spans="1:4">
      <c r="A29" s="1846">
        <v>26</v>
      </c>
      <c r="B29" s="1829" t="s">
        <v>4894</v>
      </c>
      <c r="C29" s="2072">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19921875" style="1535" customWidth="1"/>
    <col min="2" max="2" width="47.09765625" style="1535" customWidth="1"/>
    <col min="3" max="3" width="18.8984375" style="1535" customWidth="1"/>
    <col min="4" max="4" width="19.69921875" style="1535" customWidth="1"/>
    <col min="5" max="256" width="9" style="1535"/>
    <col min="257" max="257" width="5.19921875" style="1535" customWidth="1"/>
    <col min="258" max="258" width="47.09765625" style="1535" customWidth="1"/>
    <col min="259" max="259" width="10.19921875" style="1535" customWidth="1"/>
    <col min="260" max="260" width="19.69921875" style="1535" customWidth="1"/>
    <col min="261" max="512" width="9" style="1535"/>
    <col min="513" max="513" width="5.19921875" style="1535" customWidth="1"/>
    <col min="514" max="514" width="47.09765625" style="1535" customWidth="1"/>
    <col min="515" max="515" width="10.19921875" style="1535" customWidth="1"/>
    <col min="516" max="516" width="19.69921875" style="1535" customWidth="1"/>
    <col min="517" max="768" width="9" style="1535"/>
    <col min="769" max="769" width="5.19921875" style="1535" customWidth="1"/>
    <col min="770" max="770" width="47.09765625" style="1535" customWidth="1"/>
    <col min="771" max="771" width="10.19921875" style="1535" customWidth="1"/>
    <col min="772" max="772" width="19.69921875" style="1535" customWidth="1"/>
    <col min="773" max="1024" width="9" style="1535"/>
    <col min="1025" max="1025" width="5.19921875" style="1535" customWidth="1"/>
    <col min="1026" max="1026" width="47.09765625" style="1535" customWidth="1"/>
    <col min="1027" max="1027" width="10.19921875" style="1535" customWidth="1"/>
    <col min="1028" max="1028" width="19.69921875" style="1535" customWidth="1"/>
    <col min="1029" max="1280" width="9" style="1535"/>
    <col min="1281" max="1281" width="5.19921875" style="1535" customWidth="1"/>
    <col min="1282" max="1282" width="47.09765625" style="1535" customWidth="1"/>
    <col min="1283" max="1283" width="10.19921875" style="1535" customWidth="1"/>
    <col min="1284" max="1284" width="19.69921875" style="1535" customWidth="1"/>
    <col min="1285" max="1536" width="9" style="1535"/>
    <col min="1537" max="1537" width="5.19921875" style="1535" customWidth="1"/>
    <col min="1538" max="1538" width="47.09765625" style="1535" customWidth="1"/>
    <col min="1539" max="1539" width="10.19921875" style="1535" customWidth="1"/>
    <col min="1540" max="1540" width="19.69921875" style="1535" customWidth="1"/>
    <col min="1541" max="1792" width="9" style="1535"/>
    <col min="1793" max="1793" width="5.19921875" style="1535" customWidth="1"/>
    <col min="1794" max="1794" width="47.09765625" style="1535" customWidth="1"/>
    <col min="1795" max="1795" width="10.19921875" style="1535" customWidth="1"/>
    <col min="1796" max="1796" width="19.69921875" style="1535" customWidth="1"/>
    <col min="1797" max="2048" width="9" style="1535"/>
    <col min="2049" max="2049" width="5.19921875" style="1535" customWidth="1"/>
    <col min="2050" max="2050" width="47.09765625" style="1535" customWidth="1"/>
    <col min="2051" max="2051" width="10.19921875" style="1535" customWidth="1"/>
    <col min="2052" max="2052" width="19.69921875" style="1535" customWidth="1"/>
    <col min="2053" max="2304" width="9" style="1535"/>
    <col min="2305" max="2305" width="5.19921875" style="1535" customWidth="1"/>
    <col min="2306" max="2306" width="47.09765625" style="1535" customWidth="1"/>
    <col min="2307" max="2307" width="10.19921875" style="1535" customWidth="1"/>
    <col min="2308" max="2308" width="19.69921875" style="1535" customWidth="1"/>
    <col min="2309" max="2560" width="9" style="1535"/>
    <col min="2561" max="2561" width="5.19921875" style="1535" customWidth="1"/>
    <col min="2562" max="2562" width="47.09765625" style="1535" customWidth="1"/>
    <col min="2563" max="2563" width="10.19921875" style="1535" customWidth="1"/>
    <col min="2564" max="2564" width="19.69921875" style="1535" customWidth="1"/>
    <col min="2565" max="2816" width="9" style="1535"/>
    <col min="2817" max="2817" width="5.19921875" style="1535" customWidth="1"/>
    <col min="2818" max="2818" width="47.09765625" style="1535" customWidth="1"/>
    <col min="2819" max="2819" width="10.19921875" style="1535" customWidth="1"/>
    <col min="2820" max="2820" width="19.69921875" style="1535" customWidth="1"/>
    <col min="2821" max="3072" width="9" style="1535"/>
    <col min="3073" max="3073" width="5.19921875" style="1535" customWidth="1"/>
    <col min="3074" max="3074" width="47.09765625" style="1535" customWidth="1"/>
    <col min="3075" max="3075" width="10.19921875" style="1535" customWidth="1"/>
    <col min="3076" max="3076" width="19.69921875" style="1535" customWidth="1"/>
    <col min="3077" max="3328" width="9" style="1535"/>
    <col min="3329" max="3329" width="5.19921875" style="1535" customWidth="1"/>
    <col min="3330" max="3330" width="47.09765625" style="1535" customWidth="1"/>
    <col min="3331" max="3331" width="10.19921875" style="1535" customWidth="1"/>
    <col min="3332" max="3332" width="19.69921875" style="1535" customWidth="1"/>
    <col min="3333" max="3584" width="9" style="1535"/>
    <col min="3585" max="3585" width="5.19921875" style="1535" customWidth="1"/>
    <col min="3586" max="3586" width="47.09765625" style="1535" customWidth="1"/>
    <col min="3587" max="3587" width="10.19921875" style="1535" customWidth="1"/>
    <col min="3588" max="3588" width="19.69921875" style="1535" customWidth="1"/>
    <col min="3589" max="3840" width="9" style="1535"/>
    <col min="3841" max="3841" width="5.19921875" style="1535" customWidth="1"/>
    <col min="3842" max="3842" width="47.09765625" style="1535" customWidth="1"/>
    <col min="3843" max="3843" width="10.19921875" style="1535" customWidth="1"/>
    <col min="3844" max="3844" width="19.69921875" style="1535" customWidth="1"/>
    <col min="3845" max="4096" width="9" style="1535"/>
    <col min="4097" max="4097" width="5.19921875" style="1535" customWidth="1"/>
    <col min="4098" max="4098" width="47.09765625" style="1535" customWidth="1"/>
    <col min="4099" max="4099" width="10.19921875" style="1535" customWidth="1"/>
    <col min="4100" max="4100" width="19.69921875" style="1535" customWidth="1"/>
    <col min="4101" max="4352" width="9" style="1535"/>
    <col min="4353" max="4353" width="5.19921875" style="1535" customWidth="1"/>
    <col min="4354" max="4354" width="47.09765625" style="1535" customWidth="1"/>
    <col min="4355" max="4355" width="10.19921875" style="1535" customWidth="1"/>
    <col min="4356" max="4356" width="19.69921875" style="1535" customWidth="1"/>
    <col min="4357" max="4608" width="9" style="1535"/>
    <col min="4609" max="4609" width="5.19921875" style="1535" customWidth="1"/>
    <col min="4610" max="4610" width="47.09765625" style="1535" customWidth="1"/>
    <col min="4611" max="4611" width="10.19921875" style="1535" customWidth="1"/>
    <col min="4612" max="4612" width="19.69921875" style="1535" customWidth="1"/>
    <col min="4613" max="4864" width="9" style="1535"/>
    <col min="4865" max="4865" width="5.19921875" style="1535" customWidth="1"/>
    <col min="4866" max="4866" width="47.09765625" style="1535" customWidth="1"/>
    <col min="4867" max="4867" width="10.19921875" style="1535" customWidth="1"/>
    <col min="4868" max="4868" width="19.69921875" style="1535" customWidth="1"/>
    <col min="4869" max="5120" width="9" style="1535"/>
    <col min="5121" max="5121" width="5.19921875" style="1535" customWidth="1"/>
    <col min="5122" max="5122" width="47.09765625" style="1535" customWidth="1"/>
    <col min="5123" max="5123" width="10.19921875" style="1535" customWidth="1"/>
    <col min="5124" max="5124" width="19.69921875" style="1535" customWidth="1"/>
    <col min="5125" max="5376" width="9" style="1535"/>
    <col min="5377" max="5377" width="5.19921875" style="1535" customWidth="1"/>
    <col min="5378" max="5378" width="47.09765625" style="1535" customWidth="1"/>
    <col min="5379" max="5379" width="10.19921875" style="1535" customWidth="1"/>
    <col min="5380" max="5380" width="19.69921875" style="1535" customWidth="1"/>
    <col min="5381" max="5632" width="9" style="1535"/>
    <col min="5633" max="5633" width="5.19921875" style="1535" customWidth="1"/>
    <col min="5634" max="5634" width="47.09765625" style="1535" customWidth="1"/>
    <col min="5635" max="5635" width="10.19921875" style="1535" customWidth="1"/>
    <col min="5636" max="5636" width="19.69921875" style="1535" customWidth="1"/>
    <col min="5637" max="5888" width="9" style="1535"/>
    <col min="5889" max="5889" width="5.19921875" style="1535" customWidth="1"/>
    <col min="5890" max="5890" width="47.09765625" style="1535" customWidth="1"/>
    <col min="5891" max="5891" width="10.19921875" style="1535" customWidth="1"/>
    <col min="5892" max="5892" width="19.69921875" style="1535" customWidth="1"/>
    <col min="5893" max="6144" width="9" style="1535"/>
    <col min="6145" max="6145" width="5.19921875" style="1535" customWidth="1"/>
    <col min="6146" max="6146" width="47.09765625" style="1535" customWidth="1"/>
    <col min="6147" max="6147" width="10.19921875" style="1535" customWidth="1"/>
    <col min="6148" max="6148" width="19.69921875" style="1535" customWidth="1"/>
    <col min="6149" max="6400" width="9" style="1535"/>
    <col min="6401" max="6401" width="5.19921875" style="1535" customWidth="1"/>
    <col min="6402" max="6402" width="47.09765625" style="1535" customWidth="1"/>
    <col min="6403" max="6403" width="10.19921875" style="1535" customWidth="1"/>
    <col min="6404" max="6404" width="19.69921875" style="1535" customWidth="1"/>
    <col min="6405" max="6656" width="9" style="1535"/>
    <col min="6657" max="6657" width="5.19921875" style="1535" customWidth="1"/>
    <col min="6658" max="6658" width="47.09765625" style="1535" customWidth="1"/>
    <col min="6659" max="6659" width="10.19921875" style="1535" customWidth="1"/>
    <col min="6660" max="6660" width="19.69921875" style="1535" customWidth="1"/>
    <col min="6661" max="6912" width="9" style="1535"/>
    <col min="6913" max="6913" width="5.19921875" style="1535" customWidth="1"/>
    <col min="6914" max="6914" width="47.09765625" style="1535" customWidth="1"/>
    <col min="6915" max="6915" width="10.19921875" style="1535" customWidth="1"/>
    <col min="6916" max="6916" width="19.69921875" style="1535" customWidth="1"/>
    <col min="6917" max="7168" width="9" style="1535"/>
    <col min="7169" max="7169" width="5.19921875" style="1535" customWidth="1"/>
    <col min="7170" max="7170" width="47.09765625" style="1535" customWidth="1"/>
    <col min="7171" max="7171" width="10.19921875" style="1535" customWidth="1"/>
    <col min="7172" max="7172" width="19.69921875" style="1535" customWidth="1"/>
    <col min="7173" max="7424" width="9" style="1535"/>
    <col min="7425" max="7425" width="5.19921875" style="1535" customWidth="1"/>
    <col min="7426" max="7426" width="47.09765625" style="1535" customWidth="1"/>
    <col min="7427" max="7427" width="10.19921875" style="1535" customWidth="1"/>
    <col min="7428" max="7428" width="19.69921875" style="1535" customWidth="1"/>
    <col min="7429" max="7680" width="9" style="1535"/>
    <col min="7681" max="7681" width="5.19921875" style="1535" customWidth="1"/>
    <col min="7682" max="7682" width="47.09765625" style="1535" customWidth="1"/>
    <col min="7683" max="7683" width="10.19921875" style="1535" customWidth="1"/>
    <col min="7684" max="7684" width="19.69921875" style="1535" customWidth="1"/>
    <col min="7685" max="7936" width="9" style="1535"/>
    <col min="7937" max="7937" width="5.19921875" style="1535" customWidth="1"/>
    <col min="7938" max="7938" width="47.09765625" style="1535" customWidth="1"/>
    <col min="7939" max="7939" width="10.19921875" style="1535" customWidth="1"/>
    <col min="7940" max="7940" width="19.69921875" style="1535" customWidth="1"/>
    <col min="7941" max="8192" width="9" style="1535"/>
    <col min="8193" max="8193" width="5.19921875" style="1535" customWidth="1"/>
    <col min="8194" max="8194" width="47.09765625" style="1535" customWidth="1"/>
    <col min="8195" max="8195" width="10.19921875" style="1535" customWidth="1"/>
    <col min="8196" max="8196" width="19.69921875" style="1535" customWidth="1"/>
    <col min="8197" max="8448" width="9" style="1535"/>
    <col min="8449" max="8449" width="5.19921875" style="1535" customWidth="1"/>
    <col min="8450" max="8450" width="47.09765625" style="1535" customWidth="1"/>
    <col min="8451" max="8451" width="10.19921875" style="1535" customWidth="1"/>
    <col min="8452" max="8452" width="19.69921875" style="1535" customWidth="1"/>
    <col min="8453" max="8704" width="9" style="1535"/>
    <col min="8705" max="8705" width="5.19921875" style="1535" customWidth="1"/>
    <col min="8706" max="8706" width="47.09765625" style="1535" customWidth="1"/>
    <col min="8707" max="8707" width="10.19921875" style="1535" customWidth="1"/>
    <col min="8708" max="8708" width="19.69921875" style="1535" customWidth="1"/>
    <col min="8709" max="8960" width="9" style="1535"/>
    <col min="8961" max="8961" width="5.19921875" style="1535" customWidth="1"/>
    <col min="8962" max="8962" width="47.09765625" style="1535" customWidth="1"/>
    <col min="8963" max="8963" width="10.19921875" style="1535" customWidth="1"/>
    <col min="8964" max="8964" width="19.69921875" style="1535" customWidth="1"/>
    <col min="8965" max="9216" width="9" style="1535"/>
    <col min="9217" max="9217" width="5.19921875" style="1535" customWidth="1"/>
    <col min="9218" max="9218" width="47.09765625" style="1535" customWidth="1"/>
    <col min="9219" max="9219" width="10.19921875" style="1535" customWidth="1"/>
    <col min="9220" max="9220" width="19.69921875" style="1535" customWidth="1"/>
    <col min="9221" max="9472" width="9" style="1535"/>
    <col min="9473" max="9473" width="5.19921875" style="1535" customWidth="1"/>
    <col min="9474" max="9474" width="47.09765625" style="1535" customWidth="1"/>
    <col min="9475" max="9475" width="10.19921875" style="1535" customWidth="1"/>
    <col min="9476" max="9476" width="19.69921875" style="1535" customWidth="1"/>
    <col min="9477" max="9728" width="9" style="1535"/>
    <col min="9729" max="9729" width="5.19921875" style="1535" customWidth="1"/>
    <col min="9730" max="9730" width="47.09765625" style="1535" customWidth="1"/>
    <col min="9731" max="9731" width="10.19921875" style="1535" customWidth="1"/>
    <col min="9732" max="9732" width="19.69921875" style="1535" customWidth="1"/>
    <col min="9733" max="9984" width="9" style="1535"/>
    <col min="9985" max="9985" width="5.19921875" style="1535" customWidth="1"/>
    <col min="9986" max="9986" width="47.09765625" style="1535" customWidth="1"/>
    <col min="9987" max="9987" width="10.19921875" style="1535" customWidth="1"/>
    <col min="9988" max="9988" width="19.69921875" style="1535" customWidth="1"/>
    <col min="9989" max="10240" width="9" style="1535"/>
    <col min="10241" max="10241" width="5.19921875" style="1535" customWidth="1"/>
    <col min="10242" max="10242" width="47.09765625" style="1535" customWidth="1"/>
    <col min="10243" max="10243" width="10.19921875" style="1535" customWidth="1"/>
    <col min="10244" max="10244" width="19.69921875" style="1535" customWidth="1"/>
    <col min="10245" max="10496" width="9" style="1535"/>
    <col min="10497" max="10497" width="5.19921875" style="1535" customWidth="1"/>
    <col min="10498" max="10498" width="47.09765625" style="1535" customWidth="1"/>
    <col min="10499" max="10499" width="10.19921875" style="1535" customWidth="1"/>
    <col min="10500" max="10500" width="19.69921875" style="1535" customWidth="1"/>
    <col min="10501" max="10752" width="9" style="1535"/>
    <col min="10753" max="10753" width="5.19921875" style="1535" customWidth="1"/>
    <col min="10754" max="10754" width="47.09765625" style="1535" customWidth="1"/>
    <col min="10755" max="10755" width="10.19921875" style="1535" customWidth="1"/>
    <col min="10756" max="10756" width="19.69921875" style="1535" customWidth="1"/>
    <col min="10757" max="11008" width="9" style="1535"/>
    <col min="11009" max="11009" width="5.19921875" style="1535" customWidth="1"/>
    <col min="11010" max="11010" width="47.09765625" style="1535" customWidth="1"/>
    <col min="11011" max="11011" width="10.19921875" style="1535" customWidth="1"/>
    <col min="11012" max="11012" width="19.69921875" style="1535" customWidth="1"/>
    <col min="11013" max="11264" width="9" style="1535"/>
    <col min="11265" max="11265" width="5.19921875" style="1535" customWidth="1"/>
    <col min="11266" max="11266" width="47.09765625" style="1535" customWidth="1"/>
    <col min="11267" max="11267" width="10.19921875" style="1535" customWidth="1"/>
    <col min="11268" max="11268" width="19.69921875" style="1535" customWidth="1"/>
    <col min="11269" max="11520" width="9" style="1535"/>
    <col min="11521" max="11521" width="5.19921875" style="1535" customWidth="1"/>
    <col min="11522" max="11522" width="47.09765625" style="1535" customWidth="1"/>
    <col min="11523" max="11523" width="10.19921875" style="1535" customWidth="1"/>
    <col min="11524" max="11524" width="19.69921875" style="1535" customWidth="1"/>
    <col min="11525" max="11776" width="9" style="1535"/>
    <col min="11777" max="11777" width="5.19921875" style="1535" customWidth="1"/>
    <col min="11778" max="11778" width="47.09765625" style="1535" customWidth="1"/>
    <col min="11779" max="11779" width="10.19921875" style="1535" customWidth="1"/>
    <col min="11780" max="11780" width="19.69921875" style="1535" customWidth="1"/>
    <col min="11781" max="12032" width="9" style="1535"/>
    <col min="12033" max="12033" width="5.19921875" style="1535" customWidth="1"/>
    <col min="12034" max="12034" width="47.09765625" style="1535" customWidth="1"/>
    <col min="12035" max="12035" width="10.19921875" style="1535" customWidth="1"/>
    <col min="12036" max="12036" width="19.69921875" style="1535" customWidth="1"/>
    <col min="12037" max="12288" width="9" style="1535"/>
    <col min="12289" max="12289" width="5.19921875" style="1535" customWidth="1"/>
    <col min="12290" max="12290" width="47.09765625" style="1535" customWidth="1"/>
    <col min="12291" max="12291" width="10.19921875" style="1535" customWidth="1"/>
    <col min="12292" max="12292" width="19.69921875" style="1535" customWidth="1"/>
    <col min="12293" max="12544" width="9" style="1535"/>
    <col min="12545" max="12545" width="5.19921875" style="1535" customWidth="1"/>
    <col min="12546" max="12546" width="47.09765625" style="1535" customWidth="1"/>
    <col min="12547" max="12547" width="10.19921875" style="1535" customWidth="1"/>
    <col min="12548" max="12548" width="19.69921875" style="1535" customWidth="1"/>
    <col min="12549" max="12800" width="9" style="1535"/>
    <col min="12801" max="12801" width="5.19921875" style="1535" customWidth="1"/>
    <col min="12802" max="12802" width="47.09765625" style="1535" customWidth="1"/>
    <col min="12803" max="12803" width="10.19921875" style="1535" customWidth="1"/>
    <col min="12804" max="12804" width="19.69921875" style="1535" customWidth="1"/>
    <col min="12805" max="13056" width="9" style="1535"/>
    <col min="13057" max="13057" width="5.19921875" style="1535" customWidth="1"/>
    <col min="13058" max="13058" width="47.09765625" style="1535" customWidth="1"/>
    <col min="13059" max="13059" width="10.19921875" style="1535" customWidth="1"/>
    <col min="13060" max="13060" width="19.69921875" style="1535" customWidth="1"/>
    <col min="13061" max="13312" width="9" style="1535"/>
    <col min="13313" max="13313" width="5.19921875" style="1535" customWidth="1"/>
    <col min="13314" max="13314" width="47.09765625" style="1535" customWidth="1"/>
    <col min="13315" max="13315" width="10.19921875" style="1535" customWidth="1"/>
    <col min="13316" max="13316" width="19.69921875" style="1535" customWidth="1"/>
    <col min="13317" max="13568" width="9" style="1535"/>
    <col min="13569" max="13569" width="5.19921875" style="1535" customWidth="1"/>
    <col min="13570" max="13570" width="47.09765625" style="1535" customWidth="1"/>
    <col min="13571" max="13571" width="10.19921875" style="1535" customWidth="1"/>
    <col min="13572" max="13572" width="19.69921875" style="1535" customWidth="1"/>
    <col min="13573" max="13824" width="9" style="1535"/>
    <col min="13825" max="13825" width="5.19921875" style="1535" customWidth="1"/>
    <col min="13826" max="13826" width="47.09765625" style="1535" customWidth="1"/>
    <col min="13827" max="13827" width="10.19921875" style="1535" customWidth="1"/>
    <col min="13828" max="13828" width="19.69921875" style="1535" customWidth="1"/>
    <col min="13829" max="14080" width="9" style="1535"/>
    <col min="14081" max="14081" width="5.19921875" style="1535" customWidth="1"/>
    <col min="14082" max="14082" width="47.09765625" style="1535" customWidth="1"/>
    <col min="14083" max="14083" width="10.19921875" style="1535" customWidth="1"/>
    <col min="14084" max="14084" width="19.69921875" style="1535" customWidth="1"/>
    <col min="14085" max="14336" width="9" style="1535"/>
    <col min="14337" max="14337" width="5.19921875" style="1535" customWidth="1"/>
    <col min="14338" max="14338" width="47.09765625" style="1535" customWidth="1"/>
    <col min="14339" max="14339" width="10.19921875" style="1535" customWidth="1"/>
    <col min="14340" max="14340" width="19.69921875" style="1535" customWidth="1"/>
    <col min="14341" max="14592" width="9" style="1535"/>
    <col min="14593" max="14593" width="5.19921875" style="1535" customWidth="1"/>
    <col min="14594" max="14594" width="47.09765625" style="1535" customWidth="1"/>
    <col min="14595" max="14595" width="10.19921875" style="1535" customWidth="1"/>
    <col min="14596" max="14596" width="19.69921875" style="1535" customWidth="1"/>
    <col min="14597" max="14848" width="9" style="1535"/>
    <col min="14849" max="14849" width="5.19921875" style="1535" customWidth="1"/>
    <col min="14850" max="14850" width="47.09765625" style="1535" customWidth="1"/>
    <col min="14851" max="14851" width="10.19921875" style="1535" customWidth="1"/>
    <col min="14852" max="14852" width="19.69921875" style="1535" customWidth="1"/>
    <col min="14853" max="15104" width="9" style="1535"/>
    <col min="15105" max="15105" width="5.19921875" style="1535" customWidth="1"/>
    <col min="15106" max="15106" width="47.09765625" style="1535" customWidth="1"/>
    <col min="15107" max="15107" width="10.19921875" style="1535" customWidth="1"/>
    <col min="15108" max="15108" width="19.69921875" style="1535" customWidth="1"/>
    <col min="15109" max="15360" width="9" style="1535"/>
    <col min="15361" max="15361" width="5.19921875" style="1535" customWidth="1"/>
    <col min="15362" max="15362" width="47.09765625" style="1535" customWidth="1"/>
    <col min="15363" max="15363" width="10.19921875" style="1535" customWidth="1"/>
    <col min="15364" max="15364" width="19.69921875" style="1535" customWidth="1"/>
    <col min="15365" max="15616" width="9" style="1535"/>
    <col min="15617" max="15617" width="5.19921875" style="1535" customWidth="1"/>
    <col min="15618" max="15618" width="47.09765625" style="1535" customWidth="1"/>
    <col min="15619" max="15619" width="10.19921875" style="1535" customWidth="1"/>
    <col min="15620" max="15620" width="19.69921875" style="1535" customWidth="1"/>
    <col min="15621" max="15872" width="9" style="1535"/>
    <col min="15873" max="15873" width="5.19921875" style="1535" customWidth="1"/>
    <col min="15874" max="15874" width="47.09765625" style="1535" customWidth="1"/>
    <col min="15875" max="15875" width="10.19921875" style="1535" customWidth="1"/>
    <col min="15876" max="15876" width="19.69921875" style="1535" customWidth="1"/>
    <col min="15877" max="16128" width="9" style="1535"/>
    <col min="16129" max="16129" width="5.19921875" style="1535" customWidth="1"/>
    <col min="16130" max="16130" width="47.09765625" style="1535" customWidth="1"/>
    <col min="16131" max="16131" width="10.19921875" style="1535" customWidth="1"/>
    <col min="16132" max="16132" width="19.69921875" style="1535" customWidth="1"/>
    <col min="16133" max="16384" width="9" style="1535"/>
  </cols>
  <sheetData>
    <row r="1" spans="1:4" s="1534" customFormat="1" ht="20.100000000000001" customHeight="1">
      <c r="A1" s="3400" t="s">
        <v>4895</v>
      </c>
      <c r="B1" s="3400"/>
      <c r="C1" s="3400"/>
      <c r="D1" s="2007"/>
    </row>
    <row r="2" spans="1:4" ht="25.5" customHeight="1">
      <c r="A2" s="3401" t="s">
        <v>4896</v>
      </c>
      <c r="B2" s="3401"/>
      <c r="C2" s="3401"/>
      <c r="D2" s="1944"/>
    </row>
    <row r="3" spans="1:4" ht="14.25" customHeight="1">
      <c r="A3" s="1910" t="s">
        <v>1853</v>
      </c>
      <c r="B3" s="1910" t="s">
        <v>4897</v>
      </c>
      <c r="C3" s="1910" t="s">
        <v>4898</v>
      </c>
      <c r="D3" s="1910" t="s">
        <v>4899</v>
      </c>
    </row>
    <row r="4" spans="1:4" ht="14.25" customHeight="1">
      <c r="A4" s="1910">
        <v>1</v>
      </c>
      <c r="B4" s="1913" t="s">
        <v>4900</v>
      </c>
      <c r="C4" s="2075">
        <f>C5+C21+C30+C35+C36+C37</f>
        <v>0</v>
      </c>
      <c r="D4" s="1910" t="s">
        <v>4901</v>
      </c>
    </row>
    <row r="5" spans="1:4" ht="14.25" customHeight="1">
      <c r="A5" s="1910">
        <v>2</v>
      </c>
      <c r="B5" s="1913" t="s">
        <v>4902</v>
      </c>
      <c r="C5" s="2075">
        <f>C6+C13</f>
        <v>0</v>
      </c>
      <c r="D5" s="1910"/>
    </row>
    <row r="6" spans="1:4" ht="14.25" customHeight="1">
      <c r="A6" s="1910">
        <v>3</v>
      </c>
      <c r="B6" s="1913" t="s">
        <v>4903</v>
      </c>
      <c r="C6" s="2075">
        <f>SUM(C7:C12)</f>
        <v>0</v>
      </c>
      <c r="D6" s="1910"/>
    </row>
    <row r="7" spans="1:4" ht="14.25" customHeight="1">
      <c r="A7" s="1910">
        <v>4</v>
      </c>
      <c r="B7" s="1945" t="s">
        <v>4904</v>
      </c>
      <c r="C7" s="2077"/>
      <c r="D7" s="1910"/>
    </row>
    <row r="8" spans="1:4" ht="14.25" customHeight="1">
      <c r="A8" s="1910">
        <v>5</v>
      </c>
      <c r="B8" s="1945" t="s">
        <v>4905</v>
      </c>
      <c r="C8" s="2077"/>
      <c r="D8" s="1910"/>
    </row>
    <row r="9" spans="1:4" ht="14.25" customHeight="1">
      <c r="A9" s="1910">
        <v>6</v>
      </c>
      <c r="B9" s="1945" t="s">
        <v>4906</v>
      </c>
      <c r="C9" s="2077"/>
      <c r="D9" s="1910"/>
    </row>
    <row r="10" spans="1:4" ht="14.25" customHeight="1">
      <c r="A10" s="1910">
        <v>7</v>
      </c>
      <c r="B10" s="1945" t="s">
        <v>4907</v>
      </c>
      <c r="C10" s="2077"/>
      <c r="D10" s="1910"/>
    </row>
    <row r="11" spans="1:4" ht="14.25" customHeight="1">
      <c r="A11" s="1910">
        <v>8</v>
      </c>
      <c r="B11" s="1945" t="s">
        <v>4908</v>
      </c>
      <c r="C11" s="2077"/>
      <c r="D11" s="1910"/>
    </row>
    <row r="12" spans="1:4" ht="14.25" customHeight="1">
      <c r="A12" s="1910">
        <v>9</v>
      </c>
      <c r="B12" s="1945" t="s">
        <v>4909</v>
      </c>
      <c r="C12" s="2077"/>
      <c r="D12" s="1910"/>
    </row>
    <row r="13" spans="1:4" ht="14.25" customHeight="1">
      <c r="A13" s="1910">
        <v>10</v>
      </c>
      <c r="B13" s="1913" t="s">
        <v>4910</v>
      </c>
      <c r="C13" s="2075">
        <f>SUM(C14:C20)</f>
        <v>0</v>
      </c>
      <c r="D13" s="1910"/>
    </row>
    <row r="14" spans="1:4" ht="14.25" customHeight="1">
      <c r="A14" s="1910">
        <v>11</v>
      </c>
      <c r="B14" s="1945" t="s">
        <v>4911</v>
      </c>
      <c r="C14" s="2077"/>
      <c r="D14" s="1910"/>
    </row>
    <row r="15" spans="1:4" ht="14.25" customHeight="1">
      <c r="A15" s="1910">
        <v>12</v>
      </c>
      <c r="B15" s="1945" t="s">
        <v>4912</v>
      </c>
      <c r="C15" s="2077"/>
      <c r="D15" s="1910"/>
    </row>
    <row r="16" spans="1:4" ht="14.25" customHeight="1">
      <c r="A16" s="1910">
        <v>13</v>
      </c>
      <c r="B16" s="1945" t="s">
        <v>4913</v>
      </c>
      <c r="C16" s="2077"/>
      <c r="D16" s="1910"/>
    </row>
    <row r="17" spans="1:4" ht="14.25" customHeight="1">
      <c r="A17" s="1910">
        <v>14</v>
      </c>
      <c r="B17" s="1945" t="s">
        <v>4914</v>
      </c>
      <c r="C17" s="2077"/>
      <c r="D17" s="1910"/>
    </row>
    <row r="18" spans="1:4" ht="14.25" customHeight="1">
      <c r="A18" s="1910">
        <v>15</v>
      </c>
      <c r="B18" s="1945" t="s">
        <v>4915</v>
      </c>
      <c r="C18" s="2077"/>
      <c r="D18" s="1910"/>
    </row>
    <row r="19" spans="1:4" ht="14.25" customHeight="1">
      <c r="A19" s="1910">
        <v>16</v>
      </c>
      <c r="B19" s="1945" t="s">
        <v>4916</v>
      </c>
      <c r="C19" s="2077"/>
      <c r="D19" s="1910"/>
    </row>
    <row r="20" spans="1:4" ht="14.25" customHeight="1">
      <c r="A20" s="1910">
        <v>17</v>
      </c>
      <c r="B20" s="1945" t="s">
        <v>4917</v>
      </c>
      <c r="C20" s="2077"/>
      <c r="D20" s="1910"/>
    </row>
    <row r="21" spans="1:4" ht="14.25" customHeight="1">
      <c r="A21" s="1910">
        <v>18</v>
      </c>
      <c r="B21" s="1945" t="s">
        <v>4918</v>
      </c>
      <c r="C21" s="2075">
        <f>C22+C29</f>
        <v>0</v>
      </c>
      <c r="D21" s="1910"/>
    </row>
    <row r="22" spans="1:4" ht="14.25" customHeight="1">
      <c r="A22" s="1910">
        <v>19</v>
      </c>
      <c r="B22" s="1945" t="s">
        <v>4919</v>
      </c>
      <c r="C22" s="2075">
        <f>SUM(C23:C28)</f>
        <v>0</v>
      </c>
      <c r="D22" s="1910"/>
    </row>
    <row r="23" spans="1:4" ht="14.25" customHeight="1">
      <c r="A23" s="1910">
        <v>20</v>
      </c>
      <c r="B23" s="1946" t="s">
        <v>4920</v>
      </c>
      <c r="C23" s="2077"/>
      <c r="D23" s="1910"/>
    </row>
    <row r="24" spans="1:4" ht="14.25" customHeight="1">
      <c r="A24" s="1910">
        <v>21</v>
      </c>
      <c r="B24" s="1945" t="s">
        <v>4921</v>
      </c>
      <c r="C24" s="2077"/>
      <c r="D24" s="1910"/>
    </row>
    <row r="25" spans="1:4" ht="14.25" customHeight="1">
      <c r="A25" s="1910">
        <v>22</v>
      </c>
      <c r="B25" s="1945" t="s">
        <v>4922</v>
      </c>
      <c r="C25" s="2077"/>
      <c r="D25" s="1910"/>
    </row>
    <row r="26" spans="1:4" ht="14.25" customHeight="1">
      <c r="A26" s="1910">
        <v>23</v>
      </c>
      <c r="B26" s="1945" t="s">
        <v>4923</v>
      </c>
      <c r="C26" s="2077"/>
      <c r="D26" s="1910"/>
    </row>
    <row r="27" spans="1:4" ht="14.25" customHeight="1">
      <c r="A27" s="1910">
        <v>24</v>
      </c>
      <c r="B27" s="1945" t="s">
        <v>4924</v>
      </c>
      <c r="C27" s="2077"/>
      <c r="D27" s="1910"/>
    </row>
    <row r="28" spans="1:4" ht="14.25" customHeight="1">
      <c r="A28" s="1910">
        <v>25</v>
      </c>
      <c r="B28" s="1945" t="s">
        <v>4909</v>
      </c>
      <c r="C28" s="2077"/>
      <c r="D28" s="1910"/>
    </row>
    <row r="29" spans="1:4" ht="14.25" customHeight="1">
      <c r="A29" s="1910">
        <v>26</v>
      </c>
      <c r="B29" s="1945" t="s">
        <v>4925</v>
      </c>
      <c r="C29" s="2077"/>
      <c r="D29" s="1910"/>
    </row>
    <row r="30" spans="1:4" ht="14.25" customHeight="1">
      <c r="A30" s="1910">
        <v>27</v>
      </c>
      <c r="B30" s="1913" t="s">
        <v>4926</v>
      </c>
      <c r="C30" s="2075">
        <f>C31-C33-C34</f>
        <v>0</v>
      </c>
      <c r="D30" s="1910"/>
    </row>
    <row r="31" spans="1:4" ht="14.25" customHeight="1">
      <c r="A31" s="1910">
        <v>28</v>
      </c>
      <c r="B31" s="1913" t="s">
        <v>4927</v>
      </c>
      <c r="C31" s="2077"/>
      <c r="D31" s="1910"/>
    </row>
    <row r="32" spans="1:4" ht="14.25" customHeight="1">
      <c r="A32" s="1910">
        <v>29</v>
      </c>
      <c r="B32" s="1913" t="s">
        <v>4928</v>
      </c>
      <c r="C32" s="2077"/>
      <c r="D32" s="1910"/>
    </row>
    <row r="33" spans="1:4" ht="14.25" customHeight="1">
      <c r="A33" s="1910">
        <v>30</v>
      </c>
      <c r="B33" s="1913" t="s">
        <v>4929</v>
      </c>
      <c r="C33" s="2077"/>
      <c r="D33" s="1910"/>
    </row>
    <row r="34" spans="1:4" ht="14.25" customHeight="1">
      <c r="A34" s="1910">
        <v>31</v>
      </c>
      <c r="B34" s="1913" t="s">
        <v>4930</v>
      </c>
      <c r="C34" s="2077"/>
      <c r="D34" s="1910"/>
    </row>
    <row r="35" spans="1:4" ht="14.25" customHeight="1">
      <c r="A35" s="1910">
        <v>32</v>
      </c>
      <c r="B35" s="1913" t="s">
        <v>4931</v>
      </c>
      <c r="C35" s="2077"/>
      <c r="D35" s="1910"/>
    </row>
    <row r="36" spans="1:4" ht="14.25" customHeight="1">
      <c r="A36" s="1910">
        <v>33</v>
      </c>
      <c r="B36" s="1913" t="s">
        <v>4932</v>
      </c>
      <c r="C36" s="2077"/>
      <c r="D36" s="1910"/>
    </row>
    <row r="37" spans="1:4" ht="14.25" customHeight="1">
      <c r="A37" s="1910">
        <v>34</v>
      </c>
      <c r="B37" s="1913" t="s">
        <v>4933</v>
      </c>
      <c r="C37" s="2077"/>
      <c r="D37" s="1910"/>
    </row>
    <row r="38" spans="1:4" ht="14.25" customHeight="1">
      <c r="A38" s="1910">
        <v>35</v>
      </c>
      <c r="B38" s="1913" t="s">
        <v>4934</v>
      </c>
      <c r="C38" s="2075">
        <f>SUM(C39:C45)</f>
        <v>0</v>
      </c>
      <c r="D38" s="1910" t="s">
        <v>4935</v>
      </c>
    </row>
    <row r="39" spans="1:4" ht="14.25" customHeight="1">
      <c r="A39" s="1910">
        <v>36</v>
      </c>
      <c r="B39" s="1913" t="s">
        <v>4936</v>
      </c>
      <c r="C39" s="2077"/>
      <c r="D39" s="1910"/>
    </row>
    <row r="40" spans="1:4" ht="14.25" customHeight="1">
      <c r="A40" s="1910">
        <v>37</v>
      </c>
      <c r="B40" s="1913" t="s">
        <v>4937</v>
      </c>
      <c r="C40" s="2077"/>
      <c r="D40" s="1910"/>
    </row>
    <row r="41" spans="1:4" ht="14.25" customHeight="1">
      <c r="A41" s="1910">
        <v>38</v>
      </c>
      <c r="B41" s="1913" t="s">
        <v>4938</v>
      </c>
      <c r="C41" s="2077"/>
      <c r="D41" s="1910"/>
    </row>
    <row r="42" spans="1:4" ht="14.25" customHeight="1">
      <c r="A42" s="1910">
        <v>39</v>
      </c>
      <c r="B42" s="1913" t="s">
        <v>4939</v>
      </c>
      <c r="C42" s="2077"/>
      <c r="D42" s="1910"/>
    </row>
    <row r="43" spans="1:4" ht="14.25" customHeight="1">
      <c r="A43" s="1910">
        <v>40</v>
      </c>
      <c r="B43" s="1913" t="s">
        <v>4940</v>
      </c>
      <c r="C43" s="2077"/>
      <c r="D43" s="1910"/>
    </row>
    <row r="44" spans="1:4" ht="14.25" customHeight="1">
      <c r="A44" s="1910">
        <v>41</v>
      </c>
      <c r="B44" s="1913" t="s">
        <v>4941</v>
      </c>
      <c r="C44" s="2077"/>
      <c r="D44" s="1910"/>
    </row>
    <row r="45" spans="1:4" ht="14.25" customHeight="1">
      <c r="A45" s="1910">
        <v>42</v>
      </c>
      <c r="B45" s="1913" t="s">
        <v>4942</v>
      </c>
      <c r="C45" s="2077"/>
      <c r="D45"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59765625" defaultRowHeight="15.6"/>
  <cols>
    <col min="1" max="1" width="5.09765625" style="1532" customWidth="1"/>
    <col min="2" max="2" width="43.19921875" style="1532" customWidth="1"/>
    <col min="3" max="3" width="16.5" style="1532" customWidth="1"/>
    <col min="4" max="4" width="21.8984375" style="1532" customWidth="1"/>
    <col min="5" max="256" width="31.59765625" style="1532"/>
    <col min="257" max="257" width="5.09765625" style="1532" customWidth="1"/>
    <col min="258" max="258" width="43.19921875" style="1532" customWidth="1"/>
    <col min="259" max="259" width="10.69921875" style="1532" customWidth="1"/>
    <col min="260" max="260" width="21.8984375" style="1532" customWidth="1"/>
    <col min="261" max="512" width="31.59765625" style="1532"/>
    <col min="513" max="513" width="5.09765625" style="1532" customWidth="1"/>
    <col min="514" max="514" width="43.19921875" style="1532" customWidth="1"/>
    <col min="515" max="515" width="10.69921875" style="1532" customWidth="1"/>
    <col min="516" max="516" width="21.8984375" style="1532" customWidth="1"/>
    <col min="517" max="768" width="31.59765625" style="1532"/>
    <col min="769" max="769" width="5.09765625" style="1532" customWidth="1"/>
    <col min="770" max="770" width="43.19921875" style="1532" customWidth="1"/>
    <col min="771" max="771" width="10.69921875" style="1532" customWidth="1"/>
    <col min="772" max="772" width="21.8984375" style="1532" customWidth="1"/>
    <col min="773" max="1024" width="31.59765625" style="1532"/>
    <col min="1025" max="1025" width="5.09765625" style="1532" customWidth="1"/>
    <col min="1026" max="1026" width="43.19921875" style="1532" customWidth="1"/>
    <col min="1027" max="1027" width="10.69921875" style="1532" customWidth="1"/>
    <col min="1028" max="1028" width="21.8984375" style="1532" customWidth="1"/>
    <col min="1029" max="1280" width="31.59765625" style="1532"/>
    <col min="1281" max="1281" width="5.09765625" style="1532" customWidth="1"/>
    <col min="1282" max="1282" width="43.19921875" style="1532" customWidth="1"/>
    <col min="1283" max="1283" width="10.69921875" style="1532" customWidth="1"/>
    <col min="1284" max="1284" width="21.8984375" style="1532" customWidth="1"/>
    <col min="1285" max="1536" width="31.59765625" style="1532"/>
    <col min="1537" max="1537" width="5.09765625" style="1532" customWidth="1"/>
    <col min="1538" max="1538" width="43.19921875" style="1532" customWidth="1"/>
    <col min="1539" max="1539" width="10.69921875" style="1532" customWidth="1"/>
    <col min="1540" max="1540" width="21.8984375" style="1532" customWidth="1"/>
    <col min="1541" max="1792" width="31.59765625" style="1532"/>
    <col min="1793" max="1793" width="5.09765625" style="1532" customWidth="1"/>
    <col min="1794" max="1794" width="43.19921875" style="1532" customWidth="1"/>
    <col min="1795" max="1795" width="10.69921875" style="1532" customWidth="1"/>
    <col min="1796" max="1796" width="21.8984375" style="1532" customWidth="1"/>
    <col min="1797" max="2048" width="31.59765625" style="1532"/>
    <col min="2049" max="2049" width="5.09765625" style="1532" customWidth="1"/>
    <col min="2050" max="2050" width="43.19921875" style="1532" customWidth="1"/>
    <col min="2051" max="2051" width="10.69921875" style="1532" customWidth="1"/>
    <col min="2052" max="2052" width="21.8984375" style="1532" customWidth="1"/>
    <col min="2053" max="2304" width="31.59765625" style="1532"/>
    <col min="2305" max="2305" width="5.09765625" style="1532" customWidth="1"/>
    <col min="2306" max="2306" width="43.19921875" style="1532" customWidth="1"/>
    <col min="2307" max="2307" width="10.69921875" style="1532" customWidth="1"/>
    <col min="2308" max="2308" width="21.8984375" style="1532" customWidth="1"/>
    <col min="2309" max="2560" width="31.59765625" style="1532"/>
    <col min="2561" max="2561" width="5.09765625" style="1532" customWidth="1"/>
    <col min="2562" max="2562" width="43.19921875" style="1532" customWidth="1"/>
    <col min="2563" max="2563" width="10.69921875" style="1532" customWidth="1"/>
    <col min="2564" max="2564" width="21.8984375" style="1532" customWidth="1"/>
    <col min="2565" max="2816" width="31.59765625" style="1532"/>
    <col min="2817" max="2817" width="5.09765625" style="1532" customWidth="1"/>
    <col min="2818" max="2818" width="43.19921875" style="1532" customWidth="1"/>
    <col min="2819" max="2819" width="10.69921875" style="1532" customWidth="1"/>
    <col min="2820" max="2820" width="21.8984375" style="1532" customWidth="1"/>
    <col min="2821" max="3072" width="31.59765625" style="1532"/>
    <col min="3073" max="3073" width="5.09765625" style="1532" customWidth="1"/>
    <col min="3074" max="3074" width="43.19921875" style="1532" customWidth="1"/>
    <col min="3075" max="3075" width="10.69921875" style="1532" customWidth="1"/>
    <col min="3076" max="3076" width="21.8984375" style="1532" customWidth="1"/>
    <col min="3077" max="3328" width="31.59765625" style="1532"/>
    <col min="3329" max="3329" width="5.09765625" style="1532" customWidth="1"/>
    <col min="3330" max="3330" width="43.19921875" style="1532" customWidth="1"/>
    <col min="3331" max="3331" width="10.69921875" style="1532" customWidth="1"/>
    <col min="3332" max="3332" width="21.8984375" style="1532" customWidth="1"/>
    <col min="3333" max="3584" width="31.59765625" style="1532"/>
    <col min="3585" max="3585" width="5.09765625" style="1532" customWidth="1"/>
    <col min="3586" max="3586" width="43.19921875" style="1532" customWidth="1"/>
    <col min="3587" max="3587" width="10.69921875" style="1532" customWidth="1"/>
    <col min="3588" max="3588" width="21.8984375" style="1532" customWidth="1"/>
    <col min="3589" max="3840" width="31.59765625" style="1532"/>
    <col min="3841" max="3841" width="5.09765625" style="1532" customWidth="1"/>
    <col min="3842" max="3842" width="43.19921875" style="1532" customWidth="1"/>
    <col min="3843" max="3843" width="10.69921875" style="1532" customWidth="1"/>
    <col min="3844" max="3844" width="21.8984375" style="1532" customWidth="1"/>
    <col min="3845" max="4096" width="31.59765625" style="1532"/>
    <col min="4097" max="4097" width="5.09765625" style="1532" customWidth="1"/>
    <col min="4098" max="4098" width="43.19921875" style="1532" customWidth="1"/>
    <col min="4099" max="4099" width="10.69921875" style="1532" customWidth="1"/>
    <col min="4100" max="4100" width="21.8984375" style="1532" customWidth="1"/>
    <col min="4101" max="4352" width="31.59765625" style="1532"/>
    <col min="4353" max="4353" width="5.09765625" style="1532" customWidth="1"/>
    <col min="4354" max="4354" width="43.19921875" style="1532" customWidth="1"/>
    <col min="4355" max="4355" width="10.69921875" style="1532" customWidth="1"/>
    <col min="4356" max="4356" width="21.8984375" style="1532" customWidth="1"/>
    <col min="4357" max="4608" width="31.59765625" style="1532"/>
    <col min="4609" max="4609" width="5.09765625" style="1532" customWidth="1"/>
    <col min="4610" max="4610" width="43.19921875" style="1532" customWidth="1"/>
    <col min="4611" max="4611" width="10.69921875" style="1532" customWidth="1"/>
    <col min="4612" max="4612" width="21.8984375" style="1532" customWidth="1"/>
    <col min="4613" max="4864" width="31.59765625" style="1532"/>
    <col min="4865" max="4865" width="5.09765625" style="1532" customWidth="1"/>
    <col min="4866" max="4866" width="43.19921875" style="1532" customWidth="1"/>
    <col min="4867" max="4867" width="10.69921875" style="1532" customWidth="1"/>
    <col min="4868" max="4868" width="21.8984375" style="1532" customWidth="1"/>
    <col min="4869" max="5120" width="31.59765625" style="1532"/>
    <col min="5121" max="5121" width="5.09765625" style="1532" customWidth="1"/>
    <col min="5122" max="5122" width="43.19921875" style="1532" customWidth="1"/>
    <col min="5123" max="5123" width="10.69921875" style="1532" customWidth="1"/>
    <col min="5124" max="5124" width="21.8984375" style="1532" customWidth="1"/>
    <col min="5125" max="5376" width="31.59765625" style="1532"/>
    <col min="5377" max="5377" width="5.09765625" style="1532" customWidth="1"/>
    <col min="5378" max="5378" width="43.19921875" style="1532" customWidth="1"/>
    <col min="5379" max="5379" width="10.69921875" style="1532" customWidth="1"/>
    <col min="5380" max="5380" width="21.8984375" style="1532" customWidth="1"/>
    <col min="5381" max="5632" width="31.59765625" style="1532"/>
    <col min="5633" max="5633" width="5.09765625" style="1532" customWidth="1"/>
    <col min="5634" max="5634" width="43.19921875" style="1532" customWidth="1"/>
    <col min="5635" max="5635" width="10.69921875" style="1532" customWidth="1"/>
    <col min="5636" max="5636" width="21.8984375" style="1532" customWidth="1"/>
    <col min="5637" max="5888" width="31.59765625" style="1532"/>
    <col min="5889" max="5889" width="5.09765625" style="1532" customWidth="1"/>
    <col min="5890" max="5890" width="43.19921875" style="1532" customWidth="1"/>
    <col min="5891" max="5891" width="10.69921875" style="1532" customWidth="1"/>
    <col min="5892" max="5892" width="21.8984375" style="1532" customWidth="1"/>
    <col min="5893" max="6144" width="31.59765625" style="1532"/>
    <col min="6145" max="6145" width="5.09765625" style="1532" customWidth="1"/>
    <col min="6146" max="6146" width="43.19921875" style="1532" customWidth="1"/>
    <col min="6147" max="6147" width="10.69921875" style="1532" customWidth="1"/>
    <col min="6148" max="6148" width="21.8984375" style="1532" customWidth="1"/>
    <col min="6149" max="6400" width="31.59765625" style="1532"/>
    <col min="6401" max="6401" width="5.09765625" style="1532" customWidth="1"/>
    <col min="6402" max="6402" width="43.19921875" style="1532" customWidth="1"/>
    <col min="6403" max="6403" width="10.69921875" style="1532" customWidth="1"/>
    <col min="6404" max="6404" width="21.8984375" style="1532" customWidth="1"/>
    <col min="6405" max="6656" width="31.59765625" style="1532"/>
    <col min="6657" max="6657" width="5.09765625" style="1532" customWidth="1"/>
    <col min="6658" max="6658" width="43.19921875" style="1532" customWidth="1"/>
    <col min="6659" max="6659" width="10.69921875" style="1532" customWidth="1"/>
    <col min="6660" max="6660" width="21.8984375" style="1532" customWidth="1"/>
    <col min="6661" max="6912" width="31.59765625" style="1532"/>
    <col min="6913" max="6913" width="5.09765625" style="1532" customWidth="1"/>
    <col min="6914" max="6914" width="43.19921875" style="1532" customWidth="1"/>
    <col min="6915" max="6915" width="10.69921875" style="1532" customWidth="1"/>
    <col min="6916" max="6916" width="21.8984375" style="1532" customWidth="1"/>
    <col min="6917" max="7168" width="31.59765625" style="1532"/>
    <col min="7169" max="7169" width="5.09765625" style="1532" customWidth="1"/>
    <col min="7170" max="7170" width="43.19921875" style="1532" customWidth="1"/>
    <col min="7171" max="7171" width="10.69921875" style="1532" customWidth="1"/>
    <col min="7172" max="7172" width="21.8984375" style="1532" customWidth="1"/>
    <col min="7173" max="7424" width="31.59765625" style="1532"/>
    <col min="7425" max="7425" width="5.09765625" style="1532" customWidth="1"/>
    <col min="7426" max="7426" width="43.19921875" style="1532" customWidth="1"/>
    <col min="7427" max="7427" width="10.69921875" style="1532" customWidth="1"/>
    <col min="7428" max="7428" width="21.8984375" style="1532" customWidth="1"/>
    <col min="7429" max="7680" width="31.59765625" style="1532"/>
    <col min="7681" max="7681" width="5.09765625" style="1532" customWidth="1"/>
    <col min="7682" max="7682" width="43.19921875" style="1532" customWidth="1"/>
    <col min="7683" max="7683" width="10.69921875" style="1532" customWidth="1"/>
    <col min="7684" max="7684" width="21.8984375" style="1532" customWidth="1"/>
    <col min="7685" max="7936" width="31.59765625" style="1532"/>
    <col min="7937" max="7937" width="5.09765625" style="1532" customWidth="1"/>
    <col min="7938" max="7938" width="43.19921875" style="1532" customWidth="1"/>
    <col min="7939" max="7939" width="10.69921875" style="1532" customWidth="1"/>
    <col min="7940" max="7940" width="21.8984375" style="1532" customWidth="1"/>
    <col min="7941" max="8192" width="31.59765625" style="1532"/>
    <col min="8193" max="8193" width="5.09765625" style="1532" customWidth="1"/>
    <col min="8194" max="8194" width="43.19921875" style="1532" customWidth="1"/>
    <col min="8195" max="8195" width="10.69921875" style="1532" customWidth="1"/>
    <col min="8196" max="8196" width="21.8984375" style="1532" customWidth="1"/>
    <col min="8197" max="8448" width="31.59765625" style="1532"/>
    <col min="8449" max="8449" width="5.09765625" style="1532" customWidth="1"/>
    <col min="8450" max="8450" width="43.19921875" style="1532" customWidth="1"/>
    <col min="8451" max="8451" width="10.69921875" style="1532" customWidth="1"/>
    <col min="8452" max="8452" width="21.8984375" style="1532" customWidth="1"/>
    <col min="8453" max="8704" width="31.59765625" style="1532"/>
    <col min="8705" max="8705" width="5.09765625" style="1532" customWidth="1"/>
    <col min="8706" max="8706" width="43.19921875" style="1532" customWidth="1"/>
    <col min="8707" max="8707" width="10.69921875" style="1532" customWidth="1"/>
    <col min="8708" max="8708" width="21.8984375" style="1532" customWidth="1"/>
    <col min="8709" max="8960" width="31.59765625" style="1532"/>
    <col min="8961" max="8961" width="5.09765625" style="1532" customWidth="1"/>
    <col min="8962" max="8962" width="43.19921875" style="1532" customWidth="1"/>
    <col min="8963" max="8963" width="10.69921875" style="1532" customWidth="1"/>
    <col min="8964" max="8964" width="21.8984375" style="1532" customWidth="1"/>
    <col min="8965" max="9216" width="31.59765625" style="1532"/>
    <col min="9217" max="9217" width="5.09765625" style="1532" customWidth="1"/>
    <col min="9218" max="9218" width="43.19921875" style="1532" customWidth="1"/>
    <col min="9219" max="9219" width="10.69921875" style="1532" customWidth="1"/>
    <col min="9220" max="9220" width="21.8984375" style="1532" customWidth="1"/>
    <col min="9221" max="9472" width="31.59765625" style="1532"/>
    <col min="9473" max="9473" width="5.09765625" style="1532" customWidth="1"/>
    <col min="9474" max="9474" width="43.19921875" style="1532" customWidth="1"/>
    <col min="9475" max="9475" width="10.69921875" style="1532" customWidth="1"/>
    <col min="9476" max="9476" width="21.8984375" style="1532" customWidth="1"/>
    <col min="9477" max="9728" width="31.59765625" style="1532"/>
    <col min="9729" max="9729" width="5.09765625" style="1532" customWidth="1"/>
    <col min="9730" max="9730" width="43.19921875" style="1532" customWidth="1"/>
    <col min="9731" max="9731" width="10.69921875" style="1532" customWidth="1"/>
    <col min="9732" max="9732" width="21.8984375" style="1532" customWidth="1"/>
    <col min="9733" max="9984" width="31.59765625" style="1532"/>
    <col min="9985" max="9985" width="5.09765625" style="1532" customWidth="1"/>
    <col min="9986" max="9986" width="43.19921875" style="1532" customWidth="1"/>
    <col min="9987" max="9987" width="10.69921875" style="1532" customWidth="1"/>
    <col min="9988" max="9988" width="21.8984375" style="1532" customWidth="1"/>
    <col min="9989" max="10240" width="31.59765625" style="1532"/>
    <col min="10241" max="10241" width="5.09765625" style="1532" customWidth="1"/>
    <col min="10242" max="10242" width="43.19921875" style="1532" customWidth="1"/>
    <col min="10243" max="10243" width="10.69921875" style="1532" customWidth="1"/>
    <col min="10244" max="10244" width="21.8984375" style="1532" customWidth="1"/>
    <col min="10245" max="10496" width="31.59765625" style="1532"/>
    <col min="10497" max="10497" width="5.09765625" style="1532" customWidth="1"/>
    <col min="10498" max="10498" width="43.19921875" style="1532" customWidth="1"/>
    <col min="10499" max="10499" width="10.69921875" style="1532" customWidth="1"/>
    <col min="10500" max="10500" width="21.8984375" style="1532" customWidth="1"/>
    <col min="10501" max="10752" width="31.59765625" style="1532"/>
    <col min="10753" max="10753" width="5.09765625" style="1532" customWidth="1"/>
    <col min="10754" max="10754" width="43.19921875" style="1532" customWidth="1"/>
    <col min="10755" max="10755" width="10.69921875" style="1532" customWidth="1"/>
    <col min="10756" max="10756" width="21.8984375" style="1532" customWidth="1"/>
    <col min="10757" max="11008" width="31.59765625" style="1532"/>
    <col min="11009" max="11009" width="5.09765625" style="1532" customWidth="1"/>
    <col min="11010" max="11010" width="43.19921875" style="1532" customWidth="1"/>
    <col min="11011" max="11011" width="10.69921875" style="1532" customWidth="1"/>
    <col min="11012" max="11012" width="21.8984375" style="1532" customWidth="1"/>
    <col min="11013" max="11264" width="31.59765625" style="1532"/>
    <col min="11265" max="11265" width="5.09765625" style="1532" customWidth="1"/>
    <col min="11266" max="11266" width="43.19921875" style="1532" customWidth="1"/>
    <col min="11267" max="11267" width="10.69921875" style="1532" customWidth="1"/>
    <col min="11268" max="11268" width="21.8984375" style="1532" customWidth="1"/>
    <col min="11269" max="11520" width="31.59765625" style="1532"/>
    <col min="11521" max="11521" width="5.09765625" style="1532" customWidth="1"/>
    <col min="11522" max="11522" width="43.19921875" style="1532" customWidth="1"/>
    <col min="11523" max="11523" width="10.69921875" style="1532" customWidth="1"/>
    <col min="11524" max="11524" width="21.8984375" style="1532" customWidth="1"/>
    <col min="11525" max="11776" width="31.59765625" style="1532"/>
    <col min="11777" max="11777" width="5.09765625" style="1532" customWidth="1"/>
    <col min="11778" max="11778" width="43.19921875" style="1532" customWidth="1"/>
    <col min="11779" max="11779" width="10.69921875" style="1532" customWidth="1"/>
    <col min="11780" max="11780" width="21.8984375" style="1532" customWidth="1"/>
    <col min="11781" max="12032" width="31.59765625" style="1532"/>
    <col min="12033" max="12033" width="5.09765625" style="1532" customWidth="1"/>
    <col min="12034" max="12034" width="43.19921875" style="1532" customWidth="1"/>
    <col min="12035" max="12035" width="10.69921875" style="1532" customWidth="1"/>
    <col min="12036" max="12036" width="21.8984375" style="1532" customWidth="1"/>
    <col min="12037" max="12288" width="31.59765625" style="1532"/>
    <col min="12289" max="12289" width="5.09765625" style="1532" customWidth="1"/>
    <col min="12290" max="12290" width="43.19921875" style="1532" customWidth="1"/>
    <col min="12291" max="12291" width="10.69921875" style="1532" customWidth="1"/>
    <col min="12292" max="12292" width="21.8984375" style="1532" customWidth="1"/>
    <col min="12293" max="12544" width="31.59765625" style="1532"/>
    <col min="12545" max="12545" width="5.09765625" style="1532" customWidth="1"/>
    <col min="12546" max="12546" width="43.19921875" style="1532" customWidth="1"/>
    <col min="12547" max="12547" width="10.69921875" style="1532" customWidth="1"/>
    <col min="12548" max="12548" width="21.8984375" style="1532" customWidth="1"/>
    <col min="12549" max="12800" width="31.59765625" style="1532"/>
    <col min="12801" max="12801" width="5.09765625" style="1532" customWidth="1"/>
    <col min="12802" max="12802" width="43.19921875" style="1532" customWidth="1"/>
    <col min="12803" max="12803" width="10.69921875" style="1532" customWidth="1"/>
    <col min="12804" max="12804" width="21.8984375" style="1532" customWidth="1"/>
    <col min="12805" max="13056" width="31.59765625" style="1532"/>
    <col min="13057" max="13057" width="5.09765625" style="1532" customWidth="1"/>
    <col min="13058" max="13058" width="43.19921875" style="1532" customWidth="1"/>
    <col min="13059" max="13059" width="10.69921875" style="1532" customWidth="1"/>
    <col min="13060" max="13060" width="21.8984375" style="1532" customWidth="1"/>
    <col min="13061" max="13312" width="31.59765625" style="1532"/>
    <col min="13313" max="13313" width="5.09765625" style="1532" customWidth="1"/>
    <col min="13314" max="13314" width="43.19921875" style="1532" customWidth="1"/>
    <col min="13315" max="13315" width="10.69921875" style="1532" customWidth="1"/>
    <col min="13316" max="13316" width="21.8984375" style="1532" customWidth="1"/>
    <col min="13317" max="13568" width="31.59765625" style="1532"/>
    <col min="13569" max="13569" width="5.09765625" style="1532" customWidth="1"/>
    <col min="13570" max="13570" width="43.19921875" style="1532" customWidth="1"/>
    <col min="13571" max="13571" width="10.69921875" style="1532" customWidth="1"/>
    <col min="13572" max="13572" width="21.8984375" style="1532" customWidth="1"/>
    <col min="13573" max="13824" width="31.59765625" style="1532"/>
    <col min="13825" max="13825" width="5.09765625" style="1532" customWidth="1"/>
    <col min="13826" max="13826" width="43.19921875" style="1532" customWidth="1"/>
    <col min="13827" max="13827" width="10.69921875" style="1532" customWidth="1"/>
    <col min="13828" max="13828" width="21.8984375" style="1532" customWidth="1"/>
    <col min="13829" max="14080" width="31.59765625" style="1532"/>
    <col min="14081" max="14081" width="5.09765625" style="1532" customWidth="1"/>
    <col min="14082" max="14082" width="43.19921875" style="1532" customWidth="1"/>
    <col min="14083" max="14083" width="10.69921875" style="1532" customWidth="1"/>
    <col min="14084" max="14084" width="21.8984375" style="1532" customWidth="1"/>
    <col min="14085" max="14336" width="31.59765625" style="1532"/>
    <col min="14337" max="14337" width="5.09765625" style="1532" customWidth="1"/>
    <col min="14338" max="14338" width="43.19921875" style="1532" customWidth="1"/>
    <col min="14339" max="14339" width="10.69921875" style="1532" customWidth="1"/>
    <col min="14340" max="14340" width="21.8984375" style="1532" customWidth="1"/>
    <col min="14341" max="14592" width="31.59765625" style="1532"/>
    <col min="14593" max="14593" width="5.09765625" style="1532" customWidth="1"/>
    <col min="14594" max="14594" width="43.19921875" style="1532" customWidth="1"/>
    <col min="14595" max="14595" width="10.69921875" style="1532" customWidth="1"/>
    <col min="14596" max="14596" width="21.8984375" style="1532" customWidth="1"/>
    <col min="14597" max="14848" width="31.59765625" style="1532"/>
    <col min="14849" max="14849" width="5.09765625" style="1532" customWidth="1"/>
    <col min="14850" max="14850" width="43.19921875" style="1532" customWidth="1"/>
    <col min="14851" max="14851" width="10.69921875" style="1532" customWidth="1"/>
    <col min="14852" max="14852" width="21.8984375" style="1532" customWidth="1"/>
    <col min="14853" max="15104" width="31.59765625" style="1532"/>
    <col min="15105" max="15105" width="5.09765625" style="1532" customWidth="1"/>
    <col min="15106" max="15106" width="43.19921875" style="1532" customWidth="1"/>
    <col min="15107" max="15107" width="10.69921875" style="1532" customWidth="1"/>
    <col min="15108" max="15108" width="21.8984375" style="1532" customWidth="1"/>
    <col min="15109" max="15360" width="31.59765625" style="1532"/>
    <col min="15361" max="15361" width="5.09765625" style="1532" customWidth="1"/>
    <col min="15362" max="15362" width="43.19921875" style="1532" customWidth="1"/>
    <col min="15363" max="15363" width="10.69921875" style="1532" customWidth="1"/>
    <col min="15364" max="15364" width="21.8984375" style="1532" customWidth="1"/>
    <col min="15365" max="15616" width="31.59765625" style="1532"/>
    <col min="15617" max="15617" width="5.09765625" style="1532" customWidth="1"/>
    <col min="15618" max="15618" width="43.19921875" style="1532" customWidth="1"/>
    <col min="15619" max="15619" width="10.69921875" style="1532" customWidth="1"/>
    <col min="15620" max="15620" width="21.8984375" style="1532" customWidth="1"/>
    <col min="15621" max="15872" width="31.59765625" style="1532"/>
    <col min="15873" max="15873" width="5.09765625" style="1532" customWidth="1"/>
    <col min="15874" max="15874" width="43.19921875" style="1532" customWidth="1"/>
    <col min="15875" max="15875" width="10.69921875" style="1532" customWidth="1"/>
    <col min="15876" max="15876" width="21.8984375" style="1532" customWidth="1"/>
    <col min="15877" max="16128" width="31.59765625" style="1532"/>
    <col min="16129" max="16129" width="5.09765625" style="1532" customWidth="1"/>
    <col min="16130" max="16130" width="43.19921875" style="1532" customWidth="1"/>
    <col min="16131" max="16131" width="10.69921875" style="1532" customWidth="1"/>
    <col min="16132" max="16132" width="21.8984375" style="1532" customWidth="1"/>
    <col min="16133" max="16384" width="31.59765625" style="1532"/>
  </cols>
  <sheetData>
    <row r="1" spans="1:4" ht="20.100000000000001" customHeight="1">
      <c r="A1" s="3400" t="s">
        <v>4943</v>
      </c>
      <c r="B1" s="3400"/>
      <c r="C1" s="3400"/>
      <c r="D1" s="1937"/>
    </row>
    <row r="2" spans="1:4" s="1536" customFormat="1" ht="25.5" customHeight="1">
      <c r="A2" s="3940" t="s">
        <v>4944</v>
      </c>
      <c r="B2" s="3940"/>
      <c r="C2" s="3940"/>
      <c r="D2" s="1917"/>
    </row>
    <row r="3" spans="1:4" s="1537" customFormat="1" ht="14.25" customHeight="1">
      <c r="A3" s="1846" t="s">
        <v>1853</v>
      </c>
      <c r="B3" s="1846" t="s">
        <v>4945</v>
      </c>
      <c r="C3" s="1846" t="s">
        <v>4808</v>
      </c>
      <c r="D3" s="1846" t="s">
        <v>4809</v>
      </c>
    </row>
    <row r="4" spans="1:4" s="1537" customFormat="1" ht="14.25" customHeight="1">
      <c r="A4" s="1846">
        <v>1</v>
      </c>
      <c r="B4" s="1829" t="s">
        <v>4946</v>
      </c>
      <c r="C4" s="2075">
        <f>C5+C12</f>
        <v>0</v>
      </c>
      <c r="D4" s="2002" t="s">
        <v>4947</v>
      </c>
    </row>
    <row r="5" spans="1:4" s="1537" customFormat="1" ht="14.25" customHeight="1">
      <c r="A5" s="1846">
        <v>2</v>
      </c>
      <c r="B5" s="1829" t="s">
        <v>4948</v>
      </c>
      <c r="C5" s="2075">
        <f>C6+C8+C9+C10+C11</f>
        <v>0</v>
      </c>
      <c r="D5" s="2002"/>
    </row>
    <row r="6" spans="1:4" s="1537" customFormat="1" ht="14.25" customHeight="1">
      <c r="A6" s="1846">
        <v>3</v>
      </c>
      <c r="B6" s="1829" t="s">
        <v>4949</v>
      </c>
      <c r="C6" s="2072">
        <f>主营收支!C40</f>
        <v>0</v>
      </c>
      <c r="D6" s="2002"/>
    </row>
    <row r="7" spans="1:4" s="1537" customFormat="1" ht="14.25" customHeight="1">
      <c r="A7" s="1846">
        <v>4</v>
      </c>
      <c r="B7" s="1829" t="s">
        <v>4950</v>
      </c>
      <c r="C7" s="2072">
        <f>主营收支!C38</f>
        <v>0</v>
      </c>
      <c r="D7" s="2002"/>
    </row>
    <row r="8" spans="1:4" s="1537" customFormat="1" ht="14.25" customHeight="1">
      <c r="A8" s="1846">
        <v>5</v>
      </c>
      <c r="B8" s="1829" t="s">
        <v>4951</v>
      </c>
      <c r="C8" s="2072">
        <f>主营收支!D40</f>
        <v>0</v>
      </c>
      <c r="D8" s="2002"/>
    </row>
    <row r="9" spans="1:4" s="1537" customFormat="1" ht="14.25" customHeight="1">
      <c r="A9" s="1846">
        <v>6</v>
      </c>
      <c r="B9" s="1829" t="s">
        <v>4952</v>
      </c>
      <c r="C9" s="2072">
        <f>主营收支!E40</f>
        <v>0</v>
      </c>
      <c r="D9" s="2002"/>
    </row>
    <row r="10" spans="1:4" s="1537" customFormat="1" ht="14.25" customHeight="1">
      <c r="A10" s="1846">
        <v>7</v>
      </c>
      <c r="B10" s="1829" t="s">
        <v>4953</v>
      </c>
      <c r="C10" s="2072">
        <f>主营收支!F40</f>
        <v>0</v>
      </c>
      <c r="D10" s="2002"/>
    </row>
    <row r="11" spans="1:4" s="1537" customFormat="1" ht="14.25" customHeight="1">
      <c r="A11" s="1846">
        <v>8</v>
      </c>
      <c r="B11" s="1829" t="s">
        <v>4876</v>
      </c>
      <c r="C11" s="2072">
        <f>主营收支!G40</f>
        <v>0</v>
      </c>
      <c r="D11" s="2002"/>
    </row>
    <row r="12" spans="1:4" s="1537" customFormat="1" ht="14.25" customHeight="1">
      <c r="A12" s="1846">
        <v>9</v>
      </c>
      <c r="B12" s="1829" t="s">
        <v>4954</v>
      </c>
      <c r="C12" s="2075">
        <f>C13+C15+C16+C17+C18</f>
        <v>0</v>
      </c>
      <c r="D12" s="2002"/>
    </row>
    <row r="13" spans="1:4" s="1537" customFormat="1" ht="14.25" customHeight="1">
      <c r="A13" s="1846">
        <v>10</v>
      </c>
      <c r="B13" s="1829" t="s">
        <v>4955</v>
      </c>
      <c r="C13" s="2075">
        <f>其他业务!H8+C14</f>
        <v>0</v>
      </c>
      <c r="D13" s="2002"/>
    </row>
    <row r="14" spans="1:4" s="1537" customFormat="1" ht="14.25" customHeight="1">
      <c r="A14" s="1846">
        <v>11</v>
      </c>
      <c r="B14" s="1829" t="s">
        <v>4950</v>
      </c>
      <c r="C14" s="2072">
        <f>其他业务!H9</f>
        <v>0</v>
      </c>
      <c r="D14" s="2002"/>
    </row>
    <row r="15" spans="1:4" s="1537" customFormat="1" ht="14.25" customHeight="1">
      <c r="A15" s="1846">
        <v>12</v>
      </c>
      <c r="B15" s="1829" t="s">
        <v>4956</v>
      </c>
      <c r="C15" s="2075">
        <f>其他业务!H10+其他业务!H11</f>
        <v>0</v>
      </c>
      <c r="D15" s="2002"/>
    </row>
    <row r="16" spans="1:4" s="1537" customFormat="1" ht="14.25" customHeight="1">
      <c r="A16" s="1846">
        <v>13</v>
      </c>
      <c r="B16" s="1829" t="s">
        <v>4957</v>
      </c>
      <c r="C16" s="2072">
        <f>其他业务!H12</f>
        <v>0</v>
      </c>
      <c r="D16" s="2002"/>
    </row>
    <row r="17" spans="1:4" s="1537" customFormat="1" ht="14.25" customHeight="1">
      <c r="A17" s="1846">
        <v>14</v>
      </c>
      <c r="B17" s="1829" t="s">
        <v>4958</v>
      </c>
      <c r="C17" s="2072">
        <f>其他业务!H13</f>
        <v>0</v>
      </c>
      <c r="D17" s="2002"/>
    </row>
    <row r="18" spans="1:4" s="1537" customFormat="1" ht="14.25" customHeight="1">
      <c r="A18" s="1846">
        <v>15</v>
      </c>
      <c r="B18" s="1829" t="s">
        <v>4959</v>
      </c>
      <c r="C18" s="2072">
        <f>其他业务!H17</f>
        <v>0</v>
      </c>
      <c r="D18" s="2002"/>
    </row>
    <row r="19" spans="1:4" s="1537" customFormat="1" ht="14.25" customHeight="1">
      <c r="A19" s="1846">
        <v>16</v>
      </c>
      <c r="B19" s="1829" t="s">
        <v>4960</v>
      </c>
      <c r="C19" s="2075">
        <f>SUM(C20:C29)</f>
        <v>0</v>
      </c>
      <c r="D19" s="2002" t="s">
        <v>4961</v>
      </c>
    </row>
    <row r="20" spans="1:4" s="1537" customFormat="1" ht="14.25" customHeight="1">
      <c r="A20" s="1846">
        <v>17</v>
      </c>
      <c r="B20" s="1829" t="s">
        <v>4962</v>
      </c>
      <c r="C20" s="2072">
        <f>营外收支!C22</f>
        <v>0</v>
      </c>
      <c r="D20" s="1829"/>
    </row>
    <row r="21" spans="1:4" s="1537" customFormat="1" ht="14.25" customHeight="1">
      <c r="A21" s="1846">
        <v>18</v>
      </c>
      <c r="B21" s="1829" t="s">
        <v>4963</v>
      </c>
      <c r="C21" s="2072">
        <f>营外收支!C23</f>
        <v>0</v>
      </c>
      <c r="D21" s="1829"/>
    </row>
    <row r="22" spans="1:4" s="1537" customFormat="1" ht="14.25" customHeight="1">
      <c r="A22" s="1846">
        <v>19</v>
      </c>
      <c r="B22" s="1829" t="s">
        <v>4964</v>
      </c>
      <c r="C22" s="2072">
        <f>营外收支!C24</f>
        <v>0</v>
      </c>
      <c r="D22" s="1829"/>
    </row>
    <row r="23" spans="1:4" s="1537" customFormat="1" ht="14.25" customHeight="1">
      <c r="A23" s="1846">
        <v>20</v>
      </c>
      <c r="B23" s="1829" t="s">
        <v>4965</v>
      </c>
      <c r="C23" s="2072">
        <f>营外收支!C25</f>
        <v>0</v>
      </c>
      <c r="D23" s="1829"/>
    </row>
    <row r="24" spans="1:4" s="1537" customFormat="1" ht="14.1" customHeight="1">
      <c r="A24" s="1846">
        <v>21</v>
      </c>
      <c r="B24" s="1829" t="s">
        <v>4966</v>
      </c>
      <c r="C24" s="2072">
        <f>营外收支!C26</f>
        <v>0</v>
      </c>
      <c r="D24" s="1829"/>
    </row>
    <row r="25" spans="1:4" s="1537" customFormat="1" ht="14.1" customHeight="1">
      <c r="A25" s="1846">
        <v>22</v>
      </c>
      <c r="B25" s="1829" t="s">
        <v>4967</v>
      </c>
      <c r="C25" s="2072">
        <f>营外收支!C27</f>
        <v>0</v>
      </c>
      <c r="D25" s="1829"/>
    </row>
    <row r="26" spans="1:4" s="1537" customFormat="1" ht="14.25" customHeight="1">
      <c r="A26" s="1846">
        <v>23</v>
      </c>
      <c r="B26" s="1829" t="s">
        <v>4968</v>
      </c>
      <c r="C26" s="2072">
        <f>营外收支!C28</f>
        <v>0</v>
      </c>
      <c r="D26" s="1829"/>
    </row>
    <row r="27" spans="1:4" s="1537" customFormat="1" ht="14.25" customHeight="1">
      <c r="A27" s="1846">
        <v>24</v>
      </c>
      <c r="B27" s="1829" t="s">
        <v>4969</v>
      </c>
      <c r="C27" s="2072">
        <f>营外收支!C29</f>
        <v>0</v>
      </c>
      <c r="D27" s="1829"/>
    </row>
    <row r="28" spans="1:4" s="1537" customFormat="1" ht="14.25" customHeight="1">
      <c r="A28" s="1846">
        <v>25</v>
      </c>
      <c r="B28" s="1829" t="s">
        <v>4970</v>
      </c>
      <c r="C28" s="2072">
        <f>营外收支!C30</f>
        <v>0</v>
      </c>
      <c r="D28" s="1829"/>
    </row>
    <row r="29" spans="1:4" s="1537" customFormat="1" ht="14.25" customHeight="1">
      <c r="A29" s="1846">
        <v>26</v>
      </c>
      <c r="B29" s="1829" t="s">
        <v>4894</v>
      </c>
      <c r="C29" s="2072">
        <f>营外收支!C31</f>
        <v>0</v>
      </c>
      <c r="D29" s="1829"/>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19921875" style="1538" customWidth="1"/>
    <col min="2" max="2" width="44.09765625" style="1538" customWidth="1"/>
    <col min="3" max="3" width="18.8984375" style="1539" customWidth="1"/>
    <col min="4" max="4" width="19.8984375" style="1538" customWidth="1"/>
    <col min="5" max="256" width="9" style="1538"/>
    <col min="257" max="257" width="5.19921875" style="1538" customWidth="1"/>
    <col min="258" max="258" width="44.09765625" style="1538" customWidth="1"/>
    <col min="259" max="259" width="10.8984375" style="1538" customWidth="1"/>
    <col min="260" max="260" width="19.8984375" style="1538" customWidth="1"/>
    <col min="261" max="512" width="9" style="1538"/>
    <col min="513" max="513" width="5.19921875" style="1538" customWidth="1"/>
    <col min="514" max="514" width="44.09765625" style="1538" customWidth="1"/>
    <col min="515" max="515" width="10.8984375" style="1538" customWidth="1"/>
    <col min="516" max="516" width="19.8984375" style="1538" customWidth="1"/>
    <col min="517" max="768" width="9" style="1538"/>
    <col min="769" max="769" width="5.19921875" style="1538" customWidth="1"/>
    <col min="770" max="770" width="44.09765625" style="1538" customWidth="1"/>
    <col min="771" max="771" width="10.8984375" style="1538" customWidth="1"/>
    <col min="772" max="772" width="19.8984375" style="1538" customWidth="1"/>
    <col min="773" max="1024" width="9" style="1538"/>
    <col min="1025" max="1025" width="5.19921875" style="1538" customWidth="1"/>
    <col min="1026" max="1026" width="44.09765625" style="1538" customWidth="1"/>
    <col min="1027" max="1027" width="10.8984375" style="1538" customWidth="1"/>
    <col min="1028" max="1028" width="19.8984375" style="1538" customWidth="1"/>
    <col min="1029" max="1280" width="9" style="1538"/>
    <col min="1281" max="1281" width="5.19921875" style="1538" customWidth="1"/>
    <col min="1282" max="1282" width="44.09765625" style="1538" customWidth="1"/>
    <col min="1283" max="1283" width="10.8984375" style="1538" customWidth="1"/>
    <col min="1284" max="1284" width="19.8984375" style="1538" customWidth="1"/>
    <col min="1285" max="1536" width="9" style="1538"/>
    <col min="1537" max="1537" width="5.19921875" style="1538" customWidth="1"/>
    <col min="1538" max="1538" width="44.09765625" style="1538" customWidth="1"/>
    <col min="1539" max="1539" width="10.8984375" style="1538" customWidth="1"/>
    <col min="1540" max="1540" width="19.8984375" style="1538" customWidth="1"/>
    <col min="1541" max="1792" width="9" style="1538"/>
    <col min="1793" max="1793" width="5.19921875" style="1538" customWidth="1"/>
    <col min="1794" max="1794" width="44.09765625" style="1538" customWidth="1"/>
    <col min="1795" max="1795" width="10.8984375" style="1538" customWidth="1"/>
    <col min="1796" max="1796" width="19.8984375" style="1538" customWidth="1"/>
    <col min="1797" max="2048" width="9" style="1538"/>
    <col min="2049" max="2049" width="5.19921875" style="1538" customWidth="1"/>
    <col min="2050" max="2050" width="44.09765625" style="1538" customWidth="1"/>
    <col min="2051" max="2051" width="10.8984375" style="1538" customWidth="1"/>
    <col min="2052" max="2052" width="19.8984375" style="1538" customWidth="1"/>
    <col min="2053" max="2304" width="9" style="1538"/>
    <col min="2305" max="2305" width="5.19921875" style="1538" customWidth="1"/>
    <col min="2306" max="2306" width="44.09765625" style="1538" customWidth="1"/>
    <col min="2307" max="2307" width="10.8984375" style="1538" customWidth="1"/>
    <col min="2308" max="2308" width="19.8984375" style="1538" customWidth="1"/>
    <col min="2309" max="2560" width="9" style="1538"/>
    <col min="2561" max="2561" width="5.19921875" style="1538" customWidth="1"/>
    <col min="2562" max="2562" width="44.09765625" style="1538" customWidth="1"/>
    <col min="2563" max="2563" width="10.8984375" style="1538" customWidth="1"/>
    <col min="2564" max="2564" width="19.8984375" style="1538" customWidth="1"/>
    <col min="2565" max="2816" width="9" style="1538"/>
    <col min="2817" max="2817" width="5.19921875" style="1538" customWidth="1"/>
    <col min="2818" max="2818" width="44.09765625" style="1538" customWidth="1"/>
    <col min="2819" max="2819" width="10.8984375" style="1538" customWidth="1"/>
    <col min="2820" max="2820" width="19.8984375" style="1538" customWidth="1"/>
    <col min="2821" max="3072" width="9" style="1538"/>
    <col min="3073" max="3073" width="5.19921875" style="1538" customWidth="1"/>
    <col min="3074" max="3074" width="44.09765625" style="1538" customWidth="1"/>
    <col min="3075" max="3075" width="10.8984375" style="1538" customWidth="1"/>
    <col min="3076" max="3076" width="19.8984375" style="1538" customWidth="1"/>
    <col min="3077" max="3328" width="9" style="1538"/>
    <col min="3329" max="3329" width="5.19921875" style="1538" customWidth="1"/>
    <col min="3330" max="3330" width="44.09765625" style="1538" customWidth="1"/>
    <col min="3331" max="3331" width="10.8984375" style="1538" customWidth="1"/>
    <col min="3332" max="3332" width="19.8984375" style="1538" customWidth="1"/>
    <col min="3333" max="3584" width="9" style="1538"/>
    <col min="3585" max="3585" width="5.19921875" style="1538" customWidth="1"/>
    <col min="3586" max="3586" width="44.09765625" style="1538" customWidth="1"/>
    <col min="3587" max="3587" width="10.8984375" style="1538" customWidth="1"/>
    <col min="3588" max="3588" width="19.8984375" style="1538" customWidth="1"/>
    <col min="3589" max="3840" width="9" style="1538"/>
    <col min="3841" max="3841" width="5.19921875" style="1538" customWidth="1"/>
    <col min="3842" max="3842" width="44.09765625" style="1538" customWidth="1"/>
    <col min="3843" max="3843" width="10.8984375" style="1538" customWidth="1"/>
    <col min="3844" max="3844" width="19.8984375" style="1538" customWidth="1"/>
    <col min="3845" max="4096" width="9" style="1538"/>
    <col min="4097" max="4097" width="5.19921875" style="1538" customWidth="1"/>
    <col min="4098" max="4098" width="44.09765625" style="1538" customWidth="1"/>
    <col min="4099" max="4099" width="10.8984375" style="1538" customWidth="1"/>
    <col min="4100" max="4100" width="19.8984375" style="1538" customWidth="1"/>
    <col min="4101" max="4352" width="9" style="1538"/>
    <col min="4353" max="4353" width="5.19921875" style="1538" customWidth="1"/>
    <col min="4354" max="4354" width="44.09765625" style="1538" customWidth="1"/>
    <col min="4355" max="4355" width="10.8984375" style="1538" customWidth="1"/>
    <col min="4356" max="4356" width="19.8984375" style="1538" customWidth="1"/>
    <col min="4357" max="4608" width="9" style="1538"/>
    <col min="4609" max="4609" width="5.19921875" style="1538" customWidth="1"/>
    <col min="4610" max="4610" width="44.09765625" style="1538" customWidth="1"/>
    <col min="4611" max="4611" width="10.8984375" style="1538" customWidth="1"/>
    <col min="4612" max="4612" width="19.8984375" style="1538" customWidth="1"/>
    <col min="4613" max="4864" width="9" style="1538"/>
    <col min="4865" max="4865" width="5.19921875" style="1538" customWidth="1"/>
    <col min="4866" max="4866" width="44.09765625" style="1538" customWidth="1"/>
    <col min="4867" max="4867" width="10.8984375" style="1538" customWidth="1"/>
    <col min="4868" max="4868" width="19.8984375" style="1538" customWidth="1"/>
    <col min="4869" max="5120" width="9" style="1538"/>
    <col min="5121" max="5121" width="5.19921875" style="1538" customWidth="1"/>
    <col min="5122" max="5122" width="44.09765625" style="1538" customWidth="1"/>
    <col min="5123" max="5123" width="10.8984375" style="1538" customWidth="1"/>
    <col min="5124" max="5124" width="19.8984375" style="1538" customWidth="1"/>
    <col min="5125" max="5376" width="9" style="1538"/>
    <col min="5377" max="5377" width="5.19921875" style="1538" customWidth="1"/>
    <col min="5378" max="5378" width="44.09765625" style="1538" customWidth="1"/>
    <col min="5379" max="5379" width="10.8984375" style="1538" customWidth="1"/>
    <col min="5380" max="5380" width="19.8984375" style="1538" customWidth="1"/>
    <col min="5381" max="5632" width="9" style="1538"/>
    <col min="5633" max="5633" width="5.19921875" style="1538" customWidth="1"/>
    <col min="5634" max="5634" width="44.09765625" style="1538" customWidth="1"/>
    <col min="5635" max="5635" width="10.8984375" style="1538" customWidth="1"/>
    <col min="5636" max="5636" width="19.8984375" style="1538" customWidth="1"/>
    <col min="5637" max="5888" width="9" style="1538"/>
    <col min="5889" max="5889" width="5.19921875" style="1538" customWidth="1"/>
    <col min="5890" max="5890" width="44.09765625" style="1538" customWidth="1"/>
    <col min="5891" max="5891" width="10.8984375" style="1538" customWidth="1"/>
    <col min="5892" max="5892" width="19.8984375" style="1538" customWidth="1"/>
    <col min="5893" max="6144" width="9" style="1538"/>
    <col min="6145" max="6145" width="5.19921875" style="1538" customWidth="1"/>
    <col min="6146" max="6146" width="44.09765625" style="1538" customWidth="1"/>
    <col min="6147" max="6147" width="10.8984375" style="1538" customWidth="1"/>
    <col min="6148" max="6148" width="19.8984375" style="1538" customWidth="1"/>
    <col min="6149" max="6400" width="9" style="1538"/>
    <col min="6401" max="6401" width="5.19921875" style="1538" customWidth="1"/>
    <col min="6402" max="6402" width="44.09765625" style="1538" customWidth="1"/>
    <col min="6403" max="6403" width="10.8984375" style="1538" customWidth="1"/>
    <col min="6404" max="6404" width="19.8984375" style="1538" customWidth="1"/>
    <col min="6405" max="6656" width="9" style="1538"/>
    <col min="6657" max="6657" width="5.19921875" style="1538" customWidth="1"/>
    <col min="6658" max="6658" width="44.09765625" style="1538" customWidth="1"/>
    <col min="6659" max="6659" width="10.8984375" style="1538" customWidth="1"/>
    <col min="6660" max="6660" width="19.8984375" style="1538" customWidth="1"/>
    <col min="6661" max="6912" width="9" style="1538"/>
    <col min="6913" max="6913" width="5.19921875" style="1538" customWidth="1"/>
    <col min="6914" max="6914" width="44.09765625" style="1538" customWidth="1"/>
    <col min="6915" max="6915" width="10.8984375" style="1538" customWidth="1"/>
    <col min="6916" max="6916" width="19.8984375" style="1538" customWidth="1"/>
    <col min="6917" max="7168" width="9" style="1538"/>
    <col min="7169" max="7169" width="5.19921875" style="1538" customWidth="1"/>
    <col min="7170" max="7170" width="44.09765625" style="1538" customWidth="1"/>
    <col min="7171" max="7171" width="10.8984375" style="1538" customWidth="1"/>
    <col min="7172" max="7172" width="19.8984375" style="1538" customWidth="1"/>
    <col min="7173" max="7424" width="9" style="1538"/>
    <col min="7425" max="7425" width="5.19921875" style="1538" customWidth="1"/>
    <col min="7426" max="7426" width="44.09765625" style="1538" customWidth="1"/>
    <col min="7427" max="7427" width="10.8984375" style="1538" customWidth="1"/>
    <col min="7428" max="7428" width="19.8984375" style="1538" customWidth="1"/>
    <col min="7429" max="7680" width="9" style="1538"/>
    <col min="7681" max="7681" width="5.19921875" style="1538" customWidth="1"/>
    <col min="7682" max="7682" width="44.09765625" style="1538" customWidth="1"/>
    <col min="7683" max="7683" width="10.8984375" style="1538" customWidth="1"/>
    <col min="7684" max="7684" width="19.8984375" style="1538" customWidth="1"/>
    <col min="7685" max="7936" width="9" style="1538"/>
    <col min="7937" max="7937" width="5.19921875" style="1538" customWidth="1"/>
    <col min="7938" max="7938" width="44.09765625" style="1538" customWidth="1"/>
    <col min="7939" max="7939" width="10.8984375" style="1538" customWidth="1"/>
    <col min="7940" max="7940" width="19.8984375" style="1538" customWidth="1"/>
    <col min="7941" max="8192" width="9" style="1538"/>
    <col min="8193" max="8193" width="5.19921875" style="1538" customWidth="1"/>
    <col min="8194" max="8194" width="44.09765625" style="1538" customWidth="1"/>
    <col min="8195" max="8195" width="10.8984375" style="1538" customWidth="1"/>
    <col min="8196" max="8196" width="19.8984375" style="1538" customWidth="1"/>
    <col min="8197" max="8448" width="9" style="1538"/>
    <col min="8449" max="8449" width="5.19921875" style="1538" customWidth="1"/>
    <col min="8450" max="8450" width="44.09765625" style="1538" customWidth="1"/>
    <col min="8451" max="8451" width="10.8984375" style="1538" customWidth="1"/>
    <col min="8452" max="8452" width="19.8984375" style="1538" customWidth="1"/>
    <col min="8453" max="8704" width="9" style="1538"/>
    <col min="8705" max="8705" width="5.19921875" style="1538" customWidth="1"/>
    <col min="8706" max="8706" width="44.09765625" style="1538" customWidth="1"/>
    <col min="8707" max="8707" width="10.8984375" style="1538" customWidth="1"/>
    <col min="8708" max="8708" width="19.8984375" style="1538" customWidth="1"/>
    <col min="8709" max="8960" width="9" style="1538"/>
    <col min="8961" max="8961" width="5.19921875" style="1538" customWidth="1"/>
    <col min="8962" max="8962" width="44.09765625" style="1538" customWidth="1"/>
    <col min="8963" max="8963" width="10.8984375" style="1538" customWidth="1"/>
    <col min="8964" max="8964" width="19.8984375" style="1538" customWidth="1"/>
    <col min="8965" max="9216" width="9" style="1538"/>
    <col min="9217" max="9217" width="5.19921875" style="1538" customWidth="1"/>
    <col min="9218" max="9218" width="44.09765625" style="1538" customWidth="1"/>
    <col min="9219" max="9219" width="10.8984375" style="1538" customWidth="1"/>
    <col min="9220" max="9220" width="19.8984375" style="1538" customWidth="1"/>
    <col min="9221" max="9472" width="9" style="1538"/>
    <col min="9473" max="9473" width="5.19921875" style="1538" customWidth="1"/>
    <col min="9474" max="9474" width="44.09765625" style="1538" customWidth="1"/>
    <col min="9475" max="9475" width="10.8984375" style="1538" customWidth="1"/>
    <col min="9476" max="9476" width="19.8984375" style="1538" customWidth="1"/>
    <col min="9477" max="9728" width="9" style="1538"/>
    <col min="9729" max="9729" width="5.19921875" style="1538" customWidth="1"/>
    <col min="9730" max="9730" width="44.09765625" style="1538" customWidth="1"/>
    <col min="9731" max="9731" width="10.8984375" style="1538" customWidth="1"/>
    <col min="9732" max="9732" width="19.8984375" style="1538" customWidth="1"/>
    <col min="9733" max="9984" width="9" style="1538"/>
    <col min="9985" max="9985" width="5.19921875" style="1538" customWidth="1"/>
    <col min="9986" max="9986" width="44.09765625" style="1538" customWidth="1"/>
    <col min="9987" max="9987" width="10.8984375" style="1538" customWidth="1"/>
    <col min="9988" max="9988" width="19.8984375" style="1538" customWidth="1"/>
    <col min="9989" max="10240" width="9" style="1538"/>
    <col min="10241" max="10241" width="5.19921875" style="1538" customWidth="1"/>
    <col min="10242" max="10242" width="44.09765625" style="1538" customWidth="1"/>
    <col min="10243" max="10243" width="10.8984375" style="1538" customWidth="1"/>
    <col min="10244" max="10244" width="19.8984375" style="1538" customWidth="1"/>
    <col min="10245" max="10496" width="9" style="1538"/>
    <col min="10497" max="10497" width="5.19921875" style="1538" customWidth="1"/>
    <col min="10498" max="10498" width="44.09765625" style="1538" customWidth="1"/>
    <col min="10499" max="10499" width="10.8984375" style="1538" customWidth="1"/>
    <col min="10500" max="10500" width="19.8984375" style="1538" customWidth="1"/>
    <col min="10501" max="10752" width="9" style="1538"/>
    <col min="10753" max="10753" width="5.19921875" style="1538" customWidth="1"/>
    <col min="10754" max="10754" width="44.09765625" style="1538" customWidth="1"/>
    <col min="10755" max="10755" width="10.8984375" style="1538" customWidth="1"/>
    <col min="10756" max="10756" width="19.8984375" style="1538" customWidth="1"/>
    <col min="10757" max="11008" width="9" style="1538"/>
    <col min="11009" max="11009" width="5.19921875" style="1538" customWidth="1"/>
    <col min="11010" max="11010" width="44.09765625" style="1538" customWidth="1"/>
    <col min="11011" max="11011" width="10.8984375" style="1538" customWidth="1"/>
    <col min="11012" max="11012" width="19.8984375" style="1538" customWidth="1"/>
    <col min="11013" max="11264" width="9" style="1538"/>
    <col min="11265" max="11265" width="5.19921875" style="1538" customWidth="1"/>
    <col min="11266" max="11266" width="44.09765625" style="1538" customWidth="1"/>
    <col min="11267" max="11267" width="10.8984375" style="1538" customWidth="1"/>
    <col min="11268" max="11268" width="19.8984375" style="1538" customWidth="1"/>
    <col min="11269" max="11520" width="9" style="1538"/>
    <col min="11521" max="11521" width="5.19921875" style="1538" customWidth="1"/>
    <col min="11522" max="11522" width="44.09765625" style="1538" customWidth="1"/>
    <col min="11523" max="11523" width="10.8984375" style="1538" customWidth="1"/>
    <col min="11524" max="11524" width="19.8984375" style="1538" customWidth="1"/>
    <col min="11525" max="11776" width="9" style="1538"/>
    <col min="11777" max="11777" width="5.19921875" style="1538" customWidth="1"/>
    <col min="11778" max="11778" width="44.09765625" style="1538" customWidth="1"/>
    <col min="11779" max="11779" width="10.8984375" style="1538" customWidth="1"/>
    <col min="11780" max="11780" width="19.8984375" style="1538" customWidth="1"/>
    <col min="11781" max="12032" width="9" style="1538"/>
    <col min="12033" max="12033" width="5.19921875" style="1538" customWidth="1"/>
    <col min="12034" max="12034" width="44.09765625" style="1538" customWidth="1"/>
    <col min="12035" max="12035" width="10.8984375" style="1538" customWidth="1"/>
    <col min="12036" max="12036" width="19.8984375" style="1538" customWidth="1"/>
    <col min="12037" max="12288" width="9" style="1538"/>
    <col min="12289" max="12289" width="5.19921875" style="1538" customWidth="1"/>
    <col min="12290" max="12290" width="44.09765625" style="1538" customWidth="1"/>
    <col min="12291" max="12291" width="10.8984375" style="1538" customWidth="1"/>
    <col min="12292" max="12292" width="19.8984375" style="1538" customWidth="1"/>
    <col min="12293" max="12544" width="9" style="1538"/>
    <col min="12545" max="12545" width="5.19921875" style="1538" customWidth="1"/>
    <col min="12546" max="12546" width="44.09765625" style="1538" customWidth="1"/>
    <col min="12547" max="12547" width="10.8984375" style="1538" customWidth="1"/>
    <col min="12548" max="12548" width="19.8984375" style="1538" customWidth="1"/>
    <col min="12549" max="12800" width="9" style="1538"/>
    <col min="12801" max="12801" width="5.19921875" style="1538" customWidth="1"/>
    <col min="12802" max="12802" width="44.09765625" style="1538" customWidth="1"/>
    <col min="12803" max="12803" width="10.8984375" style="1538" customWidth="1"/>
    <col min="12804" max="12804" width="19.8984375" style="1538" customWidth="1"/>
    <col min="12805" max="13056" width="9" style="1538"/>
    <col min="13057" max="13057" width="5.19921875" style="1538" customWidth="1"/>
    <col min="13058" max="13058" width="44.09765625" style="1538" customWidth="1"/>
    <col min="13059" max="13059" width="10.8984375" style="1538" customWidth="1"/>
    <col min="13060" max="13060" width="19.8984375" style="1538" customWidth="1"/>
    <col min="13061" max="13312" width="9" style="1538"/>
    <col min="13313" max="13313" width="5.19921875" style="1538" customWidth="1"/>
    <col min="13314" max="13314" width="44.09765625" style="1538" customWidth="1"/>
    <col min="13315" max="13315" width="10.8984375" style="1538" customWidth="1"/>
    <col min="13316" max="13316" width="19.8984375" style="1538" customWidth="1"/>
    <col min="13317" max="13568" width="9" style="1538"/>
    <col min="13569" max="13569" width="5.19921875" style="1538" customWidth="1"/>
    <col min="13570" max="13570" width="44.09765625" style="1538" customWidth="1"/>
    <col min="13571" max="13571" width="10.8984375" style="1538" customWidth="1"/>
    <col min="13572" max="13572" width="19.8984375" style="1538" customWidth="1"/>
    <col min="13573" max="13824" width="9" style="1538"/>
    <col min="13825" max="13825" width="5.19921875" style="1538" customWidth="1"/>
    <col min="13826" max="13826" width="44.09765625" style="1538" customWidth="1"/>
    <col min="13827" max="13827" width="10.8984375" style="1538" customWidth="1"/>
    <col min="13828" max="13828" width="19.8984375" style="1538" customWidth="1"/>
    <col min="13829" max="14080" width="9" style="1538"/>
    <col min="14081" max="14081" width="5.19921875" style="1538" customWidth="1"/>
    <col min="14082" max="14082" width="44.09765625" style="1538" customWidth="1"/>
    <col min="14083" max="14083" width="10.8984375" style="1538" customWidth="1"/>
    <col min="14084" max="14084" width="19.8984375" style="1538" customWidth="1"/>
    <col min="14085" max="14336" width="9" style="1538"/>
    <col min="14337" max="14337" width="5.19921875" style="1538" customWidth="1"/>
    <col min="14338" max="14338" width="44.09765625" style="1538" customWidth="1"/>
    <col min="14339" max="14339" width="10.8984375" style="1538" customWidth="1"/>
    <col min="14340" max="14340" width="19.8984375" style="1538" customWidth="1"/>
    <col min="14341" max="14592" width="9" style="1538"/>
    <col min="14593" max="14593" width="5.19921875" style="1538" customWidth="1"/>
    <col min="14594" max="14594" width="44.09765625" style="1538" customWidth="1"/>
    <col min="14595" max="14595" width="10.8984375" style="1538" customWidth="1"/>
    <col min="14596" max="14596" width="19.8984375" style="1538" customWidth="1"/>
    <col min="14597" max="14848" width="9" style="1538"/>
    <col min="14849" max="14849" width="5.19921875" style="1538" customWidth="1"/>
    <col min="14850" max="14850" width="44.09765625" style="1538" customWidth="1"/>
    <col min="14851" max="14851" width="10.8984375" style="1538" customWidth="1"/>
    <col min="14852" max="14852" width="19.8984375" style="1538" customWidth="1"/>
    <col min="14853" max="15104" width="9" style="1538"/>
    <col min="15105" max="15105" width="5.19921875" style="1538" customWidth="1"/>
    <col min="15106" max="15106" width="44.09765625" style="1538" customWidth="1"/>
    <col min="15107" max="15107" width="10.8984375" style="1538" customWidth="1"/>
    <col min="15108" max="15108" width="19.8984375" style="1538" customWidth="1"/>
    <col min="15109" max="15360" width="9" style="1538"/>
    <col min="15361" max="15361" width="5.19921875" style="1538" customWidth="1"/>
    <col min="15362" max="15362" width="44.09765625" style="1538" customWidth="1"/>
    <col min="15363" max="15363" width="10.8984375" style="1538" customWidth="1"/>
    <col min="15364" max="15364" width="19.8984375" style="1538" customWidth="1"/>
    <col min="15365" max="15616" width="9" style="1538"/>
    <col min="15617" max="15617" width="5.19921875" style="1538" customWidth="1"/>
    <col min="15618" max="15618" width="44.09765625" style="1538" customWidth="1"/>
    <col min="15619" max="15619" width="10.8984375" style="1538" customWidth="1"/>
    <col min="15620" max="15620" width="19.8984375" style="1538" customWidth="1"/>
    <col min="15621" max="15872" width="9" style="1538"/>
    <col min="15873" max="15873" width="5.19921875" style="1538" customWidth="1"/>
    <col min="15874" max="15874" width="44.09765625" style="1538" customWidth="1"/>
    <col min="15875" max="15875" width="10.8984375" style="1538" customWidth="1"/>
    <col min="15876" max="15876" width="19.8984375" style="1538" customWidth="1"/>
    <col min="15877" max="16128" width="9" style="1538"/>
    <col min="16129" max="16129" width="5.19921875" style="1538" customWidth="1"/>
    <col min="16130" max="16130" width="44.09765625" style="1538" customWidth="1"/>
    <col min="16131" max="16131" width="10.8984375" style="1538" customWidth="1"/>
    <col min="16132" max="16132" width="19.8984375" style="1538" customWidth="1"/>
    <col min="16133" max="16384" width="9" style="1538"/>
  </cols>
  <sheetData>
    <row r="1" spans="1:4" ht="20.100000000000001" customHeight="1">
      <c r="A1" s="3400" t="s">
        <v>4971</v>
      </c>
      <c r="B1" s="3400"/>
      <c r="C1" s="3400"/>
      <c r="D1" s="2008"/>
    </row>
    <row r="2" spans="1:4" ht="25.5" customHeight="1">
      <c r="A2" s="3401" t="s">
        <v>4972</v>
      </c>
      <c r="B2" s="3401"/>
      <c r="C2" s="3401"/>
      <c r="D2" s="1947"/>
    </row>
    <row r="3" spans="1:4" ht="14.25" customHeight="1">
      <c r="A3" s="1910" t="s">
        <v>1853</v>
      </c>
      <c r="B3" s="1910" t="s">
        <v>4973</v>
      </c>
      <c r="C3" s="1910" t="s">
        <v>4974</v>
      </c>
      <c r="D3" s="1910" t="s">
        <v>4899</v>
      </c>
    </row>
    <row r="4" spans="1:4" ht="14.25" customHeight="1">
      <c r="A4" s="1910">
        <v>1</v>
      </c>
      <c r="B4" s="1913" t="s">
        <v>4975</v>
      </c>
      <c r="C4" s="2075">
        <f>C5+C18+C28+C34+C35</f>
        <v>0</v>
      </c>
      <c r="D4" s="1910" t="s">
        <v>4976</v>
      </c>
    </row>
    <row r="5" spans="1:4" ht="14.25" customHeight="1">
      <c r="A5" s="1910">
        <v>2</v>
      </c>
      <c r="B5" s="1913" t="s">
        <v>4977</v>
      </c>
      <c r="C5" s="2075">
        <f>C6+C14</f>
        <v>0</v>
      </c>
      <c r="D5" s="1910"/>
    </row>
    <row r="6" spans="1:4" ht="14.25" customHeight="1">
      <c r="A6" s="1910">
        <v>3</v>
      </c>
      <c r="B6" s="1913" t="s">
        <v>4978</v>
      </c>
      <c r="C6" s="2075">
        <f>SUM(C7:C13)</f>
        <v>0</v>
      </c>
      <c r="D6" s="1910"/>
    </row>
    <row r="7" spans="1:4" ht="14.25" customHeight="1">
      <c r="A7" s="1910">
        <v>4</v>
      </c>
      <c r="B7" s="1913" t="s">
        <v>4979</v>
      </c>
      <c r="C7" s="2076"/>
      <c r="D7" s="1910"/>
    </row>
    <row r="8" spans="1:4" ht="14.25" customHeight="1">
      <c r="A8" s="1910">
        <v>5</v>
      </c>
      <c r="B8" s="1913" t="s">
        <v>4980</v>
      </c>
      <c r="C8" s="2076"/>
      <c r="D8" s="1910"/>
    </row>
    <row r="9" spans="1:4" ht="14.25" customHeight="1">
      <c r="A9" s="1910">
        <v>6</v>
      </c>
      <c r="B9" s="1913" t="s">
        <v>4981</v>
      </c>
      <c r="C9" s="2076"/>
      <c r="D9" s="1910"/>
    </row>
    <row r="10" spans="1:4" ht="14.25" customHeight="1">
      <c r="A10" s="1910">
        <v>7</v>
      </c>
      <c r="B10" s="1913" t="s">
        <v>4982</v>
      </c>
      <c r="C10" s="2076"/>
      <c r="D10" s="1910"/>
    </row>
    <row r="11" spans="1:4" ht="14.25" customHeight="1">
      <c r="A11" s="1910">
        <v>8</v>
      </c>
      <c r="B11" s="1913" t="s">
        <v>4983</v>
      </c>
      <c r="C11" s="2076"/>
      <c r="D11" s="1910"/>
    </row>
    <row r="12" spans="1:4" ht="14.25" customHeight="1">
      <c r="A12" s="1910">
        <v>9</v>
      </c>
      <c r="B12" s="1913" t="s">
        <v>4984</v>
      </c>
      <c r="C12" s="2076"/>
      <c r="D12" s="1910"/>
    </row>
    <row r="13" spans="1:4" ht="14.25" customHeight="1">
      <c r="A13" s="1910">
        <v>10</v>
      </c>
      <c r="B13" s="1913" t="s">
        <v>4985</v>
      </c>
      <c r="C13" s="2076"/>
      <c r="D13" s="1910"/>
    </row>
    <row r="14" spans="1:4" ht="14.25" customHeight="1">
      <c r="A14" s="1910">
        <v>11</v>
      </c>
      <c r="B14" s="1913" t="s">
        <v>4986</v>
      </c>
      <c r="C14" s="2075">
        <f>SUM(C15:C17)</f>
        <v>0</v>
      </c>
      <c r="D14" s="1910"/>
    </row>
    <row r="15" spans="1:4" ht="14.25" customHeight="1">
      <c r="A15" s="1910">
        <v>12</v>
      </c>
      <c r="B15" s="1913" t="s">
        <v>4987</v>
      </c>
      <c r="C15" s="2076"/>
      <c r="D15" s="1910"/>
    </row>
    <row r="16" spans="1:4" ht="14.25" customHeight="1">
      <c r="A16" s="1910">
        <v>13</v>
      </c>
      <c r="B16" s="1913" t="s">
        <v>4988</v>
      </c>
      <c r="C16" s="2076"/>
      <c r="D16" s="1910"/>
    </row>
    <row r="17" spans="1:4" ht="14.25" customHeight="1">
      <c r="A17" s="1910">
        <v>14</v>
      </c>
      <c r="B17" s="1913" t="s">
        <v>4989</v>
      </c>
      <c r="C17" s="2076"/>
      <c r="D17" s="1910"/>
    </row>
    <row r="18" spans="1:4" ht="14.25" customHeight="1">
      <c r="A18" s="1910">
        <v>15</v>
      </c>
      <c r="B18" s="1913" t="s">
        <v>4990</v>
      </c>
      <c r="C18" s="2075">
        <f>SUM(C19:C20)-C21+C22-C23+C24+C25-C26+C27</f>
        <v>0</v>
      </c>
      <c r="D18" s="1910"/>
    </row>
    <row r="19" spans="1:4" ht="14.25" customHeight="1">
      <c r="A19" s="1910">
        <v>16</v>
      </c>
      <c r="B19" s="1913" t="s">
        <v>4991</v>
      </c>
      <c r="C19" s="2076"/>
      <c r="D19" s="1910"/>
    </row>
    <row r="20" spans="1:4" ht="14.25" customHeight="1">
      <c r="A20" s="1910">
        <v>17</v>
      </c>
      <c r="B20" s="1913" t="s">
        <v>4992</v>
      </c>
      <c r="C20" s="2076"/>
      <c r="D20" s="1910"/>
    </row>
    <row r="21" spans="1:4" ht="14.25" customHeight="1">
      <c r="A21" s="1910">
        <v>18</v>
      </c>
      <c r="B21" s="1913" t="s">
        <v>4993</v>
      </c>
      <c r="C21" s="2076"/>
      <c r="D21" s="1910"/>
    </row>
    <row r="22" spans="1:4" ht="14.25" customHeight="1">
      <c r="A22" s="1910">
        <v>19</v>
      </c>
      <c r="B22" s="1913" t="s">
        <v>4994</v>
      </c>
      <c r="C22" s="2076"/>
      <c r="D22" s="1910"/>
    </row>
    <row r="23" spans="1:4" ht="14.25" customHeight="1">
      <c r="A23" s="1910">
        <v>20</v>
      </c>
      <c r="B23" s="1913" t="s">
        <v>4995</v>
      </c>
      <c r="C23" s="2076"/>
      <c r="D23" s="1910"/>
    </row>
    <row r="24" spans="1:4" ht="14.25" customHeight="1">
      <c r="A24" s="1910">
        <v>21</v>
      </c>
      <c r="B24" s="1913" t="s">
        <v>4996</v>
      </c>
      <c r="C24" s="2076"/>
      <c r="D24" s="1910"/>
    </row>
    <row r="25" spans="1:4" ht="14.25" customHeight="1">
      <c r="A25" s="1910">
        <v>22</v>
      </c>
      <c r="B25" s="1913" t="s">
        <v>4997</v>
      </c>
      <c r="C25" s="2076"/>
      <c r="D25" s="1910"/>
    </row>
    <row r="26" spans="1:4" ht="14.25" customHeight="1">
      <c r="A26" s="1910">
        <v>23</v>
      </c>
      <c r="B26" s="1913" t="s">
        <v>4998</v>
      </c>
      <c r="C26" s="2076"/>
      <c r="D26" s="1910"/>
    </row>
    <row r="27" spans="1:4" ht="14.25" customHeight="1">
      <c r="A27" s="1910">
        <v>24</v>
      </c>
      <c r="B27" s="1913" t="s">
        <v>4999</v>
      </c>
      <c r="C27" s="2076"/>
      <c r="D27" s="1910"/>
    </row>
    <row r="28" spans="1:4" ht="14.25" customHeight="1">
      <c r="A28" s="1910">
        <v>25</v>
      </c>
      <c r="B28" s="1913" t="s">
        <v>5000</v>
      </c>
      <c r="C28" s="2075">
        <f>C29+C33</f>
        <v>0</v>
      </c>
      <c r="D28" s="1910"/>
    </row>
    <row r="29" spans="1:4" ht="14.25" customHeight="1">
      <c r="A29" s="1910">
        <v>26</v>
      </c>
      <c r="B29" s="1913" t="s">
        <v>5001</v>
      </c>
      <c r="C29" s="2075">
        <f>SUM(C30:C32)</f>
        <v>0</v>
      </c>
      <c r="D29" s="1910"/>
    </row>
    <row r="30" spans="1:4" ht="14.25" customHeight="1">
      <c r="A30" s="1910">
        <v>27</v>
      </c>
      <c r="B30" s="1913" t="s">
        <v>5002</v>
      </c>
      <c r="C30" s="2076"/>
      <c r="D30" s="1910"/>
    </row>
    <row r="31" spans="1:4" ht="14.25" customHeight="1">
      <c r="A31" s="1910">
        <v>28</v>
      </c>
      <c r="B31" s="1913" t="s">
        <v>4988</v>
      </c>
      <c r="C31" s="2076"/>
      <c r="D31" s="1910"/>
    </row>
    <row r="32" spans="1:4" ht="14.25" customHeight="1">
      <c r="A32" s="1910">
        <v>29</v>
      </c>
      <c r="B32" s="1913" t="s">
        <v>4989</v>
      </c>
      <c r="C32" s="2076"/>
      <c r="D32" s="1910"/>
    </row>
    <row r="33" spans="1:4" ht="14.25" customHeight="1">
      <c r="A33" s="1910">
        <v>30</v>
      </c>
      <c r="B33" s="1913" t="s">
        <v>5003</v>
      </c>
      <c r="C33" s="2076"/>
      <c r="D33" s="1910"/>
    </row>
    <row r="34" spans="1:4" ht="14.25" customHeight="1">
      <c r="A34" s="1910">
        <v>31</v>
      </c>
      <c r="B34" s="1913" t="s">
        <v>5004</v>
      </c>
      <c r="C34" s="2076"/>
      <c r="D34" s="1910"/>
    </row>
    <row r="35" spans="1:4" ht="14.25" customHeight="1">
      <c r="A35" s="1910">
        <v>32</v>
      </c>
      <c r="B35" s="1913" t="s">
        <v>5005</v>
      </c>
      <c r="C35" s="2076"/>
      <c r="D35" s="1910"/>
    </row>
    <row r="36" spans="1:4" ht="14.25" customHeight="1">
      <c r="A36" s="1910">
        <v>33</v>
      </c>
      <c r="B36" s="1913" t="s">
        <v>5006</v>
      </c>
      <c r="C36" s="2075">
        <f>SUM(C37:C42)</f>
        <v>0</v>
      </c>
      <c r="D36" s="1910" t="s">
        <v>5007</v>
      </c>
    </row>
    <row r="37" spans="1:4" ht="14.25" customHeight="1">
      <c r="A37" s="1910">
        <v>34</v>
      </c>
      <c r="B37" s="1913" t="s">
        <v>4962</v>
      </c>
      <c r="C37" s="2076"/>
      <c r="D37" s="1910"/>
    </row>
    <row r="38" spans="1:4" ht="14.25" customHeight="1">
      <c r="A38" s="1910">
        <v>35</v>
      </c>
      <c r="B38" s="1913" t="s">
        <v>4963</v>
      </c>
      <c r="C38" s="2076"/>
      <c r="D38" s="1910"/>
    </row>
    <row r="39" spans="1:4" ht="14.25" customHeight="1">
      <c r="A39" s="1910">
        <v>36</v>
      </c>
      <c r="B39" s="1913" t="s">
        <v>4964</v>
      </c>
      <c r="C39" s="2076"/>
      <c r="D39" s="1910"/>
    </row>
    <row r="40" spans="1:4" ht="14.25" customHeight="1">
      <c r="A40" s="1910">
        <v>37</v>
      </c>
      <c r="B40" s="1913" t="s">
        <v>5008</v>
      </c>
      <c r="C40" s="2076"/>
      <c r="D40" s="1910"/>
    </row>
    <row r="41" spans="1:4" ht="14.25" customHeight="1">
      <c r="A41" s="1910">
        <v>38</v>
      </c>
      <c r="B41" s="1913" t="s">
        <v>5009</v>
      </c>
      <c r="C41" s="2076"/>
      <c r="D41" s="1910"/>
    </row>
    <row r="42" spans="1:4" ht="14.25" customHeight="1">
      <c r="A42" s="1910">
        <v>39</v>
      </c>
      <c r="B42" s="1913" t="s">
        <v>5010</v>
      </c>
      <c r="C42" s="2076"/>
      <c r="D42"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59765625" defaultRowHeight="15.6"/>
  <cols>
    <col min="1" max="1" width="5.09765625" style="1532" customWidth="1"/>
    <col min="2" max="2" width="46.59765625" style="1532" customWidth="1"/>
    <col min="3" max="3" width="13.8984375" style="1532" customWidth="1"/>
    <col min="4" max="4" width="18.8984375" style="1532" customWidth="1"/>
    <col min="5" max="256" width="31.59765625" style="1532"/>
    <col min="257" max="257" width="5.09765625" style="1532" customWidth="1"/>
    <col min="258" max="258" width="46.59765625" style="1532" customWidth="1"/>
    <col min="259" max="259" width="8.5" style="1532" customWidth="1"/>
    <col min="260" max="260" width="18.8984375" style="1532" customWidth="1"/>
    <col min="261" max="512" width="31.59765625" style="1532"/>
    <col min="513" max="513" width="5.09765625" style="1532" customWidth="1"/>
    <col min="514" max="514" width="46.59765625" style="1532" customWidth="1"/>
    <col min="515" max="515" width="8.5" style="1532" customWidth="1"/>
    <col min="516" max="516" width="18.8984375" style="1532" customWidth="1"/>
    <col min="517" max="768" width="31.59765625" style="1532"/>
    <col min="769" max="769" width="5.09765625" style="1532" customWidth="1"/>
    <col min="770" max="770" width="46.59765625" style="1532" customWidth="1"/>
    <col min="771" max="771" width="8.5" style="1532" customWidth="1"/>
    <col min="772" max="772" width="18.8984375" style="1532" customWidth="1"/>
    <col min="773" max="1024" width="31.59765625" style="1532"/>
    <col min="1025" max="1025" width="5.09765625" style="1532" customWidth="1"/>
    <col min="1026" max="1026" width="46.59765625" style="1532" customWidth="1"/>
    <col min="1027" max="1027" width="8.5" style="1532" customWidth="1"/>
    <col min="1028" max="1028" width="18.8984375" style="1532" customWidth="1"/>
    <col min="1029" max="1280" width="31.59765625" style="1532"/>
    <col min="1281" max="1281" width="5.09765625" style="1532" customWidth="1"/>
    <col min="1282" max="1282" width="46.59765625" style="1532" customWidth="1"/>
    <col min="1283" max="1283" width="8.5" style="1532" customWidth="1"/>
    <col min="1284" max="1284" width="18.8984375" style="1532" customWidth="1"/>
    <col min="1285" max="1536" width="31.59765625" style="1532"/>
    <col min="1537" max="1537" width="5.09765625" style="1532" customWidth="1"/>
    <col min="1538" max="1538" width="46.59765625" style="1532" customWidth="1"/>
    <col min="1539" max="1539" width="8.5" style="1532" customWidth="1"/>
    <col min="1540" max="1540" width="18.8984375" style="1532" customWidth="1"/>
    <col min="1541" max="1792" width="31.59765625" style="1532"/>
    <col min="1793" max="1793" width="5.09765625" style="1532" customWidth="1"/>
    <col min="1794" max="1794" width="46.59765625" style="1532" customWidth="1"/>
    <col min="1795" max="1795" width="8.5" style="1532" customWidth="1"/>
    <col min="1796" max="1796" width="18.8984375" style="1532" customWidth="1"/>
    <col min="1797" max="2048" width="31.59765625" style="1532"/>
    <col min="2049" max="2049" width="5.09765625" style="1532" customWidth="1"/>
    <col min="2050" max="2050" width="46.59765625" style="1532" customWidth="1"/>
    <col min="2051" max="2051" width="8.5" style="1532" customWidth="1"/>
    <col min="2052" max="2052" width="18.8984375" style="1532" customWidth="1"/>
    <col min="2053" max="2304" width="31.59765625" style="1532"/>
    <col min="2305" max="2305" width="5.09765625" style="1532" customWidth="1"/>
    <col min="2306" max="2306" width="46.59765625" style="1532" customWidth="1"/>
    <col min="2307" max="2307" width="8.5" style="1532" customWidth="1"/>
    <col min="2308" max="2308" width="18.8984375" style="1532" customWidth="1"/>
    <col min="2309" max="2560" width="31.59765625" style="1532"/>
    <col min="2561" max="2561" width="5.09765625" style="1532" customWidth="1"/>
    <col min="2562" max="2562" width="46.59765625" style="1532" customWidth="1"/>
    <col min="2563" max="2563" width="8.5" style="1532" customWidth="1"/>
    <col min="2564" max="2564" width="18.8984375" style="1532" customWidth="1"/>
    <col min="2565" max="2816" width="31.59765625" style="1532"/>
    <col min="2817" max="2817" width="5.09765625" style="1532" customWidth="1"/>
    <col min="2818" max="2818" width="46.59765625" style="1532" customWidth="1"/>
    <col min="2819" max="2819" width="8.5" style="1532" customWidth="1"/>
    <col min="2820" max="2820" width="18.8984375" style="1532" customWidth="1"/>
    <col min="2821" max="3072" width="31.59765625" style="1532"/>
    <col min="3073" max="3073" width="5.09765625" style="1532" customWidth="1"/>
    <col min="3074" max="3074" width="46.59765625" style="1532" customWidth="1"/>
    <col min="3075" max="3075" width="8.5" style="1532" customWidth="1"/>
    <col min="3076" max="3076" width="18.8984375" style="1532" customWidth="1"/>
    <col min="3077" max="3328" width="31.59765625" style="1532"/>
    <col min="3329" max="3329" width="5.09765625" style="1532" customWidth="1"/>
    <col min="3330" max="3330" width="46.59765625" style="1532" customWidth="1"/>
    <col min="3331" max="3331" width="8.5" style="1532" customWidth="1"/>
    <col min="3332" max="3332" width="18.8984375" style="1532" customWidth="1"/>
    <col min="3333" max="3584" width="31.59765625" style="1532"/>
    <col min="3585" max="3585" width="5.09765625" style="1532" customWidth="1"/>
    <col min="3586" max="3586" width="46.59765625" style="1532" customWidth="1"/>
    <col min="3587" max="3587" width="8.5" style="1532" customWidth="1"/>
    <col min="3588" max="3588" width="18.8984375" style="1532" customWidth="1"/>
    <col min="3589" max="3840" width="31.59765625" style="1532"/>
    <col min="3841" max="3841" width="5.09765625" style="1532" customWidth="1"/>
    <col min="3842" max="3842" width="46.59765625" style="1532" customWidth="1"/>
    <col min="3843" max="3843" width="8.5" style="1532" customWidth="1"/>
    <col min="3844" max="3844" width="18.8984375" style="1532" customWidth="1"/>
    <col min="3845" max="4096" width="31.59765625" style="1532"/>
    <col min="4097" max="4097" width="5.09765625" style="1532" customWidth="1"/>
    <col min="4098" max="4098" width="46.59765625" style="1532" customWidth="1"/>
    <col min="4099" max="4099" width="8.5" style="1532" customWidth="1"/>
    <col min="4100" max="4100" width="18.8984375" style="1532" customWidth="1"/>
    <col min="4101" max="4352" width="31.59765625" style="1532"/>
    <col min="4353" max="4353" width="5.09765625" style="1532" customWidth="1"/>
    <col min="4354" max="4354" width="46.59765625" style="1532" customWidth="1"/>
    <col min="4355" max="4355" width="8.5" style="1532" customWidth="1"/>
    <col min="4356" max="4356" width="18.8984375" style="1532" customWidth="1"/>
    <col min="4357" max="4608" width="31.59765625" style="1532"/>
    <col min="4609" max="4609" width="5.09765625" style="1532" customWidth="1"/>
    <col min="4610" max="4610" width="46.59765625" style="1532" customWidth="1"/>
    <col min="4611" max="4611" width="8.5" style="1532" customWidth="1"/>
    <col min="4612" max="4612" width="18.8984375" style="1532" customWidth="1"/>
    <col min="4613" max="4864" width="31.59765625" style="1532"/>
    <col min="4865" max="4865" width="5.09765625" style="1532" customWidth="1"/>
    <col min="4866" max="4866" width="46.59765625" style="1532" customWidth="1"/>
    <col min="4867" max="4867" width="8.5" style="1532" customWidth="1"/>
    <col min="4868" max="4868" width="18.8984375" style="1532" customWidth="1"/>
    <col min="4869" max="5120" width="31.59765625" style="1532"/>
    <col min="5121" max="5121" width="5.09765625" style="1532" customWidth="1"/>
    <col min="5122" max="5122" width="46.59765625" style="1532" customWidth="1"/>
    <col min="5123" max="5123" width="8.5" style="1532" customWidth="1"/>
    <col min="5124" max="5124" width="18.8984375" style="1532" customWidth="1"/>
    <col min="5125" max="5376" width="31.59765625" style="1532"/>
    <col min="5377" max="5377" width="5.09765625" style="1532" customWidth="1"/>
    <col min="5378" max="5378" width="46.59765625" style="1532" customWidth="1"/>
    <col min="5379" max="5379" width="8.5" style="1532" customWidth="1"/>
    <col min="5380" max="5380" width="18.8984375" style="1532" customWidth="1"/>
    <col min="5381" max="5632" width="31.59765625" style="1532"/>
    <col min="5633" max="5633" width="5.09765625" style="1532" customWidth="1"/>
    <col min="5634" max="5634" width="46.59765625" style="1532" customWidth="1"/>
    <col min="5635" max="5635" width="8.5" style="1532" customWidth="1"/>
    <col min="5636" max="5636" width="18.8984375" style="1532" customWidth="1"/>
    <col min="5637" max="5888" width="31.59765625" style="1532"/>
    <col min="5889" max="5889" width="5.09765625" style="1532" customWidth="1"/>
    <col min="5890" max="5890" width="46.59765625" style="1532" customWidth="1"/>
    <col min="5891" max="5891" width="8.5" style="1532" customWidth="1"/>
    <col min="5892" max="5892" width="18.8984375" style="1532" customWidth="1"/>
    <col min="5893" max="6144" width="31.59765625" style="1532"/>
    <col min="6145" max="6145" width="5.09765625" style="1532" customWidth="1"/>
    <col min="6146" max="6146" width="46.59765625" style="1532" customWidth="1"/>
    <col min="6147" max="6147" width="8.5" style="1532" customWidth="1"/>
    <col min="6148" max="6148" width="18.8984375" style="1532" customWidth="1"/>
    <col min="6149" max="6400" width="31.59765625" style="1532"/>
    <col min="6401" max="6401" width="5.09765625" style="1532" customWidth="1"/>
    <col min="6402" max="6402" width="46.59765625" style="1532" customWidth="1"/>
    <col min="6403" max="6403" width="8.5" style="1532" customWidth="1"/>
    <col min="6404" max="6404" width="18.8984375" style="1532" customWidth="1"/>
    <col min="6405" max="6656" width="31.59765625" style="1532"/>
    <col min="6657" max="6657" width="5.09765625" style="1532" customWidth="1"/>
    <col min="6658" max="6658" width="46.59765625" style="1532" customWidth="1"/>
    <col min="6659" max="6659" width="8.5" style="1532" customWidth="1"/>
    <col min="6660" max="6660" width="18.8984375" style="1532" customWidth="1"/>
    <col min="6661" max="6912" width="31.59765625" style="1532"/>
    <col min="6913" max="6913" width="5.09765625" style="1532" customWidth="1"/>
    <col min="6914" max="6914" width="46.59765625" style="1532" customWidth="1"/>
    <col min="6915" max="6915" width="8.5" style="1532" customWidth="1"/>
    <col min="6916" max="6916" width="18.8984375" style="1532" customWidth="1"/>
    <col min="6917" max="7168" width="31.59765625" style="1532"/>
    <col min="7169" max="7169" width="5.09765625" style="1532" customWidth="1"/>
    <col min="7170" max="7170" width="46.59765625" style="1532" customWidth="1"/>
    <col min="7171" max="7171" width="8.5" style="1532" customWidth="1"/>
    <col min="7172" max="7172" width="18.8984375" style="1532" customWidth="1"/>
    <col min="7173" max="7424" width="31.59765625" style="1532"/>
    <col min="7425" max="7425" width="5.09765625" style="1532" customWidth="1"/>
    <col min="7426" max="7426" width="46.59765625" style="1532" customWidth="1"/>
    <col min="7427" max="7427" width="8.5" style="1532" customWidth="1"/>
    <col min="7428" max="7428" width="18.8984375" style="1532" customWidth="1"/>
    <col min="7429" max="7680" width="31.59765625" style="1532"/>
    <col min="7681" max="7681" width="5.09765625" style="1532" customWidth="1"/>
    <col min="7682" max="7682" width="46.59765625" style="1532" customWidth="1"/>
    <col min="7683" max="7683" width="8.5" style="1532" customWidth="1"/>
    <col min="7684" max="7684" width="18.8984375" style="1532" customWidth="1"/>
    <col min="7685" max="7936" width="31.59765625" style="1532"/>
    <col min="7937" max="7937" width="5.09765625" style="1532" customWidth="1"/>
    <col min="7938" max="7938" width="46.59765625" style="1532" customWidth="1"/>
    <col min="7939" max="7939" width="8.5" style="1532" customWidth="1"/>
    <col min="7940" max="7940" width="18.8984375" style="1532" customWidth="1"/>
    <col min="7941" max="8192" width="31.59765625" style="1532"/>
    <col min="8193" max="8193" width="5.09765625" style="1532" customWidth="1"/>
    <col min="8194" max="8194" width="46.59765625" style="1532" customWidth="1"/>
    <col min="8195" max="8195" width="8.5" style="1532" customWidth="1"/>
    <col min="8196" max="8196" width="18.8984375" style="1532" customWidth="1"/>
    <col min="8197" max="8448" width="31.59765625" style="1532"/>
    <col min="8449" max="8449" width="5.09765625" style="1532" customWidth="1"/>
    <col min="8450" max="8450" width="46.59765625" style="1532" customWidth="1"/>
    <col min="8451" max="8451" width="8.5" style="1532" customWidth="1"/>
    <col min="8452" max="8452" width="18.8984375" style="1532" customWidth="1"/>
    <col min="8453" max="8704" width="31.59765625" style="1532"/>
    <col min="8705" max="8705" width="5.09765625" style="1532" customWidth="1"/>
    <col min="8706" max="8706" width="46.59765625" style="1532" customWidth="1"/>
    <col min="8707" max="8707" width="8.5" style="1532" customWidth="1"/>
    <col min="8708" max="8708" width="18.8984375" style="1532" customWidth="1"/>
    <col min="8709" max="8960" width="31.59765625" style="1532"/>
    <col min="8961" max="8961" width="5.09765625" style="1532" customWidth="1"/>
    <col min="8962" max="8962" width="46.59765625" style="1532" customWidth="1"/>
    <col min="8963" max="8963" width="8.5" style="1532" customWidth="1"/>
    <col min="8964" max="8964" width="18.8984375" style="1532" customWidth="1"/>
    <col min="8965" max="9216" width="31.59765625" style="1532"/>
    <col min="9217" max="9217" width="5.09765625" style="1532" customWidth="1"/>
    <col min="9218" max="9218" width="46.59765625" style="1532" customWidth="1"/>
    <col min="9219" max="9219" width="8.5" style="1532" customWidth="1"/>
    <col min="9220" max="9220" width="18.8984375" style="1532" customWidth="1"/>
    <col min="9221" max="9472" width="31.59765625" style="1532"/>
    <col min="9473" max="9473" width="5.09765625" style="1532" customWidth="1"/>
    <col min="9474" max="9474" width="46.59765625" style="1532" customWidth="1"/>
    <col min="9475" max="9475" width="8.5" style="1532" customWidth="1"/>
    <col min="9476" max="9476" width="18.8984375" style="1532" customWidth="1"/>
    <col min="9477" max="9728" width="31.59765625" style="1532"/>
    <col min="9729" max="9729" width="5.09765625" style="1532" customWidth="1"/>
    <col min="9730" max="9730" width="46.59765625" style="1532" customWidth="1"/>
    <col min="9731" max="9731" width="8.5" style="1532" customWidth="1"/>
    <col min="9732" max="9732" width="18.8984375" style="1532" customWidth="1"/>
    <col min="9733" max="9984" width="31.59765625" style="1532"/>
    <col min="9985" max="9985" width="5.09765625" style="1532" customWidth="1"/>
    <col min="9986" max="9986" width="46.59765625" style="1532" customWidth="1"/>
    <col min="9987" max="9987" width="8.5" style="1532" customWidth="1"/>
    <col min="9988" max="9988" width="18.8984375" style="1532" customWidth="1"/>
    <col min="9989" max="10240" width="31.59765625" style="1532"/>
    <col min="10241" max="10241" width="5.09765625" style="1532" customWidth="1"/>
    <col min="10242" max="10242" width="46.59765625" style="1532" customWidth="1"/>
    <col min="10243" max="10243" width="8.5" style="1532" customWidth="1"/>
    <col min="10244" max="10244" width="18.8984375" style="1532" customWidth="1"/>
    <col min="10245" max="10496" width="31.59765625" style="1532"/>
    <col min="10497" max="10497" width="5.09765625" style="1532" customWidth="1"/>
    <col min="10498" max="10498" width="46.59765625" style="1532" customWidth="1"/>
    <col min="10499" max="10499" width="8.5" style="1532" customWidth="1"/>
    <col min="10500" max="10500" width="18.8984375" style="1532" customWidth="1"/>
    <col min="10501" max="10752" width="31.59765625" style="1532"/>
    <col min="10753" max="10753" width="5.09765625" style="1532" customWidth="1"/>
    <col min="10754" max="10754" width="46.59765625" style="1532" customWidth="1"/>
    <col min="10755" max="10755" width="8.5" style="1532" customWidth="1"/>
    <col min="10756" max="10756" width="18.8984375" style="1532" customWidth="1"/>
    <col min="10757" max="11008" width="31.59765625" style="1532"/>
    <col min="11009" max="11009" width="5.09765625" style="1532" customWidth="1"/>
    <col min="11010" max="11010" width="46.59765625" style="1532" customWidth="1"/>
    <col min="11011" max="11011" width="8.5" style="1532" customWidth="1"/>
    <col min="11012" max="11012" width="18.8984375" style="1532" customWidth="1"/>
    <col min="11013" max="11264" width="31.59765625" style="1532"/>
    <col min="11265" max="11265" width="5.09765625" style="1532" customWidth="1"/>
    <col min="11266" max="11266" width="46.59765625" style="1532" customWidth="1"/>
    <col min="11267" max="11267" width="8.5" style="1532" customWidth="1"/>
    <col min="11268" max="11268" width="18.8984375" style="1532" customWidth="1"/>
    <col min="11269" max="11520" width="31.59765625" style="1532"/>
    <col min="11521" max="11521" width="5.09765625" style="1532" customWidth="1"/>
    <col min="11522" max="11522" width="46.59765625" style="1532" customWidth="1"/>
    <col min="11523" max="11523" width="8.5" style="1532" customWidth="1"/>
    <col min="11524" max="11524" width="18.8984375" style="1532" customWidth="1"/>
    <col min="11525" max="11776" width="31.59765625" style="1532"/>
    <col min="11777" max="11777" width="5.09765625" style="1532" customWidth="1"/>
    <col min="11778" max="11778" width="46.59765625" style="1532" customWidth="1"/>
    <col min="11779" max="11779" width="8.5" style="1532" customWidth="1"/>
    <col min="11780" max="11780" width="18.8984375" style="1532" customWidth="1"/>
    <col min="11781" max="12032" width="31.59765625" style="1532"/>
    <col min="12033" max="12033" width="5.09765625" style="1532" customWidth="1"/>
    <col min="12034" max="12034" width="46.59765625" style="1532" customWidth="1"/>
    <col min="12035" max="12035" width="8.5" style="1532" customWidth="1"/>
    <col min="12036" max="12036" width="18.8984375" style="1532" customWidth="1"/>
    <col min="12037" max="12288" width="31.59765625" style="1532"/>
    <col min="12289" max="12289" width="5.09765625" style="1532" customWidth="1"/>
    <col min="12290" max="12290" width="46.59765625" style="1532" customWidth="1"/>
    <col min="12291" max="12291" width="8.5" style="1532" customWidth="1"/>
    <col min="12292" max="12292" width="18.8984375" style="1532" customWidth="1"/>
    <col min="12293" max="12544" width="31.59765625" style="1532"/>
    <col min="12545" max="12545" width="5.09765625" style="1532" customWidth="1"/>
    <col min="12546" max="12546" width="46.59765625" style="1532" customWidth="1"/>
    <col min="12547" max="12547" width="8.5" style="1532" customWidth="1"/>
    <col min="12548" max="12548" width="18.8984375" style="1532" customWidth="1"/>
    <col min="12549" max="12800" width="31.59765625" style="1532"/>
    <col min="12801" max="12801" width="5.09765625" style="1532" customWidth="1"/>
    <col min="12802" max="12802" width="46.59765625" style="1532" customWidth="1"/>
    <col min="12803" max="12803" width="8.5" style="1532" customWidth="1"/>
    <col min="12804" max="12804" width="18.8984375" style="1532" customWidth="1"/>
    <col min="12805" max="13056" width="31.59765625" style="1532"/>
    <col min="13057" max="13057" width="5.09765625" style="1532" customWidth="1"/>
    <col min="13058" max="13058" width="46.59765625" style="1532" customWidth="1"/>
    <col min="13059" max="13059" width="8.5" style="1532" customWidth="1"/>
    <col min="13060" max="13060" width="18.8984375" style="1532" customWidth="1"/>
    <col min="13061" max="13312" width="31.59765625" style="1532"/>
    <col min="13313" max="13313" width="5.09765625" style="1532" customWidth="1"/>
    <col min="13314" max="13314" width="46.59765625" style="1532" customWidth="1"/>
    <col min="13315" max="13315" width="8.5" style="1532" customWidth="1"/>
    <col min="13316" max="13316" width="18.8984375" style="1532" customWidth="1"/>
    <col min="13317" max="13568" width="31.59765625" style="1532"/>
    <col min="13569" max="13569" width="5.09765625" style="1532" customWidth="1"/>
    <col min="13570" max="13570" width="46.59765625" style="1532" customWidth="1"/>
    <col min="13571" max="13571" width="8.5" style="1532" customWidth="1"/>
    <col min="13572" max="13572" width="18.8984375" style="1532" customWidth="1"/>
    <col min="13573" max="13824" width="31.59765625" style="1532"/>
    <col min="13825" max="13825" width="5.09765625" style="1532" customWidth="1"/>
    <col min="13826" max="13826" width="46.59765625" style="1532" customWidth="1"/>
    <col min="13827" max="13827" width="8.5" style="1532" customWidth="1"/>
    <col min="13828" max="13828" width="18.8984375" style="1532" customWidth="1"/>
    <col min="13829" max="14080" width="31.59765625" style="1532"/>
    <col min="14081" max="14081" width="5.09765625" style="1532" customWidth="1"/>
    <col min="14082" max="14082" width="46.59765625" style="1532" customWidth="1"/>
    <col min="14083" max="14083" width="8.5" style="1532" customWidth="1"/>
    <col min="14084" max="14084" width="18.8984375" style="1532" customWidth="1"/>
    <col min="14085" max="14336" width="31.59765625" style="1532"/>
    <col min="14337" max="14337" width="5.09765625" style="1532" customWidth="1"/>
    <col min="14338" max="14338" width="46.59765625" style="1532" customWidth="1"/>
    <col min="14339" max="14339" width="8.5" style="1532" customWidth="1"/>
    <col min="14340" max="14340" width="18.8984375" style="1532" customWidth="1"/>
    <col min="14341" max="14592" width="31.59765625" style="1532"/>
    <col min="14593" max="14593" width="5.09765625" style="1532" customWidth="1"/>
    <col min="14594" max="14594" width="46.59765625" style="1532" customWidth="1"/>
    <col min="14595" max="14595" width="8.5" style="1532" customWidth="1"/>
    <col min="14596" max="14596" width="18.8984375" style="1532" customWidth="1"/>
    <col min="14597" max="14848" width="31.59765625" style="1532"/>
    <col min="14849" max="14849" width="5.09765625" style="1532" customWidth="1"/>
    <col min="14850" max="14850" width="46.59765625" style="1532" customWidth="1"/>
    <col min="14851" max="14851" width="8.5" style="1532" customWidth="1"/>
    <col min="14852" max="14852" width="18.8984375" style="1532" customWidth="1"/>
    <col min="14853" max="15104" width="31.59765625" style="1532"/>
    <col min="15105" max="15105" width="5.09765625" style="1532" customWidth="1"/>
    <col min="15106" max="15106" width="46.59765625" style="1532" customWidth="1"/>
    <col min="15107" max="15107" width="8.5" style="1532" customWidth="1"/>
    <col min="15108" max="15108" width="18.8984375" style="1532" customWidth="1"/>
    <col min="15109" max="15360" width="31.59765625" style="1532"/>
    <col min="15361" max="15361" width="5.09765625" style="1532" customWidth="1"/>
    <col min="15362" max="15362" width="46.59765625" style="1532" customWidth="1"/>
    <col min="15363" max="15363" width="8.5" style="1532" customWidth="1"/>
    <col min="15364" max="15364" width="18.8984375" style="1532" customWidth="1"/>
    <col min="15365" max="15616" width="31.59765625" style="1532"/>
    <col min="15617" max="15617" width="5.09765625" style="1532" customWidth="1"/>
    <col min="15618" max="15618" width="46.59765625" style="1532" customWidth="1"/>
    <col min="15619" max="15619" width="8.5" style="1532" customWidth="1"/>
    <col min="15620" max="15620" width="18.8984375" style="1532" customWidth="1"/>
    <col min="15621" max="15872" width="31.59765625" style="1532"/>
    <col min="15873" max="15873" width="5.09765625" style="1532" customWidth="1"/>
    <col min="15874" max="15874" width="46.59765625" style="1532" customWidth="1"/>
    <col min="15875" max="15875" width="8.5" style="1532" customWidth="1"/>
    <col min="15876" max="15876" width="18.8984375" style="1532" customWidth="1"/>
    <col min="15877" max="16128" width="31.59765625" style="1532"/>
    <col min="16129" max="16129" width="5.09765625" style="1532" customWidth="1"/>
    <col min="16130" max="16130" width="46.59765625" style="1532" customWidth="1"/>
    <col min="16131" max="16131" width="8.5" style="1532" customWidth="1"/>
    <col min="16132" max="16132" width="18.8984375" style="1532" customWidth="1"/>
    <col min="16133" max="16384" width="31.59765625" style="1532"/>
  </cols>
  <sheetData>
    <row r="1" spans="1:4" ht="20.100000000000001" customHeight="1">
      <c r="A1" s="3400" t="s">
        <v>5011</v>
      </c>
      <c r="B1" s="3400"/>
      <c r="C1" s="3400"/>
      <c r="D1" s="1937"/>
    </row>
    <row r="2" spans="1:4" ht="25.5" customHeight="1">
      <c r="A2" s="3401" t="s">
        <v>5012</v>
      </c>
      <c r="B2" s="3401"/>
      <c r="C2" s="3401"/>
      <c r="D2" s="1854"/>
    </row>
    <row r="3" spans="1:4" s="1537" customFormat="1" ht="14.25" customHeight="1">
      <c r="A3" s="1840" t="s">
        <v>1853</v>
      </c>
      <c r="B3" s="1840" t="s">
        <v>5013</v>
      </c>
      <c r="C3" s="1840" t="s">
        <v>5014</v>
      </c>
      <c r="D3" s="1840" t="s">
        <v>4809</v>
      </c>
    </row>
    <row r="4" spans="1:4" s="1537" customFormat="1" ht="36" customHeight="1">
      <c r="A4" s="1840">
        <v>1</v>
      </c>
      <c r="B4" s="1809" t="s">
        <v>5015</v>
      </c>
      <c r="C4" s="2075">
        <f>SUM(C5:C10)</f>
        <v>0</v>
      </c>
      <c r="D4" s="1953" t="s">
        <v>5016</v>
      </c>
    </row>
    <row r="5" spans="1:4" s="1537" customFormat="1" ht="14.25" customHeight="1">
      <c r="A5" s="1840">
        <v>2</v>
      </c>
      <c r="B5" s="1809" t="s">
        <v>5017</v>
      </c>
      <c r="C5" s="2077"/>
      <c r="D5" s="1953"/>
    </row>
    <row r="6" spans="1:4" s="1537" customFormat="1" ht="14.25" customHeight="1">
      <c r="A6" s="1840">
        <v>3</v>
      </c>
      <c r="B6" s="1809" t="s">
        <v>5018</v>
      </c>
      <c r="C6" s="2077"/>
      <c r="D6" s="1953"/>
    </row>
    <row r="7" spans="1:4" s="1537" customFormat="1" ht="14.25" customHeight="1">
      <c r="A7" s="1840">
        <v>4</v>
      </c>
      <c r="B7" s="1809" t="s">
        <v>5019</v>
      </c>
      <c r="C7" s="2077"/>
      <c r="D7" s="1953"/>
    </row>
    <row r="8" spans="1:4" s="1537" customFormat="1" ht="14.25" customHeight="1">
      <c r="A8" s="1840">
        <v>5</v>
      </c>
      <c r="B8" s="1809" t="s">
        <v>5020</v>
      </c>
      <c r="C8" s="2077"/>
      <c r="D8" s="1953"/>
    </row>
    <row r="9" spans="1:4" s="1537" customFormat="1" ht="14.25" customHeight="1">
      <c r="A9" s="1840">
        <v>6</v>
      </c>
      <c r="B9" s="1809" t="s">
        <v>5021</v>
      </c>
      <c r="C9" s="2077"/>
      <c r="D9" s="1953"/>
    </row>
    <row r="10" spans="1:4" s="1537" customFormat="1" ht="14.25" customHeight="1">
      <c r="A10" s="1840">
        <v>7</v>
      </c>
      <c r="B10" s="1809" t="s">
        <v>5022</v>
      </c>
      <c r="C10" s="2075">
        <f>SUM(C11:C12)</f>
        <v>0</v>
      </c>
      <c r="D10" s="1953"/>
    </row>
    <row r="11" spans="1:4" s="1537" customFormat="1" ht="28.5" customHeight="1">
      <c r="A11" s="1840">
        <v>8</v>
      </c>
      <c r="B11" s="1809" t="s">
        <v>5023</v>
      </c>
      <c r="C11" s="2077"/>
      <c r="D11" s="1953" t="s">
        <v>5024</v>
      </c>
    </row>
    <row r="12" spans="1:4" s="1537" customFormat="1" ht="26.25" customHeight="1">
      <c r="A12" s="1840">
        <v>9</v>
      </c>
      <c r="B12" s="1809" t="s">
        <v>5025</v>
      </c>
      <c r="C12" s="2077"/>
      <c r="D12" s="1953" t="s">
        <v>5026</v>
      </c>
    </row>
    <row r="13" spans="1:4" s="1537" customFormat="1" ht="14.25" customHeight="1">
      <c r="A13" s="1840">
        <v>10</v>
      </c>
      <c r="B13" s="1809" t="s">
        <v>5027</v>
      </c>
      <c r="C13" s="2075">
        <f>SUM(C14:C20)</f>
        <v>0</v>
      </c>
      <c r="D13" s="1953"/>
    </row>
    <row r="14" spans="1:4" s="1537" customFormat="1" ht="14.25" customHeight="1">
      <c r="A14" s="1840">
        <v>11</v>
      </c>
      <c r="B14" s="1809" t="s">
        <v>5028</v>
      </c>
      <c r="C14" s="2077"/>
      <c r="D14" s="1953"/>
    </row>
    <row r="15" spans="1:4" s="1537" customFormat="1" ht="13.8">
      <c r="A15" s="1840">
        <v>12</v>
      </c>
      <c r="B15" s="1809" t="s">
        <v>5029</v>
      </c>
      <c r="C15" s="2077"/>
      <c r="D15" s="1953"/>
    </row>
    <row r="16" spans="1:4">
      <c r="A16" s="1840">
        <v>13</v>
      </c>
      <c r="B16" s="1809" t="s">
        <v>5030</v>
      </c>
      <c r="C16" s="2077"/>
      <c r="D16" s="1953"/>
    </row>
    <row r="17" spans="1:4">
      <c r="A17" s="1840">
        <v>14</v>
      </c>
      <c r="B17" s="1809" t="s">
        <v>5031</v>
      </c>
      <c r="C17" s="2077"/>
      <c r="D17" s="1953"/>
    </row>
    <row r="18" spans="1:4">
      <c r="A18" s="1840">
        <v>15</v>
      </c>
      <c r="B18" s="1818" t="s">
        <v>5032</v>
      </c>
      <c r="C18" s="2077"/>
      <c r="D18" s="1953"/>
    </row>
    <row r="19" spans="1:4">
      <c r="A19" s="1840">
        <v>16</v>
      </c>
      <c r="B19" s="1809" t="s">
        <v>5033</v>
      </c>
      <c r="C19" s="2077"/>
      <c r="D19" s="1953"/>
    </row>
    <row r="20" spans="1:4">
      <c r="A20" s="1840">
        <v>17</v>
      </c>
      <c r="B20" s="1809" t="s">
        <v>5034</v>
      </c>
      <c r="C20" s="2077"/>
      <c r="D20" s="1953"/>
    </row>
    <row r="21" spans="1:4">
      <c r="A21" s="1840">
        <v>18</v>
      </c>
      <c r="B21" s="1809" t="s">
        <v>5035</v>
      </c>
      <c r="C21" s="2075">
        <f>SUM(C22:C26)</f>
        <v>0</v>
      </c>
      <c r="D21" s="1953"/>
    </row>
    <row r="22" spans="1:4" ht="36">
      <c r="A22" s="1840">
        <v>19</v>
      </c>
      <c r="B22" s="1809" t="s">
        <v>5036</v>
      </c>
      <c r="C22" s="2077"/>
      <c r="D22" s="1953" t="s">
        <v>5037</v>
      </c>
    </row>
    <row r="23" spans="1:4">
      <c r="A23" s="1840">
        <v>20</v>
      </c>
      <c r="B23" s="1809" t="s">
        <v>5038</v>
      </c>
      <c r="C23" s="2077"/>
      <c r="D23" s="1953"/>
    </row>
    <row r="24" spans="1:4" ht="14.1" customHeight="1">
      <c r="A24" s="1840">
        <v>21</v>
      </c>
      <c r="B24" s="1809" t="s">
        <v>5039</v>
      </c>
      <c r="C24" s="2077"/>
      <c r="D24" s="1953"/>
    </row>
    <row r="25" spans="1:4" ht="14.1" customHeight="1">
      <c r="A25" s="1840">
        <v>22</v>
      </c>
      <c r="B25" s="1809" t="s">
        <v>5040</v>
      </c>
      <c r="C25" s="2077"/>
      <c r="D25" s="1953"/>
    </row>
    <row r="26" spans="1:4" ht="24">
      <c r="A26" s="1840">
        <v>23</v>
      </c>
      <c r="B26" s="1809" t="s">
        <v>5041</v>
      </c>
      <c r="C26" s="2077"/>
      <c r="D26" s="1953" t="s">
        <v>5042</v>
      </c>
    </row>
    <row r="27" spans="1:4">
      <c r="A27" s="1840">
        <v>24</v>
      </c>
      <c r="B27" s="1809" t="s">
        <v>5043</v>
      </c>
      <c r="C27" s="2075">
        <f>SUM(C28:C31)</f>
        <v>0</v>
      </c>
      <c r="D27" s="1953"/>
    </row>
    <row r="28" spans="1:4">
      <c r="A28" s="1840">
        <v>25</v>
      </c>
      <c r="B28" s="1809" t="s">
        <v>5044</v>
      </c>
      <c r="C28" s="2077"/>
      <c r="D28" s="1953"/>
    </row>
    <row r="29" spans="1:4">
      <c r="A29" s="1840">
        <v>26</v>
      </c>
      <c r="B29" s="1809" t="s">
        <v>5045</v>
      </c>
      <c r="C29" s="2077"/>
      <c r="D29" s="1953"/>
    </row>
    <row r="30" spans="1:4">
      <c r="A30" s="1840">
        <v>27</v>
      </c>
      <c r="B30" s="1809" t="s">
        <v>5046</v>
      </c>
      <c r="C30" s="2077"/>
      <c r="D30" s="1953"/>
    </row>
    <row r="31" spans="1:4">
      <c r="A31" s="1840">
        <v>28</v>
      </c>
      <c r="B31" s="1809" t="s">
        <v>5047</v>
      </c>
      <c r="C31" s="2077"/>
      <c r="D31" s="195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workbookViewId="0">
      <selection activeCell="E14" sqref="E14"/>
    </sheetView>
  </sheetViews>
  <sheetFormatPr defaultColWidth="22.5" defaultRowHeight="22.2"/>
  <cols>
    <col min="1" max="1" width="3.3984375" style="1531" customWidth="1"/>
    <col min="2" max="2" width="23.3984375" style="1528" customWidth="1"/>
    <col min="3" max="8" width="12.69921875" style="1528" customWidth="1"/>
    <col min="9" max="9" width="11.5" style="1528" customWidth="1"/>
    <col min="10" max="256" width="22.5" style="1528"/>
    <col min="257" max="257" width="3.3984375" style="1528" customWidth="1"/>
    <col min="258" max="258" width="23.3984375" style="1528" customWidth="1"/>
    <col min="259" max="259" width="7.3984375" style="1528" customWidth="1"/>
    <col min="260" max="260" width="7.09765625" style="1528" customWidth="1"/>
    <col min="261" max="261" width="7.19921875" style="1528" customWidth="1"/>
    <col min="262" max="262" width="7.09765625" style="1528" customWidth="1"/>
    <col min="263" max="263" width="7" style="1528" customWidth="1"/>
    <col min="264" max="264" width="6.69921875" style="1528" customWidth="1"/>
    <col min="265" max="265" width="11.5" style="1528" customWidth="1"/>
    <col min="266" max="512" width="22.5" style="1528"/>
    <col min="513" max="513" width="3.3984375" style="1528" customWidth="1"/>
    <col min="514" max="514" width="23.3984375" style="1528" customWidth="1"/>
    <col min="515" max="515" width="7.3984375" style="1528" customWidth="1"/>
    <col min="516" max="516" width="7.09765625" style="1528" customWidth="1"/>
    <col min="517" max="517" width="7.19921875" style="1528" customWidth="1"/>
    <col min="518" max="518" width="7.09765625" style="1528" customWidth="1"/>
    <col min="519" max="519" width="7" style="1528" customWidth="1"/>
    <col min="520" max="520" width="6.69921875" style="1528" customWidth="1"/>
    <col min="521" max="521" width="11.5" style="1528" customWidth="1"/>
    <col min="522" max="768" width="22.5" style="1528"/>
    <col min="769" max="769" width="3.3984375" style="1528" customWidth="1"/>
    <col min="770" max="770" width="23.3984375" style="1528" customWidth="1"/>
    <col min="771" max="771" width="7.3984375" style="1528" customWidth="1"/>
    <col min="772" max="772" width="7.09765625" style="1528" customWidth="1"/>
    <col min="773" max="773" width="7.19921875" style="1528" customWidth="1"/>
    <col min="774" max="774" width="7.09765625" style="1528" customWidth="1"/>
    <col min="775" max="775" width="7" style="1528" customWidth="1"/>
    <col min="776" max="776" width="6.69921875" style="1528" customWidth="1"/>
    <col min="777" max="777" width="11.5" style="1528" customWidth="1"/>
    <col min="778" max="1024" width="22.5" style="1528"/>
    <col min="1025" max="1025" width="3.3984375" style="1528" customWidth="1"/>
    <col min="1026" max="1026" width="23.3984375" style="1528" customWidth="1"/>
    <col min="1027" max="1027" width="7.3984375" style="1528" customWidth="1"/>
    <col min="1028" max="1028" width="7.09765625" style="1528" customWidth="1"/>
    <col min="1029" max="1029" width="7.19921875" style="1528" customWidth="1"/>
    <col min="1030" max="1030" width="7.09765625" style="1528" customWidth="1"/>
    <col min="1031" max="1031" width="7" style="1528" customWidth="1"/>
    <col min="1032" max="1032" width="6.69921875" style="1528" customWidth="1"/>
    <col min="1033" max="1033" width="11.5" style="1528" customWidth="1"/>
    <col min="1034" max="1280" width="22.5" style="1528"/>
    <col min="1281" max="1281" width="3.3984375" style="1528" customWidth="1"/>
    <col min="1282" max="1282" width="23.3984375" style="1528" customWidth="1"/>
    <col min="1283" max="1283" width="7.3984375" style="1528" customWidth="1"/>
    <col min="1284" max="1284" width="7.09765625" style="1528" customWidth="1"/>
    <col min="1285" max="1285" width="7.19921875" style="1528" customWidth="1"/>
    <col min="1286" max="1286" width="7.09765625" style="1528" customWidth="1"/>
    <col min="1287" max="1287" width="7" style="1528" customWidth="1"/>
    <col min="1288" max="1288" width="6.69921875" style="1528" customWidth="1"/>
    <col min="1289" max="1289" width="11.5" style="1528" customWidth="1"/>
    <col min="1290" max="1536" width="22.5" style="1528"/>
    <col min="1537" max="1537" width="3.3984375" style="1528" customWidth="1"/>
    <col min="1538" max="1538" width="23.3984375" style="1528" customWidth="1"/>
    <col min="1539" max="1539" width="7.3984375" style="1528" customWidth="1"/>
    <col min="1540" max="1540" width="7.09765625" style="1528" customWidth="1"/>
    <col min="1541" max="1541" width="7.19921875" style="1528" customWidth="1"/>
    <col min="1542" max="1542" width="7.09765625" style="1528" customWidth="1"/>
    <col min="1543" max="1543" width="7" style="1528" customWidth="1"/>
    <col min="1544" max="1544" width="6.69921875" style="1528" customWidth="1"/>
    <col min="1545" max="1545" width="11.5" style="1528" customWidth="1"/>
    <col min="1546" max="1792" width="22.5" style="1528"/>
    <col min="1793" max="1793" width="3.3984375" style="1528" customWidth="1"/>
    <col min="1794" max="1794" width="23.3984375" style="1528" customWidth="1"/>
    <col min="1795" max="1795" width="7.3984375" style="1528" customWidth="1"/>
    <col min="1796" max="1796" width="7.09765625" style="1528" customWidth="1"/>
    <col min="1797" max="1797" width="7.19921875" style="1528" customWidth="1"/>
    <col min="1798" max="1798" width="7.09765625" style="1528" customWidth="1"/>
    <col min="1799" max="1799" width="7" style="1528" customWidth="1"/>
    <col min="1800" max="1800" width="6.69921875" style="1528" customWidth="1"/>
    <col min="1801" max="1801" width="11.5" style="1528" customWidth="1"/>
    <col min="1802" max="2048" width="22.5" style="1528"/>
    <col min="2049" max="2049" width="3.3984375" style="1528" customWidth="1"/>
    <col min="2050" max="2050" width="23.3984375" style="1528" customWidth="1"/>
    <col min="2051" max="2051" width="7.3984375" style="1528" customWidth="1"/>
    <col min="2052" max="2052" width="7.09765625" style="1528" customWidth="1"/>
    <col min="2053" max="2053" width="7.19921875" style="1528" customWidth="1"/>
    <col min="2054" max="2054" width="7.09765625" style="1528" customWidth="1"/>
    <col min="2055" max="2055" width="7" style="1528" customWidth="1"/>
    <col min="2056" max="2056" width="6.69921875" style="1528" customWidth="1"/>
    <col min="2057" max="2057" width="11.5" style="1528" customWidth="1"/>
    <col min="2058" max="2304" width="22.5" style="1528"/>
    <col min="2305" max="2305" width="3.3984375" style="1528" customWidth="1"/>
    <col min="2306" max="2306" width="23.3984375" style="1528" customWidth="1"/>
    <col min="2307" max="2307" width="7.3984375" style="1528" customWidth="1"/>
    <col min="2308" max="2308" width="7.09765625" style="1528" customWidth="1"/>
    <col min="2309" max="2309" width="7.19921875" style="1528" customWidth="1"/>
    <col min="2310" max="2310" width="7.09765625" style="1528" customWidth="1"/>
    <col min="2311" max="2311" width="7" style="1528" customWidth="1"/>
    <col min="2312" max="2312" width="6.69921875" style="1528" customWidth="1"/>
    <col min="2313" max="2313" width="11.5" style="1528" customWidth="1"/>
    <col min="2314" max="2560" width="22.5" style="1528"/>
    <col min="2561" max="2561" width="3.3984375" style="1528" customWidth="1"/>
    <col min="2562" max="2562" width="23.3984375" style="1528" customWidth="1"/>
    <col min="2563" max="2563" width="7.3984375" style="1528" customWidth="1"/>
    <col min="2564" max="2564" width="7.09765625" style="1528" customWidth="1"/>
    <col min="2565" max="2565" width="7.19921875" style="1528" customWidth="1"/>
    <col min="2566" max="2566" width="7.09765625" style="1528" customWidth="1"/>
    <col min="2567" max="2567" width="7" style="1528" customWidth="1"/>
    <col min="2568" max="2568" width="6.69921875" style="1528" customWidth="1"/>
    <col min="2569" max="2569" width="11.5" style="1528" customWidth="1"/>
    <col min="2570" max="2816" width="22.5" style="1528"/>
    <col min="2817" max="2817" width="3.3984375" style="1528" customWidth="1"/>
    <col min="2818" max="2818" width="23.3984375" style="1528" customWidth="1"/>
    <col min="2819" max="2819" width="7.3984375" style="1528" customWidth="1"/>
    <col min="2820" max="2820" width="7.09765625" style="1528" customWidth="1"/>
    <col min="2821" max="2821" width="7.19921875" style="1528" customWidth="1"/>
    <col min="2822" max="2822" width="7.09765625" style="1528" customWidth="1"/>
    <col min="2823" max="2823" width="7" style="1528" customWidth="1"/>
    <col min="2824" max="2824" width="6.69921875" style="1528" customWidth="1"/>
    <col min="2825" max="2825" width="11.5" style="1528" customWidth="1"/>
    <col min="2826" max="3072" width="22.5" style="1528"/>
    <col min="3073" max="3073" width="3.3984375" style="1528" customWidth="1"/>
    <col min="3074" max="3074" width="23.3984375" style="1528" customWidth="1"/>
    <col min="3075" max="3075" width="7.3984375" style="1528" customWidth="1"/>
    <col min="3076" max="3076" width="7.09765625" style="1528" customWidth="1"/>
    <col min="3077" max="3077" width="7.19921875" style="1528" customWidth="1"/>
    <col min="3078" max="3078" width="7.09765625" style="1528" customWidth="1"/>
    <col min="3079" max="3079" width="7" style="1528" customWidth="1"/>
    <col min="3080" max="3080" width="6.69921875" style="1528" customWidth="1"/>
    <col min="3081" max="3081" width="11.5" style="1528" customWidth="1"/>
    <col min="3082" max="3328" width="22.5" style="1528"/>
    <col min="3329" max="3329" width="3.3984375" style="1528" customWidth="1"/>
    <col min="3330" max="3330" width="23.3984375" style="1528" customWidth="1"/>
    <col min="3331" max="3331" width="7.3984375" style="1528" customWidth="1"/>
    <col min="3332" max="3332" width="7.09765625" style="1528" customWidth="1"/>
    <col min="3333" max="3333" width="7.19921875" style="1528" customWidth="1"/>
    <col min="3334" max="3334" width="7.09765625" style="1528" customWidth="1"/>
    <col min="3335" max="3335" width="7" style="1528" customWidth="1"/>
    <col min="3336" max="3336" width="6.69921875" style="1528" customWidth="1"/>
    <col min="3337" max="3337" width="11.5" style="1528" customWidth="1"/>
    <col min="3338" max="3584" width="22.5" style="1528"/>
    <col min="3585" max="3585" width="3.3984375" style="1528" customWidth="1"/>
    <col min="3586" max="3586" width="23.3984375" style="1528" customWidth="1"/>
    <col min="3587" max="3587" width="7.3984375" style="1528" customWidth="1"/>
    <col min="3588" max="3588" width="7.09765625" style="1528" customWidth="1"/>
    <col min="3589" max="3589" width="7.19921875" style="1528" customWidth="1"/>
    <col min="3590" max="3590" width="7.09765625" style="1528" customWidth="1"/>
    <col min="3591" max="3591" width="7" style="1528" customWidth="1"/>
    <col min="3592" max="3592" width="6.69921875" style="1528" customWidth="1"/>
    <col min="3593" max="3593" width="11.5" style="1528" customWidth="1"/>
    <col min="3594" max="3840" width="22.5" style="1528"/>
    <col min="3841" max="3841" width="3.3984375" style="1528" customWidth="1"/>
    <col min="3842" max="3842" width="23.3984375" style="1528" customWidth="1"/>
    <col min="3843" max="3843" width="7.3984375" style="1528" customWidth="1"/>
    <col min="3844" max="3844" width="7.09765625" style="1528" customWidth="1"/>
    <col min="3845" max="3845" width="7.19921875" style="1528" customWidth="1"/>
    <col min="3846" max="3846" width="7.09765625" style="1528" customWidth="1"/>
    <col min="3847" max="3847" width="7" style="1528" customWidth="1"/>
    <col min="3848" max="3848" width="6.69921875" style="1528" customWidth="1"/>
    <col min="3849" max="3849" width="11.5" style="1528" customWidth="1"/>
    <col min="3850" max="4096" width="22.5" style="1528"/>
    <col min="4097" max="4097" width="3.3984375" style="1528" customWidth="1"/>
    <col min="4098" max="4098" width="23.3984375" style="1528" customWidth="1"/>
    <col min="4099" max="4099" width="7.3984375" style="1528" customWidth="1"/>
    <col min="4100" max="4100" width="7.09765625" style="1528" customWidth="1"/>
    <col min="4101" max="4101" width="7.19921875" style="1528" customWidth="1"/>
    <col min="4102" max="4102" width="7.09765625" style="1528" customWidth="1"/>
    <col min="4103" max="4103" width="7" style="1528" customWidth="1"/>
    <col min="4104" max="4104" width="6.69921875" style="1528" customWidth="1"/>
    <col min="4105" max="4105" width="11.5" style="1528" customWidth="1"/>
    <col min="4106" max="4352" width="22.5" style="1528"/>
    <col min="4353" max="4353" width="3.3984375" style="1528" customWidth="1"/>
    <col min="4354" max="4354" width="23.3984375" style="1528" customWidth="1"/>
    <col min="4355" max="4355" width="7.3984375" style="1528" customWidth="1"/>
    <col min="4356" max="4356" width="7.09765625" style="1528" customWidth="1"/>
    <col min="4357" max="4357" width="7.19921875" style="1528" customWidth="1"/>
    <col min="4358" max="4358" width="7.09765625" style="1528" customWidth="1"/>
    <col min="4359" max="4359" width="7" style="1528" customWidth="1"/>
    <col min="4360" max="4360" width="6.69921875" style="1528" customWidth="1"/>
    <col min="4361" max="4361" width="11.5" style="1528" customWidth="1"/>
    <col min="4362" max="4608" width="22.5" style="1528"/>
    <col min="4609" max="4609" width="3.3984375" style="1528" customWidth="1"/>
    <col min="4610" max="4610" width="23.3984375" style="1528" customWidth="1"/>
    <col min="4611" max="4611" width="7.3984375" style="1528" customWidth="1"/>
    <col min="4612" max="4612" width="7.09765625" style="1528" customWidth="1"/>
    <col min="4613" max="4613" width="7.19921875" style="1528" customWidth="1"/>
    <col min="4614" max="4614" width="7.09765625" style="1528" customWidth="1"/>
    <col min="4615" max="4615" width="7" style="1528" customWidth="1"/>
    <col min="4616" max="4616" width="6.69921875" style="1528" customWidth="1"/>
    <col min="4617" max="4617" width="11.5" style="1528" customWidth="1"/>
    <col min="4618" max="4864" width="22.5" style="1528"/>
    <col min="4865" max="4865" width="3.3984375" style="1528" customWidth="1"/>
    <col min="4866" max="4866" width="23.3984375" style="1528" customWidth="1"/>
    <col min="4867" max="4867" width="7.3984375" style="1528" customWidth="1"/>
    <col min="4868" max="4868" width="7.09765625" style="1528" customWidth="1"/>
    <col min="4869" max="4869" width="7.19921875" style="1528" customWidth="1"/>
    <col min="4870" max="4870" width="7.09765625" style="1528" customWidth="1"/>
    <col min="4871" max="4871" width="7" style="1528" customWidth="1"/>
    <col min="4872" max="4872" width="6.69921875" style="1528" customWidth="1"/>
    <col min="4873" max="4873" width="11.5" style="1528" customWidth="1"/>
    <col min="4874" max="5120" width="22.5" style="1528"/>
    <col min="5121" max="5121" width="3.3984375" style="1528" customWidth="1"/>
    <col min="5122" max="5122" width="23.3984375" style="1528" customWidth="1"/>
    <col min="5123" max="5123" width="7.3984375" style="1528" customWidth="1"/>
    <col min="5124" max="5124" width="7.09765625" style="1528" customWidth="1"/>
    <col min="5125" max="5125" width="7.19921875" style="1528" customWidth="1"/>
    <col min="5126" max="5126" width="7.09765625" style="1528" customWidth="1"/>
    <col min="5127" max="5127" width="7" style="1528" customWidth="1"/>
    <col min="5128" max="5128" width="6.69921875" style="1528" customWidth="1"/>
    <col min="5129" max="5129" width="11.5" style="1528" customWidth="1"/>
    <col min="5130" max="5376" width="22.5" style="1528"/>
    <col min="5377" max="5377" width="3.3984375" style="1528" customWidth="1"/>
    <col min="5378" max="5378" width="23.3984375" style="1528" customWidth="1"/>
    <col min="5379" max="5379" width="7.3984375" style="1528" customWidth="1"/>
    <col min="5380" max="5380" width="7.09765625" style="1528" customWidth="1"/>
    <col min="5381" max="5381" width="7.19921875" style="1528" customWidth="1"/>
    <col min="5382" max="5382" width="7.09765625" style="1528" customWidth="1"/>
    <col min="5383" max="5383" width="7" style="1528" customWidth="1"/>
    <col min="5384" max="5384" width="6.69921875" style="1528" customWidth="1"/>
    <col min="5385" max="5385" width="11.5" style="1528" customWidth="1"/>
    <col min="5386" max="5632" width="22.5" style="1528"/>
    <col min="5633" max="5633" width="3.3984375" style="1528" customWidth="1"/>
    <col min="5634" max="5634" width="23.3984375" style="1528" customWidth="1"/>
    <col min="5635" max="5635" width="7.3984375" style="1528" customWidth="1"/>
    <col min="5636" max="5636" width="7.09765625" style="1528" customWidth="1"/>
    <col min="5637" max="5637" width="7.19921875" style="1528" customWidth="1"/>
    <col min="5638" max="5638" width="7.09765625" style="1528" customWidth="1"/>
    <col min="5639" max="5639" width="7" style="1528" customWidth="1"/>
    <col min="5640" max="5640" width="6.69921875" style="1528" customWidth="1"/>
    <col min="5641" max="5641" width="11.5" style="1528" customWidth="1"/>
    <col min="5642" max="5888" width="22.5" style="1528"/>
    <col min="5889" max="5889" width="3.3984375" style="1528" customWidth="1"/>
    <col min="5890" max="5890" width="23.3984375" style="1528" customWidth="1"/>
    <col min="5891" max="5891" width="7.3984375" style="1528" customWidth="1"/>
    <col min="5892" max="5892" width="7.09765625" style="1528" customWidth="1"/>
    <col min="5893" max="5893" width="7.19921875" style="1528" customWidth="1"/>
    <col min="5894" max="5894" width="7.09765625" style="1528" customWidth="1"/>
    <col min="5895" max="5895" width="7" style="1528" customWidth="1"/>
    <col min="5896" max="5896" width="6.69921875" style="1528" customWidth="1"/>
    <col min="5897" max="5897" width="11.5" style="1528" customWidth="1"/>
    <col min="5898" max="6144" width="22.5" style="1528"/>
    <col min="6145" max="6145" width="3.3984375" style="1528" customWidth="1"/>
    <col min="6146" max="6146" width="23.3984375" style="1528" customWidth="1"/>
    <col min="6147" max="6147" width="7.3984375" style="1528" customWidth="1"/>
    <col min="6148" max="6148" width="7.09765625" style="1528" customWidth="1"/>
    <col min="6149" max="6149" width="7.19921875" style="1528" customWidth="1"/>
    <col min="6150" max="6150" width="7.09765625" style="1528" customWidth="1"/>
    <col min="6151" max="6151" width="7" style="1528" customWidth="1"/>
    <col min="6152" max="6152" width="6.69921875" style="1528" customWidth="1"/>
    <col min="6153" max="6153" width="11.5" style="1528" customWidth="1"/>
    <col min="6154" max="6400" width="22.5" style="1528"/>
    <col min="6401" max="6401" width="3.3984375" style="1528" customWidth="1"/>
    <col min="6402" max="6402" width="23.3984375" style="1528" customWidth="1"/>
    <col min="6403" max="6403" width="7.3984375" style="1528" customWidth="1"/>
    <col min="6404" max="6404" width="7.09765625" style="1528" customWidth="1"/>
    <col min="6405" max="6405" width="7.19921875" style="1528" customWidth="1"/>
    <col min="6406" max="6406" width="7.09765625" style="1528" customWidth="1"/>
    <col min="6407" max="6407" width="7" style="1528" customWidth="1"/>
    <col min="6408" max="6408" width="6.69921875" style="1528" customWidth="1"/>
    <col min="6409" max="6409" width="11.5" style="1528" customWidth="1"/>
    <col min="6410" max="6656" width="22.5" style="1528"/>
    <col min="6657" max="6657" width="3.3984375" style="1528" customWidth="1"/>
    <col min="6658" max="6658" width="23.3984375" style="1528" customWidth="1"/>
    <col min="6659" max="6659" width="7.3984375" style="1528" customWidth="1"/>
    <col min="6660" max="6660" width="7.09765625" style="1528" customWidth="1"/>
    <col min="6661" max="6661" width="7.19921875" style="1528" customWidth="1"/>
    <col min="6662" max="6662" width="7.09765625" style="1528" customWidth="1"/>
    <col min="6663" max="6663" width="7" style="1528" customWidth="1"/>
    <col min="6664" max="6664" width="6.69921875" style="1528" customWidth="1"/>
    <col min="6665" max="6665" width="11.5" style="1528" customWidth="1"/>
    <col min="6666" max="6912" width="22.5" style="1528"/>
    <col min="6913" max="6913" width="3.3984375" style="1528" customWidth="1"/>
    <col min="6914" max="6914" width="23.3984375" style="1528" customWidth="1"/>
    <col min="6915" max="6915" width="7.3984375" style="1528" customWidth="1"/>
    <col min="6916" max="6916" width="7.09765625" style="1528" customWidth="1"/>
    <col min="6917" max="6917" width="7.19921875" style="1528" customWidth="1"/>
    <col min="6918" max="6918" width="7.09765625" style="1528" customWidth="1"/>
    <col min="6919" max="6919" width="7" style="1528" customWidth="1"/>
    <col min="6920" max="6920" width="6.69921875" style="1528" customWidth="1"/>
    <col min="6921" max="6921" width="11.5" style="1528" customWidth="1"/>
    <col min="6922" max="7168" width="22.5" style="1528"/>
    <col min="7169" max="7169" width="3.3984375" style="1528" customWidth="1"/>
    <col min="7170" max="7170" width="23.3984375" style="1528" customWidth="1"/>
    <col min="7171" max="7171" width="7.3984375" style="1528" customWidth="1"/>
    <col min="7172" max="7172" width="7.09765625" style="1528" customWidth="1"/>
    <col min="7173" max="7173" width="7.19921875" style="1528" customWidth="1"/>
    <col min="7174" max="7174" width="7.09765625" style="1528" customWidth="1"/>
    <col min="7175" max="7175" width="7" style="1528" customWidth="1"/>
    <col min="7176" max="7176" width="6.69921875" style="1528" customWidth="1"/>
    <col min="7177" max="7177" width="11.5" style="1528" customWidth="1"/>
    <col min="7178" max="7424" width="22.5" style="1528"/>
    <col min="7425" max="7425" width="3.3984375" style="1528" customWidth="1"/>
    <col min="7426" max="7426" width="23.3984375" style="1528" customWidth="1"/>
    <col min="7427" max="7427" width="7.3984375" style="1528" customWidth="1"/>
    <col min="7428" max="7428" width="7.09765625" style="1528" customWidth="1"/>
    <col min="7429" max="7429" width="7.19921875" style="1528" customWidth="1"/>
    <col min="7430" max="7430" width="7.09765625" style="1528" customWidth="1"/>
    <col min="7431" max="7431" width="7" style="1528" customWidth="1"/>
    <col min="7432" max="7432" width="6.69921875" style="1528" customWidth="1"/>
    <col min="7433" max="7433" width="11.5" style="1528" customWidth="1"/>
    <col min="7434" max="7680" width="22.5" style="1528"/>
    <col min="7681" max="7681" width="3.3984375" style="1528" customWidth="1"/>
    <col min="7682" max="7682" width="23.3984375" style="1528" customWidth="1"/>
    <col min="7683" max="7683" width="7.3984375" style="1528" customWidth="1"/>
    <col min="7684" max="7684" width="7.09765625" style="1528" customWidth="1"/>
    <col min="7685" max="7685" width="7.19921875" style="1528" customWidth="1"/>
    <col min="7686" max="7686" width="7.09765625" style="1528" customWidth="1"/>
    <col min="7687" max="7687" width="7" style="1528" customWidth="1"/>
    <col min="7688" max="7688" width="6.69921875" style="1528" customWidth="1"/>
    <col min="7689" max="7689" width="11.5" style="1528" customWidth="1"/>
    <col min="7690" max="7936" width="22.5" style="1528"/>
    <col min="7937" max="7937" width="3.3984375" style="1528" customWidth="1"/>
    <col min="7938" max="7938" width="23.3984375" style="1528" customWidth="1"/>
    <col min="7939" max="7939" width="7.3984375" style="1528" customWidth="1"/>
    <col min="7940" max="7940" width="7.09765625" style="1528" customWidth="1"/>
    <col min="7941" max="7941" width="7.19921875" style="1528" customWidth="1"/>
    <col min="7942" max="7942" width="7.09765625" style="1528" customWidth="1"/>
    <col min="7943" max="7943" width="7" style="1528" customWidth="1"/>
    <col min="7944" max="7944" width="6.69921875" style="1528" customWidth="1"/>
    <col min="7945" max="7945" width="11.5" style="1528" customWidth="1"/>
    <col min="7946" max="8192" width="22.5" style="1528"/>
    <col min="8193" max="8193" width="3.3984375" style="1528" customWidth="1"/>
    <col min="8194" max="8194" width="23.3984375" style="1528" customWidth="1"/>
    <col min="8195" max="8195" width="7.3984375" style="1528" customWidth="1"/>
    <col min="8196" max="8196" width="7.09765625" style="1528" customWidth="1"/>
    <col min="8197" max="8197" width="7.19921875" style="1528" customWidth="1"/>
    <col min="8198" max="8198" width="7.09765625" style="1528" customWidth="1"/>
    <col min="8199" max="8199" width="7" style="1528" customWidth="1"/>
    <col min="8200" max="8200" width="6.69921875" style="1528" customWidth="1"/>
    <col min="8201" max="8201" width="11.5" style="1528" customWidth="1"/>
    <col min="8202" max="8448" width="22.5" style="1528"/>
    <col min="8449" max="8449" width="3.3984375" style="1528" customWidth="1"/>
    <col min="8450" max="8450" width="23.3984375" style="1528" customWidth="1"/>
    <col min="8451" max="8451" width="7.3984375" style="1528" customWidth="1"/>
    <col min="8452" max="8452" width="7.09765625" style="1528" customWidth="1"/>
    <col min="8453" max="8453" width="7.19921875" style="1528" customWidth="1"/>
    <col min="8454" max="8454" width="7.09765625" style="1528" customWidth="1"/>
    <col min="8455" max="8455" width="7" style="1528" customWidth="1"/>
    <col min="8456" max="8456" width="6.69921875" style="1528" customWidth="1"/>
    <col min="8457" max="8457" width="11.5" style="1528" customWidth="1"/>
    <col min="8458" max="8704" width="22.5" style="1528"/>
    <col min="8705" max="8705" width="3.3984375" style="1528" customWidth="1"/>
    <col min="8706" max="8706" width="23.3984375" style="1528" customWidth="1"/>
    <col min="8707" max="8707" width="7.3984375" style="1528" customWidth="1"/>
    <col min="8708" max="8708" width="7.09765625" style="1528" customWidth="1"/>
    <col min="8709" max="8709" width="7.19921875" style="1528" customWidth="1"/>
    <col min="8710" max="8710" width="7.09765625" style="1528" customWidth="1"/>
    <col min="8711" max="8711" width="7" style="1528" customWidth="1"/>
    <col min="8712" max="8712" width="6.69921875" style="1528" customWidth="1"/>
    <col min="8713" max="8713" width="11.5" style="1528" customWidth="1"/>
    <col min="8714" max="8960" width="22.5" style="1528"/>
    <col min="8961" max="8961" width="3.3984375" style="1528" customWidth="1"/>
    <col min="8962" max="8962" width="23.3984375" style="1528" customWidth="1"/>
    <col min="8963" max="8963" width="7.3984375" style="1528" customWidth="1"/>
    <col min="8964" max="8964" width="7.09765625" style="1528" customWidth="1"/>
    <col min="8965" max="8965" width="7.19921875" style="1528" customWidth="1"/>
    <col min="8966" max="8966" width="7.09765625" style="1528" customWidth="1"/>
    <col min="8967" max="8967" width="7" style="1528" customWidth="1"/>
    <col min="8968" max="8968" width="6.69921875" style="1528" customWidth="1"/>
    <col min="8969" max="8969" width="11.5" style="1528" customWidth="1"/>
    <col min="8970" max="9216" width="22.5" style="1528"/>
    <col min="9217" max="9217" width="3.3984375" style="1528" customWidth="1"/>
    <col min="9218" max="9218" width="23.3984375" style="1528" customWidth="1"/>
    <col min="9219" max="9219" width="7.3984375" style="1528" customWidth="1"/>
    <col min="9220" max="9220" width="7.09765625" style="1528" customWidth="1"/>
    <col min="9221" max="9221" width="7.19921875" style="1528" customWidth="1"/>
    <col min="9222" max="9222" width="7.09765625" style="1528" customWidth="1"/>
    <col min="9223" max="9223" width="7" style="1528" customWidth="1"/>
    <col min="9224" max="9224" width="6.69921875" style="1528" customWidth="1"/>
    <col min="9225" max="9225" width="11.5" style="1528" customWidth="1"/>
    <col min="9226" max="9472" width="22.5" style="1528"/>
    <col min="9473" max="9473" width="3.3984375" style="1528" customWidth="1"/>
    <col min="9474" max="9474" width="23.3984375" style="1528" customWidth="1"/>
    <col min="9475" max="9475" width="7.3984375" style="1528" customWidth="1"/>
    <col min="9476" max="9476" width="7.09765625" style="1528" customWidth="1"/>
    <col min="9477" max="9477" width="7.19921875" style="1528" customWidth="1"/>
    <col min="9478" max="9478" width="7.09765625" style="1528" customWidth="1"/>
    <col min="9479" max="9479" width="7" style="1528" customWidth="1"/>
    <col min="9480" max="9480" width="6.69921875" style="1528" customWidth="1"/>
    <col min="9481" max="9481" width="11.5" style="1528" customWidth="1"/>
    <col min="9482" max="9728" width="22.5" style="1528"/>
    <col min="9729" max="9729" width="3.3984375" style="1528" customWidth="1"/>
    <col min="9730" max="9730" width="23.3984375" style="1528" customWidth="1"/>
    <col min="9731" max="9731" width="7.3984375" style="1528" customWidth="1"/>
    <col min="9732" max="9732" width="7.09765625" style="1528" customWidth="1"/>
    <col min="9733" max="9733" width="7.19921875" style="1528" customWidth="1"/>
    <col min="9734" max="9734" width="7.09765625" style="1528" customWidth="1"/>
    <col min="9735" max="9735" width="7" style="1528" customWidth="1"/>
    <col min="9736" max="9736" width="6.69921875" style="1528" customWidth="1"/>
    <col min="9737" max="9737" width="11.5" style="1528" customWidth="1"/>
    <col min="9738" max="9984" width="22.5" style="1528"/>
    <col min="9985" max="9985" width="3.3984375" style="1528" customWidth="1"/>
    <col min="9986" max="9986" width="23.3984375" style="1528" customWidth="1"/>
    <col min="9987" max="9987" width="7.3984375" style="1528" customWidth="1"/>
    <col min="9988" max="9988" width="7.09765625" style="1528" customWidth="1"/>
    <col min="9989" max="9989" width="7.19921875" style="1528" customWidth="1"/>
    <col min="9990" max="9990" width="7.09765625" style="1528" customWidth="1"/>
    <col min="9991" max="9991" width="7" style="1528" customWidth="1"/>
    <col min="9992" max="9992" width="6.69921875" style="1528" customWidth="1"/>
    <col min="9993" max="9993" width="11.5" style="1528" customWidth="1"/>
    <col min="9994" max="10240" width="22.5" style="1528"/>
    <col min="10241" max="10241" width="3.3984375" style="1528" customWidth="1"/>
    <col min="10242" max="10242" width="23.3984375" style="1528" customWidth="1"/>
    <col min="10243" max="10243" width="7.3984375" style="1528" customWidth="1"/>
    <col min="10244" max="10244" width="7.09765625" style="1528" customWidth="1"/>
    <col min="10245" max="10245" width="7.19921875" style="1528" customWidth="1"/>
    <col min="10246" max="10246" width="7.09765625" style="1528" customWidth="1"/>
    <col min="10247" max="10247" width="7" style="1528" customWidth="1"/>
    <col min="10248" max="10248" width="6.69921875" style="1528" customWidth="1"/>
    <col min="10249" max="10249" width="11.5" style="1528" customWidth="1"/>
    <col min="10250" max="10496" width="22.5" style="1528"/>
    <col min="10497" max="10497" width="3.3984375" style="1528" customWidth="1"/>
    <col min="10498" max="10498" width="23.3984375" style="1528" customWidth="1"/>
    <col min="10499" max="10499" width="7.3984375" style="1528" customWidth="1"/>
    <col min="10500" max="10500" width="7.09765625" style="1528" customWidth="1"/>
    <col min="10501" max="10501" width="7.19921875" style="1528" customWidth="1"/>
    <col min="10502" max="10502" width="7.09765625" style="1528" customWidth="1"/>
    <col min="10503" max="10503" width="7" style="1528" customWidth="1"/>
    <col min="10504" max="10504" width="6.69921875" style="1528" customWidth="1"/>
    <col min="10505" max="10505" width="11.5" style="1528" customWidth="1"/>
    <col min="10506" max="10752" width="22.5" style="1528"/>
    <col min="10753" max="10753" width="3.3984375" style="1528" customWidth="1"/>
    <col min="10754" max="10754" width="23.3984375" style="1528" customWidth="1"/>
    <col min="10755" max="10755" width="7.3984375" style="1528" customWidth="1"/>
    <col min="10756" max="10756" width="7.09765625" style="1528" customWidth="1"/>
    <col min="10757" max="10757" width="7.19921875" style="1528" customWidth="1"/>
    <col min="10758" max="10758" width="7.09765625" style="1528" customWidth="1"/>
    <col min="10759" max="10759" width="7" style="1528" customWidth="1"/>
    <col min="10760" max="10760" width="6.69921875" style="1528" customWidth="1"/>
    <col min="10761" max="10761" width="11.5" style="1528" customWidth="1"/>
    <col min="10762" max="11008" width="22.5" style="1528"/>
    <col min="11009" max="11009" width="3.3984375" style="1528" customWidth="1"/>
    <col min="11010" max="11010" width="23.3984375" style="1528" customWidth="1"/>
    <col min="11011" max="11011" width="7.3984375" style="1528" customWidth="1"/>
    <col min="11012" max="11012" width="7.09765625" style="1528" customWidth="1"/>
    <col min="11013" max="11013" width="7.19921875" style="1528" customWidth="1"/>
    <col min="11014" max="11014" width="7.09765625" style="1528" customWidth="1"/>
    <col min="11015" max="11015" width="7" style="1528" customWidth="1"/>
    <col min="11016" max="11016" width="6.69921875" style="1528" customWidth="1"/>
    <col min="11017" max="11017" width="11.5" style="1528" customWidth="1"/>
    <col min="11018" max="11264" width="22.5" style="1528"/>
    <col min="11265" max="11265" width="3.3984375" style="1528" customWidth="1"/>
    <col min="11266" max="11266" width="23.3984375" style="1528" customWidth="1"/>
    <col min="11267" max="11267" width="7.3984375" style="1528" customWidth="1"/>
    <col min="11268" max="11268" width="7.09765625" style="1528" customWidth="1"/>
    <col min="11269" max="11269" width="7.19921875" style="1528" customWidth="1"/>
    <col min="11270" max="11270" width="7.09765625" style="1528" customWidth="1"/>
    <col min="11271" max="11271" width="7" style="1528" customWidth="1"/>
    <col min="11272" max="11272" width="6.69921875" style="1528" customWidth="1"/>
    <col min="11273" max="11273" width="11.5" style="1528" customWidth="1"/>
    <col min="11274" max="11520" width="22.5" style="1528"/>
    <col min="11521" max="11521" width="3.3984375" style="1528" customWidth="1"/>
    <col min="11522" max="11522" width="23.3984375" style="1528" customWidth="1"/>
    <col min="11523" max="11523" width="7.3984375" style="1528" customWidth="1"/>
    <col min="11524" max="11524" width="7.09765625" style="1528" customWidth="1"/>
    <col min="11525" max="11525" width="7.19921875" style="1528" customWidth="1"/>
    <col min="11526" max="11526" width="7.09765625" style="1528" customWidth="1"/>
    <col min="11527" max="11527" width="7" style="1528" customWidth="1"/>
    <col min="11528" max="11528" width="6.69921875" style="1528" customWidth="1"/>
    <col min="11529" max="11529" width="11.5" style="1528" customWidth="1"/>
    <col min="11530" max="11776" width="22.5" style="1528"/>
    <col min="11777" max="11777" width="3.3984375" style="1528" customWidth="1"/>
    <col min="11778" max="11778" width="23.3984375" style="1528" customWidth="1"/>
    <col min="11779" max="11779" width="7.3984375" style="1528" customWidth="1"/>
    <col min="11780" max="11780" width="7.09765625" style="1528" customWidth="1"/>
    <col min="11781" max="11781" width="7.19921875" style="1528" customWidth="1"/>
    <col min="11782" max="11782" width="7.09765625" style="1528" customWidth="1"/>
    <col min="11783" max="11783" width="7" style="1528" customWidth="1"/>
    <col min="11784" max="11784" width="6.69921875" style="1528" customWidth="1"/>
    <col min="11785" max="11785" width="11.5" style="1528" customWidth="1"/>
    <col min="11786" max="12032" width="22.5" style="1528"/>
    <col min="12033" max="12033" width="3.3984375" style="1528" customWidth="1"/>
    <col min="12034" max="12034" width="23.3984375" style="1528" customWidth="1"/>
    <col min="12035" max="12035" width="7.3984375" style="1528" customWidth="1"/>
    <col min="12036" max="12036" width="7.09765625" style="1528" customWidth="1"/>
    <col min="12037" max="12037" width="7.19921875" style="1528" customWidth="1"/>
    <col min="12038" max="12038" width="7.09765625" style="1528" customWidth="1"/>
    <col min="12039" max="12039" width="7" style="1528" customWidth="1"/>
    <col min="12040" max="12040" width="6.69921875" style="1528" customWidth="1"/>
    <col min="12041" max="12041" width="11.5" style="1528" customWidth="1"/>
    <col min="12042" max="12288" width="22.5" style="1528"/>
    <col min="12289" max="12289" width="3.3984375" style="1528" customWidth="1"/>
    <col min="12290" max="12290" width="23.3984375" style="1528" customWidth="1"/>
    <col min="12291" max="12291" width="7.3984375" style="1528" customWidth="1"/>
    <col min="12292" max="12292" width="7.09765625" style="1528" customWidth="1"/>
    <col min="12293" max="12293" width="7.19921875" style="1528" customWidth="1"/>
    <col min="12294" max="12294" width="7.09765625" style="1528" customWidth="1"/>
    <col min="12295" max="12295" width="7" style="1528" customWidth="1"/>
    <col min="12296" max="12296" width="6.69921875" style="1528" customWidth="1"/>
    <col min="12297" max="12297" width="11.5" style="1528" customWidth="1"/>
    <col min="12298" max="12544" width="22.5" style="1528"/>
    <col min="12545" max="12545" width="3.3984375" style="1528" customWidth="1"/>
    <col min="12546" max="12546" width="23.3984375" style="1528" customWidth="1"/>
    <col min="12547" max="12547" width="7.3984375" style="1528" customWidth="1"/>
    <col min="12548" max="12548" width="7.09765625" style="1528" customWidth="1"/>
    <col min="12549" max="12549" width="7.19921875" style="1528" customWidth="1"/>
    <col min="12550" max="12550" width="7.09765625" style="1528" customWidth="1"/>
    <col min="12551" max="12551" width="7" style="1528" customWidth="1"/>
    <col min="12552" max="12552" width="6.69921875" style="1528" customWidth="1"/>
    <col min="12553" max="12553" width="11.5" style="1528" customWidth="1"/>
    <col min="12554" max="12800" width="22.5" style="1528"/>
    <col min="12801" max="12801" width="3.3984375" style="1528" customWidth="1"/>
    <col min="12802" max="12802" width="23.3984375" style="1528" customWidth="1"/>
    <col min="12803" max="12803" width="7.3984375" style="1528" customWidth="1"/>
    <col min="12804" max="12804" width="7.09765625" style="1528" customWidth="1"/>
    <col min="12805" max="12805" width="7.19921875" style="1528" customWidth="1"/>
    <col min="12806" max="12806" width="7.09765625" style="1528" customWidth="1"/>
    <col min="12807" max="12807" width="7" style="1528" customWidth="1"/>
    <col min="12808" max="12808" width="6.69921875" style="1528" customWidth="1"/>
    <col min="12809" max="12809" width="11.5" style="1528" customWidth="1"/>
    <col min="12810" max="13056" width="22.5" style="1528"/>
    <col min="13057" max="13057" width="3.3984375" style="1528" customWidth="1"/>
    <col min="13058" max="13058" width="23.3984375" style="1528" customWidth="1"/>
    <col min="13059" max="13059" width="7.3984375" style="1528" customWidth="1"/>
    <col min="13060" max="13060" width="7.09765625" style="1528" customWidth="1"/>
    <col min="13061" max="13061" width="7.19921875" style="1528" customWidth="1"/>
    <col min="13062" max="13062" width="7.09765625" style="1528" customWidth="1"/>
    <col min="13063" max="13063" width="7" style="1528" customWidth="1"/>
    <col min="13064" max="13064" width="6.69921875" style="1528" customWidth="1"/>
    <col min="13065" max="13065" width="11.5" style="1528" customWidth="1"/>
    <col min="13066" max="13312" width="22.5" style="1528"/>
    <col min="13313" max="13313" width="3.3984375" style="1528" customWidth="1"/>
    <col min="13314" max="13314" width="23.3984375" style="1528" customWidth="1"/>
    <col min="13315" max="13315" width="7.3984375" style="1528" customWidth="1"/>
    <col min="13316" max="13316" width="7.09765625" style="1528" customWidth="1"/>
    <col min="13317" max="13317" width="7.19921875" style="1528" customWidth="1"/>
    <col min="13318" max="13318" width="7.09765625" style="1528" customWidth="1"/>
    <col min="13319" max="13319" width="7" style="1528" customWidth="1"/>
    <col min="13320" max="13320" width="6.69921875" style="1528" customWidth="1"/>
    <col min="13321" max="13321" width="11.5" style="1528" customWidth="1"/>
    <col min="13322" max="13568" width="22.5" style="1528"/>
    <col min="13569" max="13569" width="3.3984375" style="1528" customWidth="1"/>
    <col min="13570" max="13570" width="23.3984375" style="1528" customWidth="1"/>
    <col min="13571" max="13571" width="7.3984375" style="1528" customWidth="1"/>
    <col min="13572" max="13572" width="7.09765625" style="1528" customWidth="1"/>
    <col min="13573" max="13573" width="7.19921875" style="1528" customWidth="1"/>
    <col min="13574" max="13574" width="7.09765625" style="1528" customWidth="1"/>
    <col min="13575" max="13575" width="7" style="1528" customWidth="1"/>
    <col min="13576" max="13576" width="6.69921875" style="1528" customWidth="1"/>
    <col min="13577" max="13577" width="11.5" style="1528" customWidth="1"/>
    <col min="13578" max="13824" width="22.5" style="1528"/>
    <col min="13825" max="13825" width="3.3984375" style="1528" customWidth="1"/>
    <col min="13826" max="13826" width="23.3984375" style="1528" customWidth="1"/>
    <col min="13827" max="13827" width="7.3984375" style="1528" customWidth="1"/>
    <col min="13828" max="13828" width="7.09765625" style="1528" customWidth="1"/>
    <col min="13829" max="13829" width="7.19921875" style="1528" customWidth="1"/>
    <col min="13830" max="13830" width="7.09765625" style="1528" customWidth="1"/>
    <col min="13831" max="13831" width="7" style="1528" customWidth="1"/>
    <col min="13832" max="13832" width="6.69921875" style="1528" customWidth="1"/>
    <col min="13833" max="13833" width="11.5" style="1528" customWidth="1"/>
    <col min="13834" max="14080" width="22.5" style="1528"/>
    <col min="14081" max="14081" width="3.3984375" style="1528" customWidth="1"/>
    <col min="14082" max="14082" width="23.3984375" style="1528" customWidth="1"/>
    <col min="14083" max="14083" width="7.3984375" style="1528" customWidth="1"/>
    <col min="14084" max="14084" width="7.09765625" style="1528" customWidth="1"/>
    <col min="14085" max="14085" width="7.19921875" style="1528" customWidth="1"/>
    <col min="14086" max="14086" width="7.09765625" style="1528" customWidth="1"/>
    <col min="14087" max="14087" width="7" style="1528" customWidth="1"/>
    <col min="14088" max="14088" width="6.69921875" style="1528" customWidth="1"/>
    <col min="14089" max="14089" width="11.5" style="1528" customWidth="1"/>
    <col min="14090" max="14336" width="22.5" style="1528"/>
    <col min="14337" max="14337" width="3.3984375" style="1528" customWidth="1"/>
    <col min="14338" max="14338" width="23.3984375" style="1528" customWidth="1"/>
    <col min="14339" max="14339" width="7.3984375" style="1528" customWidth="1"/>
    <col min="14340" max="14340" width="7.09765625" style="1528" customWidth="1"/>
    <col min="14341" max="14341" width="7.19921875" style="1528" customWidth="1"/>
    <col min="14342" max="14342" width="7.09765625" style="1528" customWidth="1"/>
    <col min="14343" max="14343" width="7" style="1528" customWidth="1"/>
    <col min="14344" max="14344" width="6.69921875" style="1528" customWidth="1"/>
    <col min="14345" max="14345" width="11.5" style="1528" customWidth="1"/>
    <col min="14346" max="14592" width="22.5" style="1528"/>
    <col min="14593" max="14593" width="3.3984375" style="1528" customWidth="1"/>
    <col min="14594" max="14594" width="23.3984375" style="1528" customWidth="1"/>
    <col min="14595" max="14595" width="7.3984375" style="1528" customWidth="1"/>
    <col min="14596" max="14596" width="7.09765625" style="1528" customWidth="1"/>
    <col min="14597" max="14597" width="7.19921875" style="1528" customWidth="1"/>
    <col min="14598" max="14598" width="7.09765625" style="1528" customWidth="1"/>
    <col min="14599" max="14599" width="7" style="1528" customWidth="1"/>
    <col min="14600" max="14600" width="6.69921875" style="1528" customWidth="1"/>
    <col min="14601" max="14601" width="11.5" style="1528" customWidth="1"/>
    <col min="14602" max="14848" width="22.5" style="1528"/>
    <col min="14849" max="14849" width="3.3984375" style="1528" customWidth="1"/>
    <col min="14850" max="14850" width="23.3984375" style="1528" customWidth="1"/>
    <col min="14851" max="14851" width="7.3984375" style="1528" customWidth="1"/>
    <col min="14852" max="14852" width="7.09765625" style="1528" customWidth="1"/>
    <col min="14853" max="14853" width="7.19921875" style="1528" customWidth="1"/>
    <col min="14854" max="14854" width="7.09765625" style="1528" customWidth="1"/>
    <col min="14855" max="14855" width="7" style="1528" customWidth="1"/>
    <col min="14856" max="14856" width="6.69921875" style="1528" customWidth="1"/>
    <col min="14857" max="14857" width="11.5" style="1528" customWidth="1"/>
    <col min="14858" max="15104" width="22.5" style="1528"/>
    <col min="15105" max="15105" width="3.3984375" style="1528" customWidth="1"/>
    <col min="15106" max="15106" width="23.3984375" style="1528" customWidth="1"/>
    <col min="15107" max="15107" width="7.3984375" style="1528" customWidth="1"/>
    <col min="15108" max="15108" width="7.09765625" style="1528" customWidth="1"/>
    <col min="15109" max="15109" width="7.19921875" style="1528" customWidth="1"/>
    <col min="15110" max="15110" width="7.09765625" style="1528" customWidth="1"/>
    <col min="15111" max="15111" width="7" style="1528" customWidth="1"/>
    <col min="15112" max="15112" width="6.69921875" style="1528" customWidth="1"/>
    <col min="15113" max="15113" width="11.5" style="1528" customWidth="1"/>
    <col min="15114" max="15360" width="22.5" style="1528"/>
    <col min="15361" max="15361" width="3.3984375" style="1528" customWidth="1"/>
    <col min="15362" max="15362" width="23.3984375" style="1528" customWidth="1"/>
    <col min="15363" max="15363" width="7.3984375" style="1528" customWidth="1"/>
    <col min="15364" max="15364" width="7.09765625" style="1528" customWidth="1"/>
    <col min="15365" max="15365" width="7.19921875" style="1528" customWidth="1"/>
    <col min="15366" max="15366" width="7.09765625" style="1528" customWidth="1"/>
    <col min="15367" max="15367" width="7" style="1528" customWidth="1"/>
    <col min="15368" max="15368" width="6.69921875" style="1528" customWidth="1"/>
    <col min="15369" max="15369" width="11.5" style="1528" customWidth="1"/>
    <col min="15370" max="15616" width="22.5" style="1528"/>
    <col min="15617" max="15617" width="3.3984375" style="1528" customWidth="1"/>
    <col min="15618" max="15618" width="23.3984375" style="1528" customWidth="1"/>
    <col min="15619" max="15619" width="7.3984375" style="1528" customWidth="1"/>
    <col min="15620" max="15620" width="7.09765625" style="1528" customWidth="1"/>
    <col min="15621" max="15621" width="7.19921875" style="1528" customWidth="1"/>
    <col min="15622" max="15622" width="7.09765625" style="1528" customWidth="1"/>
    <col min="15623" max="15623" width="7" style="1528" customWidth="1"/>
    <col min="15624" max="15624" width="6.69921875" style="1528" customWidth="1"/>
    <col min="15625" max="15625" width="11.5" style="1528" customWidth="1"/>
    <col min="15626" max="15872" width="22.5" style="1528"/>
    <col min="15873" max="15873" width="3.3984375" style="1528" customWidth="1"/>
    <col min="15874" max="15874" width="23.3984375" style="1528" customWidth="1"/>
    <col min="15875" max="15875" width="7.3984375" style="1528" customWidth="1"/>
    <col min="15876" max="15876" width="7.09765625" style="1528" customWidth="1"/>
    <col min="15877" max="15877" width="7.19921875" style="1528" customWidth="1"/>
    <col min="15878" max="15878" width="7.09765625" style="1528" customWidth="1"/>
    <col min="15879" max="15879" width="7" style="1528" customWidth="1"/>
    <col min="15880" max="15880" width="6.69921875" style="1528" customWidth="1"/>
    <col min="15881" max="15881" width="11.5" style="1528" customWidth="1"/>
    <col min="15882" max="16128" width="22.5" style="1528"/>
    <col min="16129" max="16129" width="3.3984375" style="1528" customWidth="1"/>
    <col min="16130" max="16130" width="23.3984375" style="1528" customWidth="1"/>
    <col min="16131" max="16131" width="7.3984375" style="1528" customWidth="1"/>
    <col min="16132" max="16132" width="7.09765625" style="1528" customWidth="1"/>
    <col min="16133" max="16133" width="7.19921875" style="1528" customWidth="1"/>
    <col min="16134" max="16134" width="7.09765625" style="1528" customWidth="1"/>
    <col min="16135" max="16135" width="7" style="1528" customWidth="1"/>
    <col min="16136" max="16136" width="6.69921875" style="1528" customWidth="1"/>
    <col min="16137" max="16137" width="11.5" style="1528" customWidth="1"/>
    <col min="16138" max="16384" width="22.5" style="1528"/>
  </cols>
  <sheetData>
    <row r="1" spans="1:11" s="1542" customFormat="1" ht="20.100000000000001" customHeight="1">
      <c r="A1" s="3941" t="s">
        <v>5048</v>
      </c>
      <c r="B1" s="3941"/>
      <c r="C1" s="3941"/>
      <c r="D1" s="3941"/>
      <c r="E1" s="3941"/>
      <c r="F1" s="3941"/>
      <c r="G1" s="3941"/>
      <c r="H1" s="3941"/>
      <c r="I1" s="2009"/>
      <c r="K1" s="1675" t="str">
        <f>余额表!W1</f>
        <v xml:space="preserve">会计科目名称 </v>
      </c>
    </row>
    <row r="2" spans="1:11" ht="25.5" customHeight="1">
      <c r="A2" s="3401" t="s">
        <v>5049</v>
      </c>
      <c r="B2" s="3401"/>
      <c r="C2" s="3401"/>
      <c r="D2" s="3401"/>
      <c r="E2" s="3401"/>
      <c r="F2" s="3401"/>
      <c r="G2" s="3401"/>
      <c r="H2" s="3401"/>
      <c r="I2" s="1918"/>
    </row>
    <row r="3" spans="1:11" ht="14.25" customHeight="1">
      <c r="A3" s="3402" t="s">
        <v>1853</v>
      </c>
      <c r="B3" s="3402" t="s">
        <v>5013</v>
      </c>
      <c r="C3" s="3405" t="s">
        <v>5050</v>
      </c>
      <c r="D3" s="3405" t="s">
        <v>5051</v>
      </c>
      <c r="E3" s="3402" t="s">
        <v>1292</v>
      </c>
      <c r="F3" s="3405" t="s">
        <v>6509</v>
      </c>
      <c r="G3" s="3402" t="s">
        <v>966</v>
      </c>
      <c r="H3" s="3405" t="s">
        <v>5051</v>
      </c>
      <c r="I3" s="3405" t="s">
        <v>4809</v>
      </c>
    </row>
    <row r="4" spans="1:11" ht="23.25" customHeight="1">
      <c r="A4" s="3403"/>
      <c r="B4" s="3403"/>
      <c r="C4" s="3406"/>
      <c r="D4" s="3406"/>
      <c r="E4" s="3404"/>
      <c r="F4" s="3406"/>
      <c r="G4" s="3404"/>
      <c r="H4" s="3406"/>
      <c r="I4" s="3406"/>
    </row>
    <row r="5" spans="1:11" ht="17.25" customHeight="1">
      <c r="A5" s="3404"/>
      <c r="B5" s="3404"/>
      <c r="C5" s="1844">
        <v>1</v>
      </c>
      <c r="D5" s="1919">
        <v>2</v>
      </c>
      <c r="E5" s="1845">
        <v>3</v>
      </c>
      <c r="F5" s="1919">
        <v>4</v>
      </c>
      <c r="G5" s="1840">
        <v>5</v>
      </c>
      <c r="H5" s="1840">
        <v>6</v>
      </c>
      <c r="I5" s="1818"/>
    </row>
    <row r="6" spans="1:11" ht="14.25" customHeight="1">
      <c r="A6" s="1840">
        <v>1</v>
      </c>
      <c r="B6" s="1818" t="s">
        <v>5052</v>
      </c>
      <c r="C6" s="2072">
        <f>营业费用!H6+营业费用!H7+营业费用!H8+营业费用!H9+营业费用!H13+营业费用!H17+营业费用!H18+营业费用!H22</f>
        <v>0</v>
      </c>
      <c r="D6" s="2030" t="s">
        <v>509</v>
      </c>
      <c r="E6" s="2072">
        <f>管理费用!H6+管理费用!H7+管理费用!H8+管理费用!H9+管理费用!H13+管理费用!H17+管理费用!H18+管理费用!H22</f>
        <v>0</v>
      </c>
      <c r="F6" s="2030" t="s">
        <v>509</v>
      </c>
      <c r="G6" s="2030" t="s">
        <v>509</v>
      </c>
      <c r="H6" s="2030" t="s">
        <v>509</v>
      </c>
      <c r="I6" s="1818"/>
    </row>
    <row r="7" spans="1:11" ht="14.25" customHeight="1">
      <c r="A7" s="1840">
        <v>2</v>
      </c>
      <c r="B7" s="1818" t="s">
        <v>5053</v>
      </c>
      <c r="C7" s="2072">
        <f>营业费用!H29</f>
        <v>0</v>
      </c>
      <c r="D7" s="2072">
        <f>营业费用!G29</f>
        <v>0</v>
      </c>
      <c r="E7" s="2072">
        <f>管理费用!H29</f>
        <v>0</v>
      </c>
      <c r="F7" s="2072">
        <f>管理费用!G29</f>
        <v>0</v>
      </c>
      <c r="G7" s="2030" t="s">
        <v>509</v>
      </c>
      <c r="H7" s="2030" t="s">
        <v>509</v>
      </c>
      <c r="I7" s="1818"/>
    </row>
    <row r="8" spans="1:11" ht="14.25" customHeight="1">
      <c r="A8" s="1840">
        <v>3</v>
      </c>
      <c r="B8" s="1818" t="s">
        <v>5054</v>
      </c>
      <c r="C8" s="2072">
        <f>营业费用!H30</f>
        <v>0</v>
      </c>
      <c r="D8" s="2072">
        <f>营业费用!G30</f>
        <v>0</v>
      </c>
      <c r="E8" s="2072">
        <f>管理费用!H30</f>
        <v>0</v>
      </c>
      <c r="F8" s="2072">
        <f>管理费用!G30</f>
        <v>0</v>
      </c>
      <c r="G8" s="2030" t="s">
        <v>509</v>
      </c>
      <c r="H8" s="2030" t="s">
        <v>509</v>
      </c>
      <c r="I8" s="1818"/>
    </row>
    <row r="9" spans="1:11" ht="14.25" customHeight="1">
      <c r="A9" s="1840">
        <v>4</v>
      </c>
      <c r="B9" s="1818" t="s">
        <v>5055</v>
      </c>
      <c r="C9" s="2072">
        <f>营业费用!H10</f>
        <v>0</v>
      </c>
      <c r="D9" s="2030" t="s">
        <v>509</v>
      </c>
      <c r="E9" s="2072">
        <f>管理费用!H10</f>
        <v>0</v>
      </c>
      <c r="F9" s="2030" t="s">
        <v>509</v>
      </c>
      <c r="G9" s="2030" t="s">
        <v>509</v>
      </c>
      <c r="H9" s="2030" t="s">
        <v>509</v>
      </c>
      <c r="I9" s="1818"/>
      <c r="J9" s="1675" t="s">
        <v>6597</v>
      </c>
    </row>
    <row r="10" spans="1:11" ht="14.25" customHeight="1">
      <c r="A10" s="1840">
        <v>5</v>
      </c>
      <c r="B10" s="1818" t="s">
        <v>5056</v>
      </c>
      <c r="C10" s="2072">
        <f>营业费用!H11</f>
        <v>0</v>
      </c>
      <c r="D10" s="2030" t="s">
        <v>509</v>
      </c>
      <c r="E10" s="2072">
        <f>管理费用!H11</f>
        <v>0</v>
      </c>
      <c r="F10" s="2030" t="s">
        <v>509</v>
      </c>
      <c r="G10" s="2030" t="s">
        <v>509</v>
      </c>
      <c r="H10" s="2030" t="s">
        <v>509</v>
      </c>
      <c r="I10" s="1818"/>
    </row>
    <row r="11" spans="1:11" ht="14.25" customHeight="1">
      <c r="A11" s="1840">
        <v>6</v>
      </c>
      <c r="B11" s="1818" t="s">
        <v>5057</v>
      </c>
      <c r="C11" s="2072">
        <f>营业费用!H31</f>
        <v>0</v>
      </c>
      <c r="D11" s="2072">
        <f>营业费用!G31</f>
        <v>0</v>
      </c>
      <c r="E11" s="2072">
        <f>管理费用!H31</f>
        <v>0</v>
      </c>
      <c r="F11" s="2072">
        <f>管理费用!G31</f>
        <v>0</v>
      </c>
      <c r="G11" s="2072">
        <f>财务费用!H6</f>
        <v>0</v>
      </c>
      <c r="H11" s="2072">
        <f>财务费用!G6</f>
        <v>0</v>
      </c>
      <c r="I11" s="1818"/>
      <c r="J11" s="1675" t="s">
        <v>6598</v>
      </c>
    </row>
    <row r="12" spans="1:11" ht="14.25" customHeight="1">
      <c r="A12" s="1840">
        <v>7</v>
      </c>
      <c r="B12" s="1818" t="s">
        <v>5058</v>
      </c>
      <c r="C12" s="2072">
        <f>营业费用!H20+营业费用!H23+营业费用!H24</f>
        <v>0</v>
      </c>
      <c r="D12" s="2030" t="s">
        <v>509</v>
      </c>
      <c r="E12" s="2072">
        <f>管理费用!H20+管理费用!H23+管理费用!H24</f>
        <v>0</v>
      </c>
      <c r="F12" s="2030" t="s">
        <v>509</v>
      </c>
      <c r="G12" s="2030" t="s">
        <v>509</v>
      </c>
      <c r="H12" s="2030" t="s">
        <v>509</v>
      </c>
      <c r="I12" s="1818"/>
    </row>
    <row r="13" spans="1:11" ht="14.25" customHeight="1">
      <c r="A13" s="1840">
        <v>8</v>
      </c>
      <c r="B13" s="1818" t="s">
        <v>5059</v>
      </c>
      <c r="C13" s="2072">
        <f>营业费用!H19</f>
        <v>0</v>
      </c>
      <c r="D13" s="2030" t="s">
        <v>509</v>
      </c>
      <c r="E13" s="2072">
        <f>管理费用!H19</f>
        <v>0</v>
      </c>
      <c r="F13" s="2030" t="s">
        <v>509</v>
      </c>
      <c r="G13" s="2030" t="s">
        <v>509</v>
      </c>
      <c r="H13" s="2030" t="s">
        <v>509</v>
      </c>
      <c r="I13" s="1818"/>
      <c r="J13" s="1675" t="s">
        <v>270</v>
      </c>
    </row>
    <row r="14" spans="1:11" ht="14.25" customHeight="1">
      <c r="A14" s="1840">
        <v>9</v>
      </c>
      <c r="B14" s="1818" t="s">
        <v>5060</v>
      </c>
      <c r="C14" s="2072">
        <f>营业费用!H32</f>
        <v>0</v>
      </c>
      <c r="D14" s="2030" t="s">
        <v>509</v>
      </c>
      <c r="E14" s="2072">
        <f>管理费用!H32</f>
        <v>0</v>
      </c>
      <c r="F14" s="2030" t="s">
        <v>509</v>
      </c>
      <c r="G14" s="2030" t="s">
        <v>509</v>
      </c>
      <c r="H14" s="2030" t="s">
        <v>509</v>
      </c>
      <c r="I14" s="1818"/>
    </row>
    <row r="15" spans="1:11" ht="14.25" customHeight="1">
      <c r="A15" s="1840">
        <v>10</v>
      </c>
      <c r="B15" s="1818" t="s">
        <v>5061</v>
      </c>
      <c r="C15" s="2072">
        <f>营业费用!H33</f>
        <v>0</v>
      </c>
      <c r="D15" s="2030" t="s">
        <v>509</v>
      </c>
      <c r="E15" s="2072">
        <f>管理费用!H33</f>
        <v>0</v>
      </c>
      <c r="F15" s="2030" t="s">
        <v>509</v>
      </c>
      <c r="G15" s="2030" t="s">
        <v>509</v>
      </c>
      <c r="H15" s="2030" t="s">
        <v>509</v>
      </c>
      <c r="I15" s="1818"/>
    </row>
    <row r="16" spans="1:11" ht="14.25" customHeight="1">
      <c r="A16" s="1840">
        <v>11</v>
      </c>
      <c r="B16" s="1818" t="s">
        <v>5062</v>
      </c>
      <c r="C16" s="2072">
        <f>营业费用!H21</f>
        <v>0</v>
      </c>
      <c r="D16" s="2072">
        <f>营业费用!G21</f>
        <v>0</v>
      </c>
      <c r="E16" s="2072">
        <f>管理费用!H21</f>
        <v>0</v>
      </c>
      <c r="F16" s="2072">
        <f>管理费用!G21</f>
        <v>0</v>
      </c>
      <c r="G16" s="2030" t="s">
        <v>509</v>
      </c>
      <c r="H16" s="2030" t="s">
        <v>509</v>
      </c>
      <c r="I16" s="1818"/>
    </row>
    <row r="17" spans="1:9" ht="14.25" customHeight="1">
      <c r="A17" s="1840">
        <v>12</v>
      </c>
      <c r="B17" s="1818" t="s">
        <v>5063</v>
      </c>
      <c r="C17" s="2072">
        <f>营业费用!H34</f>
        <v>0</v>
      </c>
      <c r="D17" s="2030" t="s">
        <v>509</v>
      </c>
      <c r="E17" s="2072">
        <f>管理费用!H34</f>
        <v>0</v>
      </c>
      <c r="F17" s="2030" t="s">
        <v>509</v>
      </c>
      <c r="G17" s="2030" t="s">
        <v>509</v>
      </c>
      <c r="H17" s="2030" t="s">
        <v>509</v>
      </c>
      <c r="I17" s="1818"/>
    </row>
    <row r="18" spans="1:9" ht="14.25" customHeight="1">
      <c r="A18" s="1840">
        <v>13</v>
      </c>
      <c r="B18" s="1818" t="s">
        <v>5064</v>
      </c>
      <c r="C18" s="2072">
        <f>营业费用!H35</f>
        <v>0</v>
      </c>
      <c r="D18" s="2030" t="s">
        <v>509</v>
      </c>
      <c r="E18" s="2072">
        <f>管理费用!H35</f>
        <v>0</v>
      </c>
      <c r="F18" s="2030" t="s">
        <v>509</v>
      </c>
      <c r="G18" s="2030" t="s">
        <v>509</v>
      </c>
      <c r="H18" s="2030" t="s">
        <v>509</v>
      </c>
      <c r="I18" s="1818"/>
    </row>
    <row r="19" spans="1:9" ht="14.25" customHeight="1">
      <c r="A19" s="1840">
        <v>14</v>
      </c>
      <c r="B19" s="1818" t="s">
        <v>5065</v>
      </c>
      <c r="C19" s="2072">
        <f>营业费用!H36</f>
        <v>0</v>
      </c>
      <c r="D19" s="2030" t="s">
        <v>509</v>
      </c>
      <c r="E19" s="2072">
        <f>管理费用!H36</f>
        <v>0</v>
      </c>
      <c r="F19" s="2030" t="s">
        <v>509</v>
      </c>
      <c r="G19" s="2030" t="s">
        <v>509</v>
      </c>
      <c r="H19" s="2030" t="s">
        <v>509</v>
      </c>
      <c r="I19" s="1818"/>
    </row>
    <row r="20" spans="1:9" ht="14.25" customHeight="1">
      <c r="A20" s="1840">
        <v>15</v>
      </c>
      <c r="B20" s="1818" t="s">
        <v>5066</v>
      </c>
      <c r="C20" s="2072">
        <f>营业费用!H37</f>
        <v>0</v>
      </c>
      <c r="D20" s="2072">
        <f>营业费用!G37</f>
        <v>0</v>
      </c>
      <c r="E20" s="2072">
        <f>管理费用!H37</f>
        <v>0</v>
      </c>
      <c r="F20" s="2072">
        <f>管理费用!G37</f>
        <v>0</v>
      </c>
      <c r="G20" s="2030" t="s">
        <v>509</v>
      </c>
      <c r="H20" s="2030" t="s">
        <v>509</v>
      </c>
      <c r="I20" s="1818"/>
    </row>
    <row r="21" spans="1:9" ht="14.25" customHeight="1">
      <c r="A21" s="1840">
        <v>16</v>
      </c>
      <c r="B21" s="1818" t="s">
        <v>5067</v>
      </c>
      <c r="C21" s="2072">
        <f>营业费用!H38</f>
        <v>0</v>
      </c>
      <c r="D21" s="2072">
        <f>营业费用!G38</f>
        <v>0</v>
      </c>
      <c r="E21" s="2072">
        <f>管理费用!H38</f>
        <v>0</v>
      </c>
      <c r="F21" s="2072">
        <f>管理费用!G38</f>
        <v>0</v>
      </c>
      <c r="G21" s="2030" t="s">
        <v>509</v>
      </c>
      <c r="H21" s="2030" t="s">
        <v>509</v>
      </c>
      <c r="I21" s="1818"/>
    </row>
    <row r="22" spans="1:9" ht="14.25" customHeight="1">
      <c r="A22" s="1840">
        <v>17</v>
      </c>
      <c r="B22" s="1818" t="s">
        <v>5068</v>
      </c>
      <c r="C22" s="2072">
        <f>营业费用!H39</f>
        <v>0</v>
      </c>
      <c r="D22" s="2030" t="s">
        <v>509</v>
      </c>
      <c r="E22" s="2072">
        <f>管理费用!H39</f>
        <v>0</v>
      </c>
      <c r="F22" s="2030" t="s">
        <v>509</v>
      </c>
      <c r="G22" s="2030" t="s">
        <v>509</v>
      </c>
      <c r="H22" s="2030" t="s">
        <v>509</v>
      </c>
      <c r="I22" s="1818"/>
    </row>
    <row r="23" spans="1:9" ht="14.25" customHeight="1">
      <c r="A23" s="1840">
        <v>18</v>
      </c>
      <c r="B23" s="1818" t="s">
        <v>5069</v>
      </c>
      <c r="C23" s="2072">
        <f>营业费用!H40</f>
        <v>0</v>
      </c>
      <c r="D23" s="2072">
        <f>营业费用!G40</f>
        <v>0</v>
      </c>
      <c r="E23" s="2072">
        <f>管理费用!H40</f>
        <v>0</v>
      </c>
      <c r="F23" s="2072">
        <f>管理费用!G40</f>
        <v>0</v>
      </c>
      <c r="G23" s="2030" t="s">
        <v>509</v>
      </c>
      <c r="H23" s="2030" t="s">
        <v>509</v>
      </c>
      <c r="I23" s="1818"/>
    </row>
    <row r="24" spans="1:9" ht="14.25" customHeight="1">
      <c r="A24" s="1840">
        <v>19</v>
      </c>
      <c r="B24" s="1818" t="s">
        <v>5070</v>
      </c>
      <c r="C24" s="2072">
        <f>营业费用!H41</f>
        <v>0</v>
      </c>
      <c r="D24" s="2072">
        <f>营业费用!G41</f>
        <v>0</v>
      </c>
      <c r="E24" s="2072">
        <f>管理费用!H41</f>
        <v>0</v>
      </c>
      <c r="F24" s="2072">
        <f>管理费用!G41</f>
        <v>0</v>
      </c>
      <c r="G24" s="2030" t="s">
        <v>509</v>
      </c>
      <c r="H24" s="2030" t="s">
        <v>509</v>
      </c>
      <c r="I24" s="1818"/>
    </row>
    <row r="25" spans="1:9" ht="14.1" customHeight="1">
      <c r="A25" s="1840">
        <v>20</v>
      </c>
      <c r="B25" s="1818" t="s">
        <v>5071</v>
      </c>
      <c r="C25" s="2072">
        <f>营业费用!H25+营业费用!H26+营业费用!H27+营业费用!H28</f>
        <v>0</v>
      </c>
      <c r="D25" s="2030" t="s">
        <v>509</v>
      </c>
      <c r="E25" s="2072">
        <f>管理费用!H25+管理费用!H26+管理费用!H27+管理费用!H28</f>
        <v>0</v>
      </c>
      <c r="F25" s="2030" t="s">
        <v>509</v>
      </c>
      <c r="G25" s="2030" t="s">
        <v>509</v>
      </c>
      <c r="H25" s="2030" t="s">
        <v>509</v>
      </c>
      <c r="I25" s="1818"/>
    </row>
    <row r="26" spans="1:9" ht="14.1" customHeight="1">
      <c r="A26" s="1840">
        <v>21</v>
      </c>
      <c r="B26" s="1818" t="s">
        <v>5072</v>
      </c>
      <c r="C26" s="2030" t="s">
        <v>6559</v>
      </c>
      <c r="D26" s="2030" t="s">
        <v>509</v>
      </c>
      <c r="E26" s="2030" t="s">
        <v>509</v>
      </c>
      <c r="F26" s="2030" t="s">
        <v>509</v>
      </c>
      <c r="G26" s="2072">
        <f>财务费用!H7-财务费用!H11</f>
        <v>0</v>
      </c>
      <c r="H26" s="2072">
        <f>财务费用!G7-财务费用!G11</f>
        <v>0</v>
      </c>
      <c r="I26" s="1818"/>
    </row>
    <row r="27" spans="1:9" ht="14.25" customHeight="1">
      <c r="A27" s="1840">
        <v>22</v>
      </c>
      <c r="B27" s="1818" t="s">
        <v>5073</v>
      </c>
      <c r="C27" s="2030" t="s">
        <v>6559</v>
      </c>
      <c r="D27" s="2030" t="s">
        <v>509</v>
      </c>
      <c r="E27" s="2030" t="s">
        <v>509</v>
      </c>
      <c r="F27" s="2030" t="s">
        <v>509</v>
      </c>
      <c r="G27" s="2072">
        <f>财务费用!H9-财务费用!H13</f>
        <v>0</v>
      </c>
      <c r="H27" s="2072">
        <f>财务费用!G9-财务费用!G13</f>
        <v>0</v>
      </c>
      <c r="I27" s="1818"/>
    </row>
    <row r="28" spans="1:9" ht="14.25" customHeight="1">
      <c r="A28" s="1840">
        <v>23</v>
      </c>
      <c r="B28" s="1818" t="s">
        <v>5074</v>
      </c>
      <c r="C28" s="2030" t="s">
        <v>6559</v>
      </c>
      <c r="D28" s="2030" t="s">
        <v>509</v>
      </c>
      <c r="E28" s="2030" t="s">
        <v>509</v>
      </c>
      <c r="F28" s="2030" t="s">
        <v>509</v>
      </c>
      <c r="G28" s="2072">
        <f>财务费用!H10</f>
        <v>0</v>
      </c>
      <c r="H28" s="2030" t="s">
        <v>509</v>
      </c>
      <c r="I28" s="1818"/>
    </row>
    <row r="29" spans="1:9" ht="14.25" customHeight="1">
      <c r="A29" s="1840">
        <v>24</v>
      </c>
      <c r="B29" s="1818" t="s">
        <v>5075</v>
      </c>
      <c r="C29" s="2072">
        <f>营业费用!H12+营业费用!H14+营业费用!H15+营业费用!H16+营业费用!H42</f>
        <v>0</v>
      </c>
      <c r="D29" s="2072">
        <f>营业费用!G12+营业费用!G14+营业费用!G15+营业费用!G16+营业费用!G42</f>
        <v>0</v>
      </c>
      <c r="E29" s="2072">
        <f>管理费用!H12+管理费用!H14+管理费用!H15+管理费用!H16+管理费用!H42</f>
        <v>0</v>
      </c>
      <c r="F29" s="2072">
        <f>管理费用!G12+管理费用!G14+管理费用!G15+管理费用!G16+管理费用!G42</f>
        <v>0</v>
      </c>
      <c r="G29" s="2072">
        <f>财务费用!H14</f>
        <v>0</v>
      </c>
      <c r="H29" s="2072">
        <f>财务费用!G14</f>
        <v>0</v>
      </c>
      <c r="I29" s="1818"/>
    </row>
    <row r="30" spans="1:9" ht="119.25" customHeight="1">
      <c r="A30" s="1840">
        <v>25</v>
      </c>
      <c r="B30" s="1818" t="s">
        <v>5076</v>
      </c>
      <c r="C30" s="2040">
        <f t="shared" ref="C30:H30" si="0">SUM(C6:C29)</f>
        <v>0</v>
      </c>
      <c r="D30" s="2040">
        <f t="shared" si="0"/>
        <v>0</v>
      </c>
      <c r="E30" s="2040">
        <f t="shared" si="0"/>
        <v>0</v>
      </c>
      <c r="F30" s="2040">
        <f t="shared" si="0"/>
        <v>0</v>
      </c>
      <c r="G30" s="2040">
        <f t="shared" si="0"/>
        <v>0</v>
      </c>
      <c r="H30" s="2040">
        <f t="shared" si="0"/>
        <v>0</v>
      </c>
      <c r="I30" s="1819" t="s">
        <v>5077</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workbookViewId="0">
      <selection activeCell="A2" sqref="A2:F2"/>
    </sheetView>
  </sheetViews>
  <sheetFormatPr defaultRowHeight="14.1" customHeight="1"/>
  <cols>
    <col min="1" max="1" width="3.59765625" style="1549" customWidth="1"/>
    <col min="2" max="2" width="48.09765625" style="1544" customWidth="1"/>
    <col min="3" max="6" width="11.8984375" style="1550" customWidth="1"/>
    <col min="7" max="7" width="26.69921875" style="1543" customWidth="1"/>
    <col min="8" max="8" width="30.09765625" style="1544" customWidth="1"/>
    <col min="9" max="256" width="9" style="1544"/>
    <col min="257" max="257" width="5.19921875" style="1544" customWidth="1"/>
    <col min="258" max="258" width="48.09765625" style="1544" customWidth="1"/>
    <col min="259" max="262" width="6.59765625" style="1544" customWidth="1"/>
    <col min="263" max="263" width="31.5" style="1544" customWidth="1"/>
    <col min="264" max="264" width="30.09765625" style="1544" customWidth="1"/>
    <col min="265" max="512" width="9" style="1544"/>
    <col min="513" max="513" width="5.19921875" style="1544" customWidth="1"/>
    <col min="514" max="514" width="48.09765625" style="1544" customWidth="1"/>
    <col min="515" max="518" width="6.59765625" style="1544" customWidth="1"/>
    <col min="519" max="519" width="31.5" style="1544" customWidth="1"/>
    <col min="520" max="520" width="30.09765625" style="1544" customWidth="1"/>
    <col min="521" max="768" width="9" style="1544"/>
    <col min="769" max="769" width="5.19921875" style="1544" customWidth="1"/>
    <col min="770" max="770" width="48.09765625" style="1544" customWidth="1"/>
    <col min="771" max="774" width="6.59765625" style="1544" customWidth="1"/>
    <col min="775" max="775" width="31.5" style="1544" customWidth="1"/>
    <col min="776" max="776" width="30.09765625" style="1544" customWidth="1"/>
    <col min="777" max="1024" width="9" style="1544"/>
    <col min="1025" max="1025" width="5.19921875" style="1544" customWidth="1"/>
    <col min="1026" max="1026" width="48.09765625" style="1544" customWidth="1"/>
    <col min="1027" max="1030" width="6.59765625" style="1544" customWidth="1"/>
    <col min="1031" max="1031" width="31.5" style="1544" customWidth="1"/>
    <col min="1032" max="1032" width="30.09765625" style="1544" customWidth="1"/>
    <col min="1033" max="1280" width="9" style="1544"/>
    <col min="1281" max="1281" width="5.19921875" style="1544" customWidth="1"/>
    <col min="1282" max="1282" width="48.09765625" style="1544" customWidth="1"/>
    <col min="1283" max="1286" width="6.59765625" style="1544" customWidth="1"/>
    <col min="1287" max="1287" width="31.5" style="1544" customWidth="1"/>
    <col min="1288" max="1288" width="30.09765625" style="1544" customWidth="1"/>
    <col min="1289" max="1536" width="9" style="1544"/>
    <col min="1537" max="1537" width="5.19921875" style="1544" customWidth="1"/>
    <col min="1538" max="1538" width="48.09765625" style="1544" customWidth="1"/>
    <col min="1539" max="1542" width="6.59765625" style="1544" customWidth="1"/>
    <col min="1543" max="1543" width="31.5" style="1544" customWidth="1"/>
    <col min="1544" max="1544" width="30.09765625" style="1544" customWidth="1"/>
    <col min="1545" max="1792" width="9" style="1544"/>
    <col min="1793" max="1793" width="5.19921875" style="1544" customWidth="1"/>
    <col min="1794" max="1794" width="48.09765625" style="1544" customWidth="1"/>
    <col min="1795" max="1798" width="6.59765625" style="1544" customWidth="1"/>
    <col min="1799" max="1799" width="31.5" style="1544" customWidth="1"/>
    <col min="1800" max="1800" width="30.09765625" style="1544" customWidth="1"/>
    <col min="1801" max="2048" width="9" style="1544"/>
    <col min="2049" max="2049" width="5.19921875" style="1544" customWidth="1"/>
    <col min="2050" max="2050" width="48.09765625" style="1544" customWidth="1"/>
    <col min="2051" max="2054" width="6.59765625" style="1544" customWidth="1"/>
    <col min="2055" max="2055" width="31.5" style="1544" customWidth="1"/>
    <col min="2056" max="2056" width="30.09765625" style="1544" customWidth="1"/>
    <col min="2057" max="2304" width="9" style="1544"/>
    <col min="2305" max="2305" width="5.19921875" style="1544" customWidth="1"/>
    <col min="2306" max="2306" width="48.09765625" style="1544" customWidth="1"/>
    <col min="2307" max="2310" width="6.59765625" style="1544" customWidth="1"/>
    <col min="2311" max="2311" width="31.5" style="1544" customWidth="1"/>
    <col min="2312" max="2312" width="30.09765625" style="1544" customWidth="1"/>
    <col min="2313" max="2560" width="9" style="1544"/>
    <col min="2561" max="2561" width="5.19921875" style="1544" customWidth="1"/>
    <col min="2562" max="2562" width="48.09765625" style="1544" customWidth="1"/>
    <col min="2563" max="2566" width="6.59765625" style="1544" customWidth="1"/>
    <col min="2567" max="2567" width="31.5" style="1544" customWidth="1"/>
    <col min="2568" max="2568" width="30.09765625" style="1544" customWidth="1"/>
    <col min="2569" max="2816" width="9" style="1544"/>
    <col min="2817" max="2817" width="5.19921875" style="1544" customWidth="1"/>
    <col min="2818" max="2818" width="48.09765625" style="1544" customWidth="1"/>
    <col min="2819" max="2822" width="6.59765625" style="1544" customWidth="1"/>
    <col min="2823" max="2823" width="31.5" style="1544" customWidth="1"/>
    <col min="2824" max="2824" width="30.09765625" style="1544" customWidth="1"/>
    <col min="2825" max="3072" width="9" style="1544"/>
    <col min="3073" max="3073" width="5.19921875" style="1544" customWidth="1"/>
    <col min="3074" max="3074" width="48.09765625" style="1544" customWidth="1"/>
    <col min="3075" max="3078" width="6.59765625" style="1544" customWidth="1"/>
    <col min="3079" max="3079" width="31.5" style="1544" customWidth="1"/>
    <col min="3080" max="3080" width="30.09765625" style="1544" customWidth="1"/>
    <col min="3081" max="3328" width="9" style="1544"/>
    <col min="3329" max="3329" width="5.19921875" style="1544" customWidth="1"/>
    <col min="3330" max="3330" width="48.09765625" style="1544" customWidth="1"/>
    <col min="3331" max="3334" width="6.59765625" style="1544" customWidth="1"/>
    <col min="3335" max="3335" width="31.5" style="1544" customWidth="1"/>
    <col min="3336" max="3336" width="30.09765625" style="1544" customWidth="1"/>
    <col min="3337" max="3584" width="9" style="1544"/>
    <col min="3585" max="3585" width="5.19921875" style="1544" customWidth="1"/>
    <col min="3586" max="3586" width="48.09765625" style="1544" customWidth="1"/>
    <col min="3587" max="3590" width="6.59765625" style="1544" customWidth="1"/>
    <col min="3591" max="3591" width="31.5" style="1544" customWidth="1"/>
    <col min="3592" max="3592" width="30.09765625" style="1544" customWidth="1"/>
    <col min="3593" max="3840" width="9" style="1544"/>
    <col min="3841" max="3841" width="5.19921875" style="1544" customWidth="1"/>
    <col min="3842" max="3842" width="48.09765625" style="1544" customWidth="1"/>
    <col min="3843" max="3846" width="6.59765625" style="1544" customWidth="1"/>
    <col min="3847" max="3847" width="31.5" style="1544" customWidth="1"/>
    <col min="3848" max="3848" width="30.09765625" style="1544" customWidth="1"/>
    <col min="3849" max="4096" width="9" style="1544"/>
    <col min="4097" max="4097" width="5.19921875" style="1544" customWidth="1"/>
    <col min="4098" max="4098" width="48.09765625" style="1544" customWidth="1"/>
    <col min="4099" max="4102" width="6.59765625" style="1544" customWidth="1"/>
    <col min="4103" max="4103" width="31.5" style="1544" customWidth="1"/>
    <col min="4104" max="4104" width="30.09765625" style="1544" customWidth="1"/>
    <col min="4105" max="4352" width="9" style="1544"/>
    <col min="4353" max="4353" width="5.19921875" style="1544" customWidth="1"/>
    <col min="4354" max="4354" width="48.09765625" style="1544" customWidth="1"/>
    <col min="4355" max="4358" width="6.59765625" style="1544" customWidth="1"/>
    <col min="4359" max="4359" width="31.5" style="1544" customWidth="1"/>
    <col min="4360" max="4360" width="30.09765625" style="1544" customWidth="1"/>
    <col min="4361" max="4608" width="9" style="1544"/>
    <col min="4609" max="4609" width="5.19921875" style="1544" customWidth="1"/>
    <col min="4610" max="4610" width="48.09765625" style="1544" customWidth="1"/>
    <col min="4611" max="4614" width="6.59765625" style="1544" customWidth="1"/>
    <col min="4615" max="4615" width="31.5" style="1544" customWidth="1"/>
    <col min="4616" max="4616" width="30.09765625" style="1544" customWidth="1"/>
    <col min="4617" max="4864" width="9" style="1544"/>
    <col min="4865" max="4865" width="5.19921875" style="1544" customWidth="1"/>
    <col min="4866" max="4866" width="48.09765625" style="1544" customWidth="1"/>
    <col min="4867" max="4870" width="6.59765625" style="1544" customWidth="1"/>
    <col min="4871" max="4871" width="31.5" style="1544" customWidth="1"/>
    <col min="4872" max="4872" width="30.09765625" style="1544" customWidth="1"/>
    <col min="4873" max="5120" width="9" style="1544"/>
    <col min="5121" max="5121" width="5.19921875" style="1544" customWidth="1"/>
    <col min="5122" max="5122" width="48.09765625" style="1544" customWidth="1"/>
    <col min="5123" max="5126" width="6.59765625" style="1544" customWidth="1"/>
    <col min="5127" max="5127" width="31.5" style="1544" customWidth="1"/>
    <col min="5128" max="5128" width="30.09765625" style="1544" customWidth="1"/>
    <col min="5129" max="5376" width="9" style="1544"/>
    <col min="5377" max="5377" width="5.19921875" style="1544" customWidth="1"/>
    <col min="5378" max="5378" width="48.09765625" style="1544" customWidth="1"/>
    <col min="5379" max="5382" width="6.59765625" style="1544" customWidth="1"/>
    <col min="5383" max="5383" width="31.5" style="1544" customWidth="1"/>
    <col min="5384" max="5384" width="30.09765625" style="1544" customWidth="1"/>
    <col min="5385" max="5632" width="9" style="1544"/>
    <col min="5633" max="5633" width="5.19921875" style="1544" customWidth="1"/>
    <col min="5634" max="5634" width="48.09765625" style="1544" customWidth="1"/>
    <col min="5635" max="5638" width="6.59765625" style="1544" customWidth="1"/>
    <col min="5639" max="5639" width="31.5" style="1544" customWidth="1"/>
    <col min="5640" max="5640" width="30.09765625" style="1544" customWidth="1"/>
    <col min="5641" max="5888" width="9" style="1544"/>
    <col min="5889" max="5889" width="5.19921875" style="1544" customWidth="1"/>
    <col min="5890" max="5890" width="48.09765625" style="1544" customWidth="1"/>
    <col min="5891" max="5894" width="6.59765625" style="1544" customWidth="1"/>
    <col min="5895" max="5895" width="31.5" style="1544" customWidth="1"/>
    <col min="5896" max="5896" width="30.09765625" style="1544" customWidth="1"/>
    <col min="5897" max="6144" width="9" style="1544"/>
    <col min="6145" max="6145" width="5.19921875" style="1544" customWidth="1"/>
    <col min="6146" max="6146" width="48.09765625" style="1544" customWidth="1"/>
    <col min="6147" max="6150" width="6.59765625" style="1544" customWidth="1"/>
    <col min="6151" max="6151" width="31.5" style="1544" customWidth="1"/>
    <col min="6152" max="6152" width="30.09765625" style="1544" customWidth="1"/>
    <col min="6153" max="6400" width="9" style="1544"/>
    <col min="6401" max="6401" width="5.19921875" style="1544" customWidth="1"/>
    <col min="6402" max="6402" width="48.09765625" style="1544" customWidth="1"/>
    <col min="6403" max="6406" width="6.59765625" style="1544" customWidth="1"/>
    <col min="6407" max="6407" width="31.5" style="1544" customWidth="1"/>
    <col min="6408" max="6408" width="30.09765625" style="1544" customWidth="1"/>
    <col min="6409" max="6656" width="9" style="1544"/>
    <col min="6657" max="6657" width="5.19921875" style="1544" customWidth="1"/>
    <col min="6658" max="6658" width="48.09765625" style="1544" customWidth="1"/>
    <col min="6659" max="6662" width="6.59765625" style="1544" customWidth="1"/>
    <col min="6663" max="6663" width="31.5" style="1544" customWidth="1"/>
    <col min="6664" max="6664" width="30.09765625" style="1544" customWidth="1"/>
    <col min="6665" max="6912" width="9" style="1544"/>
    <col min="6913" max="6913" width="5.19921875" style="1544" customWidth="1"/>
    <col min="6914" max="6914" width="48.09765625" style="1544" customWidth="1"/>
    <col min="6915" max="6918" width="6.59765625" style="1544" customWidth="1"/>
    <col min="6919" max="6919" width="31.5" style="1544" customWidth="1"/>
    <col min="6920" max="6920" width="30.09765625" style="1544" customWidth="1"/>
    <col min="6921" max="7168" width="9" style="1544"/>
    <col min="7169" max="7169" width="5.19921875" style="1544" customWidth="1"/>
    <col min="7170" max="7170" width="48.09765625" style="1544" customWidth="1"/>
    <col min="7171" max="7174" width="6.59765625" style="1544" customWidth="1"/>
    <col min="7175" max="7175" width="31.5" style="1544" customWidth="1"/>
    <col min="7176" max="7176" width="30.09765625" style="1544" customWidth="1"/>
    <col min="7177" max="7424" width="9" style="1544"/>
    <col min="7425" max="7425" width="5.19921875" style="1544" customWidth="1"/>
    <col min="7426" max="7426" width="48.09765625" style="1544" customWidth="1"/>
    <col min="7427" max="7430" width="6.59765625" style="1544" customWidth="1"/>
    <col min="7431" max="7431" width="31.5" style="1544" customWidth="1"/>
    <col min="7432" max="7432" width="30.09765625" style="1544" customWidth="1"/>
    <col min="7433" max="7680" width="9" style="1544"/>
    <col min="7681" max="7681" width="5.19921875" style="1544" customWidth="1"/>
    <col min="7682" max="7682" width="48.09765625" style="1544" customWidth="1"/>
    <col min="7683" max="7686" width="6.59765625" style="1544" customWidth="1"/>
    <col min="7687" max="7687" width="31.5" style="1544" customWidth="1"/>
    <col min="7688" max="7688" width="30.09765625" style="1544" customWidth="1"/>
    <col min="7689" max="7936" width="9" style="1544"/>
    <col min="7937" max="7937" width="5.19921875" style="1544" customWidth="1"/>
    <col min="7938" max="7938" width="48.09765625" style="1544" customWidth="1"/>
    <col min="7939" max="7942" width="6.59765625" style="1544" customWidth="1"/>
    <col min="7943" max="7943" width="31.5" style="1544" customWidth="1"/>
    <col min="7944" max="7944" width="30.09765625" style="1544" customWidth="1"/>
    <col min="7945" max="8192" width="9" style="1544"/>
    <col min="8193" max="8193" width="5.19921875" style="1544" customWidth="1"/>
    <col min="8194" max="8194" width="48.09765625" style="1544" customWidth="1"/>
    <col min="8195" max="8198" width="6.59765625" style="1544" customWidth="1"/>
    <col min="8199" max="8199" width="31.5" style="1544" customWidth="1"/>
    <col min="8200" max="8200" width="30.09765625" style="1544" customWidth="1"/>
    <col min="8201" max="8448" width="9" style="1544"/>
    <col min="8449" max="8449" width="5.19921875" style="1544" customWidth="1"/>
    <col min="8450" max="8450" width="48.09765625" style="1544" customWidth="1"/>
    <col min="8451" max="8454" width="6.59765625" style="1544" customWidth="1"/>
    <col min="8455" max="8455" width="31.5" style="1544" customWidth="1"/>
    <col min="8456" max="8456" width="30.09765625" style="1544" customWidth="1"/>
    <col min="8457" max="8704" width="9" style="1544"/>
    <col min="8705" max="8705" width="5.19921875" style="1544" customWidth="1"/>
    <col min="8706" max="8706" width="48.09765625" style="1544" customWidth="1"/>
    <col min="8707" max="8710" width="6.59765625" style="1544" customWidth="1"/>
    <col min="8711" max="8711" width="31.5" style="1544" customWidth="1"/>
    <col min="8712" max="8712" width="30.09765625" style="1544" customWidth="1"/>
    <col min="8713" max="8960" width="9" style="1544"/>
    <col min="8961" max="8961" width="5.19921875" style="1544" customWidth="1"/>
    <col min="8962" max="8962" width="48.09765625" style="1544" customWidth="1"/>
    <col min="8963" max="8966" width="6.59765625" style="1544" customWidth="1"/>
    <col min="8967" max="8967" width="31.5" style="1544" customWidth="1"/>
    <col min="8968" max="8968" width="30.09765625" style="1544" customWidth="1"/>
    <col min="8969" max="9216" width="9" style="1544"/>
    <col min="9217" max="9217" width="5.19921875" style="1544" customWidth="1"/>
    <col min="9218" max="9218" width="48.09765625" style="1544" customWidth="1"/>
    <col min="9219" max="9222" width="6.59765625" style="1544" customWidth="1"/>
    <col min="9223" max="9223" width="31.5" style="1544" customWidth="1"/>
    <col min="9224" max="9224" width="30.09765625" style="1544" customWidth="1"/>
    <col min="9225" max="9472" width="9" style="1544"/>
    <col min="9473" max="9473" width="5.19921875" style="1544" customWidth="1"/>
    <col min="9474" max="9474" width="48.09765625" style="1544" customWidth="1"/>
    <col min="9475" max="9478" width="6.59765625" style="1544" customWidth="1"/>
    <col min="9479" max="9479" width="31.5" style="1544" customWidth="1"/>
    <col min="9480" max="9480" width="30.09765625" style="1544" customWidth="1"/>
    <col min="9481" max="9728" width="9" style="1544"/>
    <col min="9729" max="9729" width="5.19921875" style="1544" customWidth="1"/>
    <col min="9730" max="9730" width="48.09765625" style="1544" customWidth="1"/>
    <col min="9731" max="9734" width="6.59765625" style="1544" customWidth="1"/>
    <col min="9735" max="9735" width="31.5" style="1544" customWidth="1"/>
    <col min="9736" max="9736" width="30.09765625" style="1544" customWidth="1"/>
    <col min="9737" max="9984" width="9" style="1544"/>
    <col min="9985" max="9985" width="5.19921875" style="1544" customWidth="1"/>
    <col min="9986" max="9986" width="48.09765625" style="1544" customWidth="1"/>
    <col min="9987" max="9990" width="6.59765625" style="1544" customWidth="1"/>
    <col min="9991" max="9991" width="31.5" style="1544" customWidth="1"/>
    <col min="9992" max="9992" width="30.09765625" style="1544" customWidth="1"/>
    <col min="9993" max="10240" width="9" style="1544"/>
    <col min="10241" max="10241" width="5.19921875" style="1544" customWidth="1"/>
    <col min="10242" max="10242" width="48.09765625" style="1544" customWidth="1"/>
    <col min="10243" max="10246" width="6.59765625" style="1544" customWidth="1"/>
    <col min="10247" max="10247" width="31.5" style="1544" customWidth="1"/>
    <col min="10248" max="10248" width="30.09765625" style="1544" customWidth="1"/>
    <col min="10249" max="10496" width="9" style="1544"/>
    <col min="10497" max="10497" width="5.19921875" style="1544" customWidth="1"/>
    <col min="10498" max="10498" width="48.09765625" style="1544" customWidth="1"/>
    <col min="10499" max="10502" width="6.59765625" style="1544" customWidth="1"/>
    <col min="10503" max="10503" width="31.5" style="1544" customWidth="1"/>
    <col min="10504" max="10504" width="30.09765625" style="1544" customWidth="1"/>
    <col min="10505" max="10752" width="9" style="1544"/>
    <col min="10753" max="10753" width="5.19921875" style="1544" customWidth="1"/>
    <col min="10754" max="10754" width="48.09765625" style="1544" customWidth="1"/>
    <col min="10755" max="10758" width="6.59765625" style="1544" customWidth="1"/>
    <col min="10759" max="10759" width="31.5" style="1544" customWidth="1"/>
    <col min="10760" max="10760" width="30.09765625" style="1544" customWidth="1"/>
    <col min="10761" max="11008" width="9" style="1544"/>
    <col min="11009" max="11009" width="5.19921875" style="1544" customWidth="1"/>
    <col min="11010" max="11010" width="48.09765625" style="1544" customWidth="1"/>
    <col min="11011" max="11014" width="6.59765625" style="1544" customWidth="1"/>
    <col min="11015" max="11015" width="31.5" style="1544" customWidth="1"/>
    <col min="11016" max="11016" width="30.09765625" style="1544" customWidth="1"/>
    <col min="11017" max="11264" width="9" style="1544"/>
    <col min="11265" max="11265" width="5.19921875" style="1544" customWidth="1"/>
    <col min="11266" max="11266" width="48.09765625" style="1544" customWidth="1"/>
    <col min="11267" max="11270" width="6.59765625" style="1544" customWidth="1"/>
    <col min="11271" max="11271" width="31.5" style="1544" customWidth="1"/>
    <col min="11272" max="11272" width="30.09765625" style="1544" customWidth="1"/>
    <col min="11273" max="11520" width="9" style="1544"/>
    <col min="11521" max="11521" width="5.19921875" style="1544" customWidth="1"/>
    <col min="11522" max="11522" width="48.09765625" style="1544" customWidth="1"/>
    <col min="11523" max="11526" width="6.59765625" style="1544" customWidth="1"/>
    <col min="11527" max="11527" width="31.5" style="1544" customWidth="1"/>
    <col min="11528" max="11528" width="30.09765625" style="1544" customWidth="1"/>
    <col min="11529" max="11776" width="9" style="1544"/>
    <col min="11777" max="11777" width="5.19921875" style="1544" customWidth="1"/>
    <col min="11778" max="11778" width="48.09765625" style="1544" customWidth="1"/>
    <col min="11779" max="11782" width="6.59765625" style="1544" customWidth="1"/>
    <col min="11783" max="11783" width="31.5" style="1544" customWidth="1"/>
    <col min="11784" max="11784" width="30.09765625" style="1544" customWidth="1"/>
    <col min="11785" max="12032" width="9" style="1544"/>
    <col min="12033" max="12033" width="5.19921875" style="1544" customWidth="1"/>
    <col min="12034" max="12034" width="48.09765625" style="1544" customWidth="1"/>
    <col min="12035" max="12038" width="6.59765625" style="1544" customWidth="1"/>
    <col min="12039" max="12039" width="31.5" style="1544" customWidth="1"/>
    <col min="12040" max="12040" width="30.09765625" style="1544" customWidth="1"/>
    <col min="12041" max="12288" width="9" style="1544"/>
    <col min="12289" max="12289" width="5.19921875" style="1544" customWidth="1"/>
    <col min="12290" max="12290" width="48.09765625" style="1544" customWidth="1"/>
    <col min="12291" max="12294" width="6.59765625" style="1544" customWidth="1"/>
    <col min="12295" max="12295" width="31.5" style="1544" customWidth="1"/>
    <col min="12296" max="12296" width="30.09765625" style="1544" customWidth="1"/>
    <col min="12297" max="12544" width="9" style="1544"/>
    <col min="12545" max="12545" width="5.19921875" style="1544" customWidth="1"/>
    <col min="12546" max="12546" width="48.09765625" style="1544" customWidth="1"/>
    <col min="12547" max="12550" width="6.59765625" style="1544" customWidth="1"/>
    <col min="12551" max="12551" width="31.5" style="1544" customWidth="1"/>
    <col min="12552" max="12552" width="30.09765625" style="1544" customWidth="1"/>
    <col min="12553" max="12800" width="9" style="1544"/>
    <col min="12801" max="12801" width="5.19921875" style="1544" customWidth="1"/>
    <col min="12802" max="12802" width="48.09765625" style="1544" customWidth="1"/>
    <col min="12803" max="12806" width="6.59765625" style="1544" customWidth="1"/>
    <col min="12807" max="12807" width="31.5" style="1544" customWidth="1"/>
    <col min="12808" max="12808" width="30.09765625" style="1544" customWidth="1"/>
    <col min="12809" max="13056" width="9" style="1544"/>
    <col min="13057" max="13057" width="5.19921875" style="1544" customWidth="1"/>
    <col min="13058" max="13058" width="48.09765625" style="1544" customWidth="1"/>
    <col min="13059" max="13062" width="6.59765625" style="1544" customWidth="1"/>
    <col min="13063" max="13063" width="31.5" style="1544" customWidth="1"/>
    <col min="13064" max="13064" width="30.09765625" style="1544" customWidth="1"/>
    <col min="13065" max="13312" width="9" style="1544"/>
    <col min="13313" max="13313" width="5.19921875" style="1544" customWidth="1"/>
    <col min="13314" max="13314" width="48.09765625" style="1544" customWidth="1"/>
    <col min="13315" max="13318" width="6.59765625" style="1544" customWidth="1"/>
    <col min="13319" max="13319" width="31.5" style="1544" customWidth="1"/>
    <col min="13320" max="13320" width="30.09765625" style="1544" customWidth="1"/>
    <col min="13321" max="13568" width="9" style="1544"/>
    <col min="13569" max="13569" width="5.19921875" style="1544" customWidth="1"/>
    <col min="13570" max="13570" width="48.09765625" style="1544" customWidth="1"/>
    <col min="13571" max="13574" width="6.59765625" style="1544" customWidth="1"/>
    <col min="13575" max="13575" width="31.5" style="1544" customWidth="1"/>
    <col min="13576" max="13576" width="30.09765625" style="1544" customWidth="1"/>
    <col min="13577" max="13824" width="9" style="1544"/>
    <col min="13825" max="13825" width="5.19921875" style="1544" customWidth="1"/>
    <col min="13826" max="13826" width="48.09765625" style="1544" customWidth="1"/>
    <col min="13827" max="13830" width="6.59765625" style="1544" customWidth="1"/>
    <col min="13831" max="13831" width="31.5" style="1544" customWidth="1"/>
    <col min="13832" max="13832" width="30.09765625" style="1544" customWidth="1"/>
    <col min="13833" max="14080" width="9" style="1544"/>
    <col min="14081" max="14081" width="5.19921875" style="1544" customWidth="1"/>
    <col min="14082" max="14082" width="48.09765625" style="1544" customWidth="1"/>
    <col min="14083" max="14086" width="6.59765625" style="1544" customWidth="1"/>
    <col min="14087" max="14087" width="31.5" style="1544" customWidth="1"/>
    <col min="14088" max="14088" width="30.09765625" style="1544" customWidth="1"/>
    <col min="14089" max="14336" width="9" style="1544"/>
    <col min="14337" max="14337" width="5.19921875" style="1544" customWidth="1"/>
    <col min="14338" max="14338" width="48.09765625" style="1544" customWidth="1"/>
    <col min="14339" max="14342" width="6.59765625" style="1544" customWidth="1"/>
    <col min="14343" max="14343" width="31.5" style="1544" customWidth="1"/>
    <col min="14344" max="14344" width="30.09765625" style="1544" customWidth="1"/>
    <col min="14345" max="14592" width="9" style="1544"/>
    <col min="14593" max="14593" width="5.19921875" style="1544" customWidth="1"/>
    <col min="14594" max="14594" width="48.09765625" style="1544" customWidth="1"/>
    <col min="14595" max="14598" width="6.59765625" style="1544" customWidth="1"/>
    <col min="14599" max="14599" width="31.5" style="1544" customWidth="1"/>
    <col min="14600" max="14600" width="30.09765625" style="1544" customWidth="1"/>
    <col min="14601" max="14848" width="9" style="1544"/>
    <col min="14849" max="14849" width="5.19921875" style="1544" customWidth="1"/>
    <col min="14850" max="14850" width="48.09765625" style="1544" customWidth="1"/>
    <col min="14851" max="14854" width="6.59765625" style="1544" customWidth="1"/>
    <col min="14855" max="14855" width="31.5" style="1544" customWidth="1"/>
    <col min="14856" max="14856" width="30.09765625" style="1544" customWidth="1"/>
    <col min="14857" max="15104" width="9" style="1544"/>
    <col min="15105" max="15105" width="5.19921875" style="1544" customWidth="1"/>
    <col min="15106" max="15106" width="48.09765625" style="1544" customWidth="1"/>
    <col min="15107" max="15110" width="6.59765625" style="1544" customWidth="1"/>
    <col min="15111" max="15111" width="31.5" style="1544" customWidth="1"/>
    <col min="15112" max="15112" width="30.09765625" style="1544" customWidth="1"/>
    <col min="15113" max="15360" width="9" style="1544"/>
    <col min="15361" max="15361" width="5.19921875" style="1544" customWidth="1"/>
    <col min="15362" max="15362" width="48.09765625" style="1544" customWidth="1"/>
    <col min="15363" max="15366" width="6.59765625" style="1544" customWidth="1"/>
    <col min="15367" max="15367" width="31.5" style="1544" customWidth="1"/>
    <col min="15368" max="15368" width="30.09765625" style="1544" customWidth="1"/>
    <col min="15369" max="15616" width="9" style="1544"/>
    <col min="15617" max="15617" width="5.19921875" style="1544" customWidth="1"/>
    <col min="15618" max="15618" width="48.09765625" style="1544" customWidth="1"/>
    <col min="15619" max="15622" width="6.59765625" style="1544" customWidth="1"/>
    <col min="15623" max="15623" width="31.5" style="1544" customWidth="1"/>
    <col min="15624" max="15624" width="30.09765625" style="1544" customWidth="1"/>
    <col min="15625" max="15872" width="9" style="1544"/>
    <col min="15873" max="15873" width="5.19921875" style="1544" customWidth="1"/>
    <col min="15874" max="15874" width="48.09765625" style="1544" customWidth="1"/>
    <col min="15875" max="15878" width="6.59765625" style="1544" customWidth="1"/>
    <col min="15879" max="15879" width="31.5" style="1544" customWidth="1"/>
    <col min="15880" max="15880" width="30.09765625" style="1544" customWidth="1"/>
    <col min="15881" max="16128" width="9" style="1544"/>
    <col min="16129" max="16129" width="5.19921875" style="1544" customWidth="1"/>
    <col min="16130" max="16130" width="48.09765625" style="1544" customWidth="1"/>
    <col min="16131" max="16134" width="6.59765625" style="1544" customWidth="1"/>
    <col min="16135" max="16135" width="31.5" style="1544" customWidth="1"/>
    <col min="16136" max="16136" width="30.09765625" style="1544" customWidth="1"/>
    <col min="16137" max="16384" width="9" style="1544"/>
  </cols>
  <sheetData>
    <row r="1" spans="1:8" ht="20.100000000000001" customHeight="1">
      <c r="A1" s="3462" t="s">
        <v>5078</v>
      </c>
      <c r="B1" s="3462"/>
      <c r="C1" s="3462"/>
      <c r="D1" s="3462"/>
      <c r="E1" s="3462"/>
      <c r="F1" s="3462"/>
      <c r="G1" s="2010"/>
    </row>
    <row r="2" spans="1:8" s="1545" customFormat="1" ht="25.5" customHeight="1">
      <c r="A2" s="3401" t="s">
        <v>921</v>
      </c>
      <c r="B2" s="3401"/>
      <c r="C2" s="3401"/>
      <c r="D2" s="3401"/>
      <c r="E2" s="3401"/>
      <c r="F2" s="3401"/>
      <c r="G2" s="1920"/>
    </row>
    <row r="3" spans="1:8" ht="14.25" customHeight="1">
      <c r="A3" s="3942" t="s">
        <v>1853</v>
      </c>
      <c r="B3" s="3942" t="s">
        <v>5079</v>
      </c>
      <c r="C3" s="1922" t="s">
        <v>1850</v>
      </c>
      <c r="D3" s="1922" t="s">
        <v>1851</v>
      </c>
      <c r="E3" s="1922" t="s">
        <v>1462</v>
      </c>
      <c r="F3" s="1922" t="s">
        <v>1463</v>
      </c>
      <c r="G3" s="1928" t="s">
        <v>1857</v>
      </c>
    </row>
    <row r="4" spans="1:8" ht="14.25" customHeight="1">
      <c r="A4" s="3488"/>
      <c r="B4" s="3488"/>
      <c r="C4" s="1922">
        <v>1</v>
      </c>
      <c r="D4" s="1922">
        <v>2</v>
      </c>
      <c r="E4" s="1922">
        <v>3</v>
      </c>
      <c r="F4" s="1922">
        <v>4</v>
      </c>
      <c r="G4" s="1991"/>
    </row>
    <row r="5" spans="1:8" ht="14.25" customHeight="1">
      <c r="A5" s="1922">
        <v>1</v>
      </c>
      <c r="B5" s="1923" t="s">
        <v>5080</v>
      </c>
      <c r="C5" s="1965" t="s">
        <v>1859</v>
      </c>
      <c r="D5" s="1965" t="s">
        <v>1859</v>
      </c>
      <c r="E5" s="2075">
        <f>E6+E7+E8+E10+E11+E12+E14+E15</f>
        <v>0</v>
      </c>
      <c r="F5" s="2075">
        <f>F7+F8+F9+F11+F12+F14+F15</f>
        <v>0</v>
      </c>
      <c r="G5" s="1991"/>
    </row>
    <row r="6" spans="1:8" ht="36.75" customHeight="1">
      <c r="A6" s="1922">
        <v>2</v>
      </c>
      <c r="B6" s="1923" t="s">
        <v>5081</v>
      </c>
      <c r="C6" s="1965" t="s">
        <v>1859</v>
      </c>
      <c r="D6" s="2072">
        <f>A105010视同销售和房地产开发企业特定业务纳税调整明细表!C5</f>
        <v>0</v>
      </c>
      <c r="E6" s="2072">
        <f>A105010视同销售和房地产开发企业特定业务纳税调整明细表!D5</f>
        <v>0</v>
      </c>
      <c r="F6" s="1965" t="s">
        <v>1859</v>
      </c>
      <c r="G6" s="1991" t="s">
        <v>5082</v>
      </c>
    </row>
    <row r="7" spans="1:8" s="1547" customFormat="1" ht="51.75" customHeight="1">
      <c r="A7" s="1922">
        <v>3</v>
      </c>
      <c r="B7" s="1923" t="s">
        <v>5083</v>
      </c>
      <c r="C7" s="2072">
        <f>A105020未按权责发生制确认收入纳税调整明细表!D19</f>
        <v>0</v>
      </c>
      <c r="D7" s="2072">
        <f>A105020未按权责发生制确认收入纳税调整明细表!F19</f>
        <v>0</v>
      </c>
      <c r="E7" s="2075">
        <f>MAX(D7-C7,0)</f>
        <v>0</v>
      </c>
      <c r="F7" s="2075">
        <f>MAX(C7-D7,0)</f>
        <v>0</v>
      </c>
      <c r="G7" s="1991" t="s">
        <v>5084</v>
      </c>
      <c r="H7" s="1546"/>
    </row>
    <row r="8" spans="1:8" s="1547" customFormat="1" ht="58.5" customHeight="1">
      <c r="A8" s="1922">
        <v>4</v>
      </c>
      <c r="B8" s="1923" t="s">
        <v>5085</v>
      </c>
      <c r="C8" s="2072">
        <f>A105030投资收益纳税调整明细表!C15+A105030投资收益纳税调整明细表!J15</f>
        <v>0</v>
      </c>
      <c r="D8" s="2072">
        <f>A105030投资收益纳税调整明细表!D15+A105030投资收益纳税调整明细表!K15</f>
        <v>0</v>
      </c>
      <c r="E8" s="2075">
        <f>MAX(0,D8-C8)</f>
        <v>0</v>
      </c>
      <c r="F8" s="2081">
        <f>MAX(0,C8-D8)</f>
        <v>0</v>
      </c>
      <c r="G8" s="1991" t="s">
        <v>5086</v>
      </c>
      <c r="H8" s="1546"/>
    </row>
    <row r="9" spans="1:8" s="1547" customFormat="1" ht="14.25" customHeight="1">
      <c r="A9" s="1924">
        <v>5</v>
      </c>
      <c r="B9" s="1925" t="s">
        <v>5087</v>
      </c>
      <c r="C9" s="1990" t="s">
        <v>1859</v>
      </c>
      <c r="D9" s="1990" t="s">
        <v>1859</v>
      </c>
      <c r="E9" s="1990" t="s">
        <v>1859</v>
      </c>
      <c r="F9" s="2073">
        <f>-其他事项!F11</f>
        <v>0</v>
      </c>
      <c r="G9" s="1991"/>
    </row>
    <row r="10" spans="1:8" s="1547" customFormat="1" ht="14.25" customHeight="1">
      <c r="A10" s="1922">
        <v>6</v>
      </c>
      <c r="B10" s="1923" t="s">
        <v>5088</v>
      </c>
      <c r="C10" s="1924" t="s">
        <v>1859</v>
      </c>
      <c r="D10" s="1924" t="s">
        <v>1859</v>
      </c>
      <c r="E10" s="2072">
        <f>其他事项!F12</f>
        <v>0</v>
      </c>
      <c r="F10" s="1965" t="s">
        <v>1859</v>
      </c>
      <c r="G10" s="1991"/>
    </row>
    <row r="11" spans="1:8" s="1547" customFormat="1" ht="26.25" customHeight="1">
      <c r="A11" s="1922">
        <v>7</v>
      </c>
      <c r="B11" s="1923" t="s">
        <v>5089</v>
      </c>
      <c r="C11" s="2072">
        <f>-公允价值变动审定表!G17</f>
        <v>0</v>
      </c>
      <c r="D11" s="1965" t="s">
        <v>1859</v>
      </c>
      <c r="E11" s="2075">
        <f>MAX(0,-C11)</f>
        <v>0</v>
      </c>
      <c r="F11" s="2075">
        <f>MAX(0,C11)</f>
        <v>0</v>
      </c>
      <c r="G11" s="1991" t="s">
        <v>5090</v>
      </c>
    </row>
    <row r="12" spans="1:8" s="1547" customFormat="1" ht="14.25" customHeight="1">
      <c r="A12" s="1922">
        <v>8</v>
      </c>
      <c r="B12" s="1923" t="s">
        <v>5091</v>
      </c>
      <c r="C12" s="1965" t="s">
        <v>1859</v>
      </c>
      <c r="D12" s="1965" t="s">
        <v>1859</v>
      </c>
      <c r="E12" s="2075">
        <f>MAX(其他事项!F8,0)+MAX(A105040专项用途财政性资金纳税调整表!P13,0)</f>
        <v>0</v>
      </c>
      <c r="F12" s="2075">
        <f>MAX(-其他事项!F8,0)+MAX(A105040专项用途财政性资金纳税调整表!F13,0)</f>
        <v>0</v>
      </c>
      <c r="G12" s="1991"/>
    </row>
    <row r="13" spans="1:8" s="1547" customFormat="1" ht="42.75" customHeight="1">
      <c r="A13" s="1922">
        <v>9</v>
      </c>
      <c r="B13" s="1923" t="s">
        <v>5092</v>
      </c>
      <c r="C13" s="1965" t="s">
        <v>1859</v>
      </c>
      <c r="D13" s="1965" t="s">
        <v>1859</v>
      </c>
      <c r="E13" s="2072">
        <f>A105040专项用途财政性资金纳税调整表!P13</f>
        <v>0</v>
      </c>
      <c r="F13" s="2072">
        <f>A105040专项用途财政性资金纳税调整表!F13</f>
        <v>0</v>
      </c>
      <c r="G13" s="1991" t="s">
        <v>5093</v>
      </c>
    </row>
    <row r="14" spans="1:8" s="1547" customFormat="1" ht="27.75" customHeight="1">
      <c r="A14" s="1922">
        <v>10</v>
      </c>
      <c r="B14" s="1923" t="s">
        <v>5094</v>
      </c>
      <c r="C14" s="2072">
        <f>其他事项!D10</f>
        <v>0</v>
      </c>
      <c r="D14" s="2072">
        <f>其他事项!E10</f>
        <v>0</v>
      </c>
      <c r="E14" s="2075">
        <f>MAX(0,C14-D14)</f>
        <v>0</v>
      </c>
      <c r="F14" s="2075">
        <f>MAX(0,D14-C14)</f>
        <v>0</v>
      </c>
      <c r="G14" s="1991" t="s">
        <v>5095</v>
      </c>
    </row>
    <row r="15" spans="1:8" ht="34.5" customHeight="1">
      <c r="A15" s="1922">
        <v>11</v>
      </c>
      <c r="B15" s="1923" t="s">
        <v>5096</v>
      </c>
      <c r="C15" s="2072">
        <f>其他事项!D7</f>
        <v>0</v>
      </c>
      <c r="D15" s="2072">
        <f>其他事项!E7</f>
        <v>0</v>
      </c>
      <c r="E15" s="2075">
        <f>MAX(0,D15-C15)</f>
        <v>0</v>
      </c>
      <c r="F15" s="2075">
        <f>MAX(0,C15-D15)</f>
        <v>0</v>
      </c>
      <c r="G15" s="1991" t="s">
        <v>5097</v>
      </c>
    </row>
    <row r="16" spans="1:8" s="1547" customFormat="1" ht="28.5" customHeight="1">
      <c r="A16" s="1924">
        <v>12</v>
      </c>
      <c r="B16" s="1925" t="s">
        <v>5098</v>
      </c>
      <c r="C16" s="1924" t="s">
        <v>1859</v>
      </c>
      <c r="D16" s="1924" t="s">
        <v>1859</v>
      </c>
      <c r="E16" s="2078">
        <f>SUM(E17:E28,E30:E33)</f>
        <v>0</v>
      </c>
      <c r="F16" s="2078">
        <f>SUM(F17:F28,F30:F33)</f>
        <v>0</v>
      </c>
      <c r="G16" s="1991"/>
    </row>
    <row r="17" spans="1:8" s="1547" customFormat="1" ht="35.25" customHeight="1">
      <c r="A17" s="1922">
        <v>13</v>
      </c>
      <c r="B17" s="1923" t="s">
        <v>5099</v>
      </c>
      <c r="C17" s="1965" t="s">
        <v>1859</v>
      </c>
      <c r="D17" s="2072">
        <f>A105010视同销售和房地产开发企业特定业务纳税调整明细表!C15</f>
        <v>0</v>
      </c>
      <c r="E17" s="1965" t="s">
        <v>1859</v>
      </c>
      <c r="F17" s="2075">
        <f>ABS(A105010视同销售和房地产开发企业特定业务纳税调整明细表!D15)</f>
        <v>0</v>
      </c>
      <c r="G17" s="1991" t="s">
        <v>5100</v>
      </c>
    </row>
    <row r="18" spans="1:8" s="1547" customFormat="1" ht="59.25" customHeight="1">
      <c r="A18" s="1922">
        <v>14</v>
      </c>
      <c r="B18" s="1923" t="s">
        <v>5101</v>
      </c>
      <c r="C18" s="2072">
        <f>A105050职工薪酬纳税调整明细表!C17</f>
        <v>0</v>
      </c>
      <c r="D18" s="2072">
        <f>A105050职工薪酬纳税调整明细表!F17</f>
        <v>0</v>
      </c>
      <c r="E18" s="2075">
        <f>MAX(0,C18-D18)</f>
        <v>0</v>
      </c>
      <c r="F18" s="2075">
        <f>MAX(0,D18-C18)</f>
        <v>0</v>
      </c>
      <c r="G18" s="1991" t="s">
        <v>5102</v>
      </c>
      <c r="H18" s="1546"/>
    </row>
    <row r="19" spans="1:8" s="1547" customFormat="1" ht="27.75" customHeight="1">
      <c r="A19" s="1922">
        <v>15</v>
      </c>
      <c r="B19" s="1923" t="s">
        <v>5103</v>
      </c>
      <c r="C19" s="2072">
        <f>招待!J15</f>
        <v>0</v>
      </c>
      <c r="D19" s="2072">
        <f>招待!J22</f>
        <v>0</v>
      </c>
      <c r="E19" s="2075">
        <f>C19-D19</f>
        <v>0</v>
      </c>
      <c r="F19" s="1965" t="s">
        <v>1859</v>
      </c>
      <c r="G19" s="1991" t="s">
        <v>5104</v>
      </c>
    </row>
    <row r="20" spans="1:8" s="1547" customFormat="1" ht="45" customHeight="1">
      <c r="A20" s="1922">
        <v>16</v>
      </c>
      <c r="B20" s="1923" t="s">
        <v>5105</v>
      </c>
      <c r="C20" s="1965" t="s">
        <v>6512</v>
      </c>
      <c r="D20" s="1965" t="s">
        <v>1859</v>
      </c>
      <c r="E20" s="2075">
        <f>MAX(0,A105060广告费和业务宣传费跨年度纳税调整明细表!C15)</f>
        <v>0</v>
      </c>
      <c r="F20" s="2075">
        <f>MAX(0,-A105060广告费和业务宣传费跨年度纳税调整明细表!C15)</f>
        <v>0</v>
      </c>
      <c r="G20" s="1991" t="s">
        <v>5106</v>
      </c>
    </row>
    <row r="21" spans="1:8" s="1547" customFormat="1" ht="49.5" customHeight="1">
      <c r="A21" s="1922">
        <v>17</v>
      </c>
      <c r="B21" s="1923" t="s">
        <v>5107</v>
      </c>
      <c r="C21" s="2072">
        <f>A105070捐赠支出纳税调整明细表!C25+A105070捐赠支出纳税调整明细表!G25</f>
        <v>0</v>
      </c>
      <c r="D21" s="2072">
        <f>A105070捐赠支出纳税调整明细表!E25</f>
        <v>0</v>
      </c>
      <c r="E21" s="2072">
        <f>A105070捐赠支出纳税调整明细表!H25</f>
        <v>0</v>
      </c>
      <c r="F21" s="1965" t="s">
        <v>1859</v>
      </c>
      <c r="G21" s="1991" t="s">
        <v>5108</v>
      </c>
      <c r="H21" s="1546"/>
    </row>
    <row r="22" spans="1:8" s="1547" customFormat="1" ht="14.25" customHeight="1">
      <c r="A22" s="1922">
        <v>18</v>
      </c>
      <c r="B22" s="1923" t="s">
        <v>5109</v>
      </c>
      <c r="C22" s="2072">
        <f>利息!H18</f>
        <v>0</v>
      </c>
      <c r="D22" s="2072">
        <f>利息!I18</f>
        <v>0</v>
      </c>
      <c r="E22" s="2075">
        <f>MAX(0,C22-D22)</f>
        <v>0</v>
      </c>
      <c r="F22" s="2075">
        <f>MAX(0,D22-C22)</f>
        <v>0</v>
      </c>
      <c r="G22" s="1991" t="s">
        <v>5110</v>
      </c>
    </row>
    <row r="23" spans="1:8" s="1547" customFormat="1" ht="14.25" customHeight="1">
      <c r="A23" s="1922">
        <v>19</v>
      </c>
      <c r="B23" s="1923" t="s">
        <v>5111</v>
      </c>
      <c r="C23" s="2072">
        <f>其他事项!D30</f>
        <v>0</v>
      </c>
      <c r="D23" s="1965" t="s">
        <v>1859</v>
      </c>
      <c r="E23" s="2075">
        <f>C23</f>
        <v>0</v>
      </c>
      <c r="F23" s="1965" t="s">
        <v>1859</v>
      </c>
      <c r="G23" s="1991" t="s">
        <v>5112</v>
      </c>
    </row>
    <row r="24" spans="1:8" s="1547" customFormat="1" ht="14.25" customHeight="1">
      <c r="A24" s="1922">
        <v>20</v>
      </c>
      <c r="B24" s="1923" t="s">
        <v>5113</v>
      </c>
      <c r="C24" s="2072">
        <f>其他事项!D29</f>
        <v>0</v>
      </c>
      <c r="D24" s="1965" t="s">
        <v>1859</v>
      </c>
      <c r="E24" s="2075">
        <f>C24</f>
        <v>0</v>
      </c>
      <c r="F24" s="1965" t="s">
        <v>1859</v>
      </c>
      <c r="G24" s="1991" t="s">
        <v>5112</v>
      </c>
    </row>
    <row r="25" spans="1:8" s="1547" customFormat="1" ht="14.25" customHeight="1">
      <c r="A25" s="1922">
        <v>21</v>
      </c>
      <c r="B25" s="1923" t="s">
        <v>5114</v>
      </c>
      <c r="C25" s="2072">
        <f>营外收支!E27</f>
        <v>0</v>
      </c>
      <c r="D25" s="1965" t="s">
        <v>1859</v>
      </c>
      <c r="E25" s="2075">
        <f>C25</f>
        <v>0</v>
      </c>
      <c r="F25" s="1965" t="s">
        <v>1859</v>
      </c>
      <c r="G25" s="1991" t="s">
        <v>5112</v>
      </c>
    </row>
    <row r="26" spans="1:8" s="1547" customFormat="1" ht="14.25" customHeight="1">
      <c r="A26" s="1922">
        <v>22</v>
      </c>
      <c r="B26" s="1923" t="s">
        <v>5115</v>
      </c>
      <c r="C26" s="2072">
        <f>其他事项!D39</f>
        <v>0</v>
      </c>
      <c r="D26" s="2072">
        <f>其他事项!E39</f>
        <v>0</v>
      </c>
      <c r="E26" s="2075">
        <f>MAX(0,C26-D26)</f>
        <v>0</v>
      </c>
      <c r="F26" s="2075">
        <f>MAX(0,D26-C26)</f>
        <v>0</v>
      </c>
      <c r="G26" s="1991" t="s">
        <v>5116</v>
      </c>
    </row>
    <row r="27" spans="1:8" s="1547" customFormat="1" ht="14.25" customHeight="1">
      <c r="A27" s="1922">
        <v>23</v>
      </c>
      <c r="B27" s="1923" t="s">
        <v>5117</v>
      </c>
      <c r="C27" s="2072">
        <f>其他事项!D20</f>
        <v>0</v>
      </c>
      <c r="D27" s="2072">
        <f>其他事项!E20</f>
        <v>0</v>
      </c>
      <c r="E27" s="2075">
        <f>C27-D27</f>
        <v>0</v>
      </c>
      <c r="F27" s="1965" t="s">
        <v>1859</v>
      </c>
      <c r="G27" s="1991" t="s">
        <v>5118</v>
      </c>
    </row>
    <row r="28" spans="1:8" ht="14.25" customHeight="1">
      <c r="A28" s="1922">
        <v>24</v>
      </c>
      <c r="B28" s="1923" t="s">
        <v>5119</v>
      </c>
      <c r="C28" s="1965" t="s">
        <v>1859</v>
      </c>
      <c r="D28" s="1965" t="s">
        <v>1859</v>
      </c>
      <c r="E28" s="2072">
        <f>A105040专项用途财政性资金纳税调整表!M13+其他事项!D21</f>
        <v>0</v>
      </c>
      <c r="F28" s="1965" t="s">
        <v>1859</v>
      </c>
      <c r="G28" s="1991"/>
    </row>
    <row r="29" spans="1:8" ht="14.25" customHeight="1">
      <c r="A29" s="1924">
        <v>25</v>
      </c>
      <c r="B29" s="1926" t="s">
        <v>5120</v>
      </c>
      <c r="C29" s="1924" t="s">
        <v>1859</v>
      </c>
      <c r="D29" s="1924" t="s">
        <v>1859</v>
      </c>
      <c r="E29" s="2073">
        <f>A105040专项用途财政性资金纳税调整表!M13</f>
        <v>0</v>
      </c>
      <c r="F29" s="1924" t="s">
        <v>1859</v>
      </c>
      <c r="G29" s="1991" t="s">
        <v>5121</v>
      </c>
    </row>
    <row r="30" spans="1:8" s="1547" customFormat="1" ht="14.25" customHeight="1">
      <c r="A30" s="1922">
        <v>26</v>
      </c>
      <c r="B30" s="1923" t="s">
        <v>6493</v>
      </c>
      <c r="C30" s="2072">
        <f>其他事项!D40</f>
        <v>0</v>
      </c>
      <c r="D30" s="2072">
        <f>其他事项!E40</f>
        <v>0</v>
      </c>
      <c r="E30" s="2075">
        <f>MAX(0,C30-D30)</f>
        <v>0</v>
      </c>
      <c r="F30" s="2075">
        <f>MAX(0,D30-C30)</f>
        <v>0</v>
      </c>
      <c r="G30" s="1991" t="s">
        <v>5116</v>
      </c>
    </row>
    <row r="31" spans="1:8" ht="14.25" customHeight="1">
      <c r="A31" s="1922">
        <v>27</v>
      </c>
      <c r="B31" s="1923" t="s">
        <v>5122</v>
      </c>
      <c r="C31" s="2072">
        <f>其他事项!D24</f>
        <v>0</v>
      </c>
      <c r="D31" s="1965" t="s">
        <v>1859</v>
      </c>
      <c r="E31" s="2075">
        <f>C31</f>
        <v>0</v>
      </c>
      <c r="F31" s="1965" t="s">
        <v>1859</v>
      </c>
      <c r="G31" s="1991"/>
    </row>
    <row r="32" spans="1:8" s="1548" customFormat="1" ht="14.25" customHeight="1">
      <c r="A32" s="1922">
        <v>28</v>
      </c>
      <c r="B32" s="1923" t="s">
        <v>5123</v>
      </c>
      <c r="C32" s="1965" t="s">
        <v>1859</v>
      </c>
      <c r="D32" s="1965" t="s">
        <v>1859</v>
      </c>
      <c r="E32" s="2075">
        <f>A108010境外所得纳税调整后所得明细表!Q15+A108010境外所得纳税调整后所得明细表!R15</f>
        <v>0</v>
      </c>
      <c r="F32" s="1965" t="s">
        <v>1859</v>
      </c>
      <c r="G32" s="1991" t="s">
        <v>5124</v>
      </c>
    </row>
    <row r="33" spans="1:8" ht="14.25" customHeight="1">
      <c r="A33" s="1922">
        <v>29</v>
      </c>
      <c r="B33" s="1923" t="s">
        <v>5125</v>
      </c>
      <c r="C33" s="2072">
        <f>其他事项!D22+其他事项!D23+其他事项!D25+其他事项!D26+其他事项!D28+其他事项!D31+其他事项!D32+其他事项!D34+其他事项!D35+其他事项!D37+其他事项!D38+其他事项!D41+租金!D11</f>
        <v>0</v>
      </c>
      <c r="D33" s="2072">
        <f>其他事项!E27+其他事项!E31+其他事项!E33+其他事项!E35+其他事项!E36+其他事项!E41+租金!D13</f>
        <v>0</v>
      </c>
      <c r="E33" s="2075">
        <f>MAX(0,C33-D33)</f>
        <v>0</v>
      </c>
      <c r="F33" s="2075">
        <f>MAX(0,D33-C33)</f>
        <v>0</v>
      </c>
      <c r="G33" s="1991" t="s">
        <v>5116</v>
      </c>
    </row>
    <row r="34" spans="1:8" s="1547" customFormat="1" ht="14.25" customHeight="1">
      <c r="A34" s="1922">
        <v>30</v>
      </c>
      <c r="B34" s="1923" t="s">
        <v>5126</v>
      </c>
      <c r="C34" s="1965" t="s">
        <v>1859</v>
      </c>
      <c r="D34" s="1965" t="s">
        <v>1859</v>
      </c>
      <c r="E34" s="2075">
        <f ca="1">E35+E36+E37+E38</f>
        <v>0</v>
      </c>
      <c r="F34" s="2075">
        <f ca="1">F35+F36+F37+F38</f>
        <v>0</v>
      </c>
      <c r="G34" s="1991"/>
    </row>
    <row r="35" spans="1:8" s="1547" customFormat="1" ht="60.75" customHeight="1">
      <c r="A35" s="1922">
        <v>31</v>
      </c>
      <c r="B35" s="1923" t="s">
        <v>5127</v>
      </c>
      <c r="C35" s="2072">
        <f>A105080资产折旧、摊销情况及纳税调整明细表!D32</f>
        <v>0</v>
      </c>
      <c r="D35" s="2072">
        <f ca="1">A105080资产折旧、摊销情况及纳税调整明细表!G32+A105080资产折旧、摊销情况及纳税调整明细表!H32</f>
        <v>0</v>
      </c>
      <c r="E35" s="2075">
        <f ca="1">MAX(0,A105080资产折旧、摊销情况及纳税调整明细表!K32)</f>
        <v>0</v>
      </c>
      <c r="F35" s="2075">
        <f ca="1">MAX(0,-A105080资产折旧、摊销情况及纳税调整明细表!K32)</f>
        <v>0</v>
      </c>
      <c r="G35" s="1991" t="s">
        <v>5128</v>
      </c>
      <c r="H35" s="1546"/>
    </row>
    <row r="36" spans="1:8" ht="14.25" customHeight="1">
      <c r="A36" s="1922">
        <v>32</v>
      </c>
      <c r="B36" s="1923" t="s">
        <v>5129</v>
      </c>
      <c r="C36" s="2072">
        <f>减值准备审核表!H22</f>
        <v>0</v>
      </c>
      <c r="D36" s="1965" t="s">
        <v>1859</v>
      </c>
      <c r="E36" s="2075">
        <f>MAX(0,C36)</f>
        <v>0</v>
      </c>
      <c r="F36" s="2075">
        <f>MAX(0,-C36)</f>
        <v>0</v>
      </c>
      <c r="G36" s="1991" t="s">
        <v>5130</v>
      </c>
    </row>
    <row r="37" spans="1:8" s="1547" customFormat="1" ht="61.5" customHeight="1">
      <c r="A37" s="1922">
        <v>33</v>
      </c>
      <c r="B37" s="1923" t="s">
        <v>5131</v>
      </c>
      <c r="C37" s="2072">
        <f>A105090资产损失税前扣除及纳税调整明细表!C18</f>
        <v>0</v>
      </c>
      <c r="D37" s="2072">
        <f>A105090资产损失税前扣除及纳税调整明细表!D18</f>
        <v>0</v>
      </c>
      <c r="E37" s="2075">
        <f>MAX(0,A105090资产损失税前扣除及纳税调整明细表!E18)</f>
        <v>0</v>
      </c>
      <c r="F37" s="2075">
        <f>MAX(0,-A105090资产损失税前扣除及纳税调整明细表!E18)</f>
        <v>0</v>
      </c>
      <c r="G37" s="1991" t="s">
        <v>5132</v>
      </c>
      <c r="H37" s="1546"/>
    </row>
    <row r="38" spans="1:8" s="1547" customFormat="1" ht="14.25" customHeight="1">
      <c r="A38" s="1922">
        <v>34</v>
      </c>
      <c r="B38" s="1923" t="s">
        <v>5133</v>
      </c>
      <c r="C38" s="2072">
        <f>SUM(其他事项!D13:'其他事项'!D15)</f>
        <v>0</v>
      </c>
      <c r="D38" s="2072">
        <f>SUM(其他事项!E13:'其他事项'!E15)</f>
        <v>0</v>
      </c>
      <c r="E38" s="2075">
        <f>MAX(0,C38-D38)</f>
        <v>0</v>
      </c>
      <c r="F38" s="2075">
        <f>MAX(0,D38-C38)</f>
        <v>0</v>
      </c>
      <c r="G38" s="1991" t="s">
        <v>5116</v>
      </c>
    </row>
    <row r="39" spans="1:8" s="1547" customFormat="1" ht="14.25" customHeight="1">
      <c r="A39" s="1922">
        <v>35</v>
      </c>
      <c r="B39" s="1927" t="s">
        <v>5134</v>
      </c>
      <c r="C39" s="1965" t="s">
        <v>1859</v>
      </c>
      <c r="D39" s="1965" t="s">
        <v>1859</v>
      </c>
      <c r="E39" s="2075">
        <f>E40+E41+E42+E43+E44</f>
        <v>0</v>
      </c>
      <c r="F39" s="2075">
        <f>F40+F41+F42+F43+F44</f>
        <v>0</v>
      </c>
      <c r="G39" s="1991"/>
    </row>
    <row r="40" spans="1:8" s="1547" customFormat="1" ht="63" customHeight="1">
      <c r="A40" s="1922">
        <v>36</v>
      </c>
      <c r="B40" s="1923" t="s">
        <v>5135</v>
      </c>
      <c r="C40" s="2072">
        <f>A105100企业重组纳税调整明细表!C19+A105100企业重组纳税调整明细表!F19</f>
        <v>0</v>
      </c>
      <c r="D40" s="2072">
        <f>A105100企业重组纳税调整明细表!D19+A105100企业重组纳税调整明细表!G19</f>
        <v>0</v>
      </c>
      <c r="E40" s="2075">
        <f>MAX(0,A105100企业重组纳税调整明细表!I19)</f>
        <v>0</v>
      </c>
      <c r="F40" s="2075">
        <f>MAX(0,-A105100企业重组纳税调整明细表!I19)</f>
        <v>0</v>
      </c>
      <c r="G40" s="1991" t="s">
        <v>5136</v>
      </c>
      <c r="H40" s="1546"/>
    </row>
    <row r="41" spans="1:8" s="1547" customFormat="1" ht="53.25" customHeight="1">
      <c r="A41" s="1922">
        <v>37</v>
      </c>
      <c r="B41" s="1923" t="s">
        <v>5137</v>
      </c>
      <c r="C41" s="1965" t="s">
        <v>1859</v>
      </c>
      <c r="D41" s="1965" t="s">
        <v>1859</v>
      </c>
      <c r="E41" s="2075">
        <f>MAX(0,A105110政策性搬迁纳税调整明细表!C27)</f>
        <v>0</v>
      </c>
      <c r="F41" s="2075">
        <f>MAX(0,-A105110政策性搬迁纳税调整明细表!C27)</f>
        <v>0</v>
      </c>
      <c r="G41" s="1991" t="s">
        <v>5138</v>
      </c>
    </row>
    <row r="42" spans="1:8" s="1547" customFormat="1" ht="63" customHeight="1">
      <c r="A42" s="1922">
        <v>38</v>
      </c>
      <c r="B42" s="1927" t="s">
        <v>5139</v>
      </c>
      <c r="C42" s="2072">
        <f>A105120特殊行业准备金纳税调整明细表!C34</f>
        <v>0</v>
      </c>
      <c r="D42" s="2072">
        <f>A105120特殊行业准备金纳税调整明细表!D34</f>
        <v>0</v>
      </c>
      <c r="E42" s="2075">
        <f>MAX(0,A105120特殊行业准备金纳税调整明细表!E34)</f>
        <v>0</v>
      </c>
      <c r="F42" s="2075">
        <f>MAX(0,-A105120特殊行业准备金纳税调整明细表!E34)</f>
        <v>0</v>
      </c>
      <c r="G42" s="1991" t="s">
        <v>5140</v>
      </c>
      <c r="H42" s="1546"/>
    </row>
    <row r="43" spans="1:8" s="1547" customFormat="1" ht="51.75" customHeight="1">
      <c r="A43" s="1924">
        <v>39</v>
      </c>
      <c r="B43" s="1926" t="s">
        <v>5141</v>
      </c>
      <c r="C43" s="1924" t="s">
        <v>1859</v>
      </c>
      <c r="D43" s="2073">
        <f>A105010视同销售和房地产开发企业特定业务纳税调整明细表!C25</f>
        <v>0</v>
      </c>
      <c r="E43" s="2078">
        <f>MAX(0,A105010视同销售和房地产开发企业特定业务纳税调整明细表!D25)</f>
        <v>0</v>
      </c>
      <c r="F43" s="2078">
        <f>MAX(0,-A105010视同销售和房地产开发企业特定业务纳税调整明细表!D25)</f>
        <v>0</v>
      </c>
      <c r="G43" s="1991" t="s">
        <v>5142</v>
      </c>
      <c r="H43" s="1546"/>
    </row>
    <row r="44" spans="1:8" s="1547" customFormat="1" ht="14.25" customHeight="1">
      <c r="A44" s="1922">
        <v>40</v>
      </c>
      <c r="B44" s="1923" t="s">
        <v>5143</v>
      </c>
      <c r="C44" s="1965" t="s">
        <v>1859</v>
      </c>
      <c r="D44" s="1965" t="s">
        <v>1859</v>
      </c>
      <c r="E44" s="2075">
        <f>MAX(0,其他事项!F17)</f>
        <v>0</v>
      </c>
      <c r="F44" s="2075">
        <f>MAX(0,-其他事项!F17)</f>
        <v>0</v>
      </c>
      <c r="G44" s="1991"/>
    </row>
    <row r="45" spans="1:8" s="1547" customFormat="1" ht="14.25" customHeight="1">
      <c r="A45" s="1922">
        <v>41</v>
      </c>
      <c r="B45" s="1923" t="s">
        <v>5144</v>
      </c>
      <c r="C45" s="1965" t="s">
        <v>1859</v>
      </c>
      <c r="D45" s="1965" t="s">
        <v>1859</v>
      </c>
      <c r="E45" s="2075">
        <f>MAX(0,其他事项!F18)</f>
        <v>0</v>
      </c>
      <c r="F45" s="2075">
        <f>MAX(0,-其他事项!F18)</f>
        <v>0</v>
      </c>
      <c r="G45" s="1991"/>
    </row>
    <row r="46" spans="1:8" s="1547" customFormat="1" ht="14.25" customHeight="1">
      <c r="A46" s="1922">
        <v>42</v>
      </c>
      <c r="B46" s="1923" t="s">
        <v>5145</v>
      </c>
      <c r="C46" s="1965" t="s">
        <v>1859</v>
      </c>
      <c r="D46" s="1965" t="s">
        <v>1859</v>
      </c>
      <c r="E46" s="2075">
        <f>MAX(0,其他事项!F19)</f>
        <v>0</v>
      </c>
      <c r="F46" s="2075">
        <f>MAX(0,-其他事项!F19)</f>
        <v>0</v>
      </c>
      <c r="G46" s="1991"/>
    </row>
    <row r="47" spans="1:8" s="1547" customFormat="1" ht="35.25" customHeight="1">
      <c r="A47" s="1922">
        <v>43</v>
      </c>
      <c r="B47" s="1923" t="s">
        <v>5146</v>
      </c>
      <c r="C47" s="1965" t="s">
        <v>1859</v>
      </c>
      <c r="D47" s="1965" t="s">
        <v>1859</v>
      </c>
      <c r="E47" s="2075">
        <f ca="1">E5+E16+E34+E39+E45+E46</f>
        <v>0</v>
      </c>
      <c r="F47" s="2075">
        <f ca="1">F5+F16+F34+F39+F45+F46</f>
        <v>0</v>
      </c>
      <c r="G47" s="1991" t="s">
        <v>5147</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5.6"/>
  <cols>
    <col min="1" max="1" width="5.19921875" style="1555" customWidth="1"/>
    <col min="2" max="2" width="54.19921875" style="1551" customWidth="1"/>
    <col min="3" max="4" width="12.69921875" style="1555" customWidth="1"/>
    <col min="5" max="5" width="26.8984375" style="1551" customWidth="1"/>
    <col min="6" max="256" width="9" style="1551"/>
    <col min="257" max="257" width="5.19921875" style="1551" customWidth="1"/>
    <col min="258" max="258" width="54.19921875" style="1551" customWidth="1"/>
    <col min="259" max="260" width="10.5" style="1551" customWidth="1"/>
    <col min="261" max="261" width="26.8984375" style="1551" customWidth="1"/>
    <col min="262" max="512" width="9" style="1551"/>
    <col min="513" max="513" width="5.19921875" style="1551" customWidth="1"/>
    <col min="514" max="514" width="54.19921875" style="1551" customWidth="1"/>
    <col min="515" max="516" width="10.5" style="1551" customWidth="1"/>
    <col min="517" max="517" width="26.8984375" style="1551" customWidth="1"/>
    <col min="518" max="768" width="9" style="1551"/>
    <col min="769" max="769" width="5.19921875" style="1551" customWidth="1"/>
    <col min="770" max="770" width="54.19921875" style="1551" customWidth="1"/>
    <col min="771" max="772" width="10.5" style="1551" customWidth="1"/>
    <col min="773" max="773" width="26.8984375" style="1551" customWidth="1"/>
    <col min="774" max="1024" width="9" style="1551"/>
    <col min="1025" max="1025" width="5.19921875" style="1551" customWidth="1"/>
    <col min="1026" max="1026" width="54.19921875" style="1551" customWidth="1"/>
    <col min="1027" max="1028" width="10.5" style="1551" customWidth="1"/>
    <col min="1029" max="1029" width="26.8984375" style="1551" customWidth="1"/>
    <col min="1030" max="1280" width="9" style="1551"/>
    <col min="1281" max="1281" width="5.19921875" style="1551" customWidth="1"/>
    <col min="1282" max="1282" width="54.19921875" style="1551" customWidth="1"/>
    <col min="1283" max="1284" width="10.5" style="1551" customWidth="1"/>
    <col min="1285" max="1285" width="26.8984375" style="1551" customWidth="1"/>
    <col min="1286" max="1536" width="9" style="1551"/>
    <col min="1537" max="1537" width="5.19921875" style="1551" customWidth="1"/>
    <col min="1538" max="1538" width="54.19921875" style="1551" customWidth="1"/>
    <col min="1539" max="1540" width="10.5" style="1551" customWidth="1"/>
    <col min="1541" max="1541" width="26.8984375" style="1551" customWidth="1"/>
    <col min="1542" max="1792" width="9" style="1551"/>
    <col min="1793" max="1793" width="5.19921875" style="1551" customWidth="1"/>
    <col min="1794" max="1794" width="54.19921875" style="1551" customWidth="1"/>
    <col min="1795" max="1796" width="10.5" style="1551" customWidth="1"/>
    <col min="1797" max="1797" width="26.8984375" style="1551" customWidth="1"/>
    <col min="1798" max="2048" width="9" style="1551"/>
    <col min="2049" max="2049" width="5.19921875" style="1551" customWidth="1"/>
    <col min="2050" max="2050" width="54.19921875" style="1551" customWidth="1"/>
    <col min="2051" max="2052" width="10.5" style="1551" customWidth="1"/>
    <col min="2053" max="2053" width="26.8984375" style="1551" customWidth="1"/>
    <col min="2054" max="2304" width="9" style="1551"/>
    <col min="2305" max="2305" width="5.19921875" style="1551" customWidth="1"/>
    <col min="2306" max="2306" width="54.19921875" style="1551" customWidth="1"/>
    <col min="2307" max="2308" width="10.5" style="1551" customWidth="1"/>
    <col min="2309" max="2309" width="26.8984375" style="1551" customWidth="1"/>
    <col min="2310" max="2560" width="9" style="1551"/>
    <col min="2561" max="2561" width="5.19921875" style="1551" customWidth="1"/>
    <col min="2562" max="2562" width="54.19921875" style="1551" customWidth="1"/>
    <col min="2563" max="2564" width="10.5" style="1551" customWidth="1"/>
    <col min="2565" max="2565" width="26.8984375" style="1551" customWidth="1"/>
    <col min="2566" max="2816" width="9" style="1551"/>
    <col min="2817" max="2817" width="5.19921875" style="1551" customWidth="1"/>
    <col min="2818" max="2818" width="54.19921875" style="1551" customWidth="1"/>
    <col min="2819" max="2820" width="10.5" style="1551" customWidth="1"/>
    <col min="2821" max="2821" width="26.8984375" style="1551" customWidth="1"/>
    <col min="2822" max="3072" width="9" style="1551"/>
    <col min="3073" max="3073" width="5.19921875" style="1551" customWidth="1"/>
    <col min="3074" max="3074" width="54.19921875" style="1551" customWidth="1"/>
    <col min="3075" max="3076" width="10.5" style="1551" customWidth="1"/>
    <col min="3077" max="3077" width="26.8984375" style="1551" customWidth="1"/>
    <col min="3078" max="3328" width="9" style="1551"/>
    <col min="3329" max="3329" width="5.19921875" style="1551" customWidth="1"/>
    <col min="3330" max="3330" width="54.19921875" style="1551" customWidth="1"/>
    <col min="3331" max="3332" width="10.5" style="1551" customWidth="1"/>
    <col min="3333" max="3333" width="26.8984375" style="1551" customWidth="1"/>
    <col min="3334" max="3584" width="9" style="1551"/>
    <col min="3585" max="3585" width="5.19921875" style="1551" customWidth="1"/>
    <col min="3586" max="3586" width="54.19921875" style="1551" customWidth="1"/>
    <col min="3587" max="3588" width="10.5" style="1551" customWidth="1"/>
    <col min="3589" max="3589" width="26.8984375" style="1551" customWidth="1"/>
    <col min="3590" max="3840" width="9" style="1551"/>
    <col min="3841" max="3841" width="5.19921875" style="1551" customWidth="1"/>
    <col min="3842" max="3842" width="54.19921875" style="1551" customWidth="1"/>
    <col min="3843" max="3844" width="10.5" style="1551" customWidth="1"/>
    <col min="3845" max="3845" width="26.8984375" style="1551" customWidth="1"/>
    <col min="3846" max="4096" width="9" style="1551"/>
    <col min="4097" max="4097" width="5.19921875" style="1551" customWidth="1"/>
    <col min="4098" max="4098" width="54.19921875" style="1551" customWidth="1"/>
    <col min="4099" max="4100" width="10.5" style="1551" customWidth="1"/>
    <col min="4101" max="4101" width="26.8984375" style="1551" customWidth="1"/>
    <col min="4102" max="4352" width="9" style="1551"/>
    <col min="4353" max="4353" width="5.19921875" style="1551" customWidth="1"/>
    <col min="4354" max="4354" width="54.19921875" style="1551" customWidth="1"/>
    <col min="4355" max="4356" width="10.5" style="1551" customWidth="1"/>
    <col min="4357" max="4357" width="26.8984375" style="1551" customWidth="1"/>
    <col min="4358" max="4608" width="9" style="1551"/>
    <col min="4609" max="4609" width="5.19921875" style="1551" customWidth="1"/>
    <col min="4610" max="4610" width="54.19921875" style="1551" customWidth="1"/>
    <col min="4611" max="4612" width="10.5" style="1551" customWidth="1"/>
    <col min="4613" max="4613" width="26.8984375" style="1551" customWidth="1"/>
    <col min="4614" max="4864" width="9" style="1551"/>
    <col min="4865" max="4865" width="5.19921875" style="1551" customWidth="1"/>
    <col min="4866" max="4866" width="54.19921875" style="1551" customWidth="1"/>
    <col min="4867" max="4868" width="10.5" style="1551" customWidth="1"/>
    <col min="4869" max="4869" width="26.8984375" style="1551" customWidth="1"/>
    <col min="4870" max="5120" width="9" style="1551"/>
    <col min="5121" max="5121" width="5.19921875" style="1551" customWidth="1"/>
    <col min="5122" max="5122" width="54.19921875" style="1551" customWidth="1"/>
    <col min="5123" max="5124" width="10.5" style="1551" customWidth="1"/>
    <col min="5125" max="5125" width="26.8984375" style="1551" customWidth="1"/>
    <col min="5126" max="5376" width="9" style="1551"/>
    <col min="5377" max="5377" width="5.19921875" style="1551" customWidth="1"/>
    <col min="5378" max="5378" width="54.19921875" style="1551" customWidth="1"/>
    <col min="5379" max="5380" width="10.5" style="1551" customWidth="1"/>
    <col min="5381" max="5381" width="26.8984375" style="1551" customWidth="1"/>
    <col min="5382" max="5632" width="9" style="1551"/>
    <col min="5633" max="5633" width="5.19921875" style="1551" customWidth="1"/>
    <col min="5634" max="5634" width="54.19921875" style="1551" customWidth="1"/>
    <col min="5635" max="5636" width="10.5" style="1551" customWidth="1"/>
    <col min="5637" max="5637" width="26.8984375" style="1551" customWidth="1"/>
    <col min="5638" max="5888" width="9" style="1551"/>
    <col min="5889" max="5889" width="5.19921875" style="1551" customWidth="1"/>
    <col min="5890" max="5890" width="54.19921875" style="1551" customWidth="1"/>
    <col min="5891" max="5892" width="10.5" style="1551" customWidth="1"/>
    <col min="5893" max="5893" width="26.8984375" style="1551" customWidth="1"/>
    <col min="5894" max="6144" width="9" style="1551"/>
    <col min="6145" max="6145" width="5.19921875" style="1551" customWidth="1"/>
    <col min="6146" max="6146" width="54.19921875" style="1551" customWidth="1"/>
    <col min="6147" max="6148" width="10.5" style="1551" customWidth="1"/>
    <col min="6149" max="6149" width="26.8984375" style="1551" customWidth="1"/>
    <col min="6150" max="6400" width="9" style="1551"/>
    <col min="6401" max="6401" width="5.19921875" style="1551" customWidth="1"/>
    <col min="6402" max="6402" width="54.19921875" style="1551" customWidth="1"/>
    <col min="6403" max="6404" width="10.5" style="1551" customWidth="1"/>
    <col min="6405" max="6405" width="26.8984375" style="1551" customWidth="1"/>
    <col min="6406" max="6656" width="9" style="1551"/>
    <col min="6657" max="6657" width="5.19921875" style="1551" customWidth="1"/>
    <col min="6658" max="6658" width="54.19921875" style="1551" customWidth="1"/>
    <col min="6659" max="6660" width="10.5" style="1551" customWidth="1"/>
    <col min="6661" max="6661" width="26.8984375" style="1551" customWidth="1"/>
    <col min="6662" max="6912" width="9" style="1551"/>
    <col min="6913" max="6913" width="5.19921875" style="1551" customWidth="1"/>
    <col min="6914" max="6914" width="54.19921875" style="1551" customWidth="1"/>
    <col min="6915" max="6916" width="10.5" style="1551" customWidth="1"/>
    <col min="6917" max="6917" width="26.8984375" style="1551" customWidth="1"/>
    <col min="6918" max="7168" width="9" style="1551"/>
    <col min="7169" max="7169" width="5.19921875" style="1551" customWidth="1"/>
    <col min="7170" max="7170" width="54.19921875" style="1551" customWidth="1"/>
    <col min="7171" max="7172" width="10.5" style="1551" customWidth="1"/>
    <col min="7173" max="7173" width="26.8984375" style="1551" customWidth="1"/>
    <col min="7174" max="7424" width="9" style="1551"/>
    <col min="7425" max="7425" width="5.19921875" style="1551" customWidth="1"/>
    <col min="7426" max="7426" width="54.19921875" style="1551" customWidth="1"/>
    <col min="7427" max="7428" width="10.5" style="1551" customWidth="1"/>
    <col min="7429" max="7429" width="26.8984375" style="1551" customWidth="1"/>
    <col min="7430" max="7680" width="9" style="1551"/>
    <col min="7681" max="7681" width="5.19921875" style="1551" customWidth="1"/>
    <col min="7682" max="7682" width="54.19921875" style="1551" customWidth="1"/>
    <col min="7683" max="7684" width="10.5" style="1551" customWidth="1"/>
    <col min="7685" max="7685" width="26.8984375" style="1551" customWidth="1"/>
    <col min="7686" max="7936" width="9" style="1551"/>
    <col min="7937" max="7937" width="5.19921875" style="1551" customWidth="1"/>
    <col min="7938" max="7938" width="54.19921875" style="1551" customWidth="1"/>
    <col min="7939" max="7940" width="10.5" style="1551" customWidth="1"/>
    <col min="7941" max="7941" width="26.8984375" style="1551" customWidth="1"/>
    <col min="7942" max="8192" width="9" style="1551"/>
    <col min="8193" max="8193" width="5.19921875" style="1551" customWidth="1"/>
    <col min="8194" max="8194" width="54.19921875" style="1551" customWidth="1"/>
    <col min="8195" max="8196" width="10.5" style="1551" customWidth="1"/>
    <col min="8197" max="8197" width="26.8984375" style="1551" customWidth="1"/>
    <col min="8198" max="8448" width="9" style="1551"/>
    <col min="8449" max="8449" width="5.19921875" style="1551" customWidth="1"/>
    <col min="8450" max="8450" width="54.19921875" style="1551" customWidth="1"/>
    <col min="8451" max="8452" width="10.5" style="1551" customWidth="1"/>
    <col min="8453" max="8453" width="26.8984375" style="1551" customWidth="1"/>
    <col min="8454" max="8704" width="9" style="1551"/>
    <col min="8705" max="8705" width="5.19921875" style="1551" customWidth="1"/>
    <col min="8706" max="8706" width="54.19921875" style="1551" customWidth="1"/>
    <col min="8707" max="8708" width="10.5" style="1551" customWidth="1"/>
    <col min="8709" max="8709" width="26.8984375" style="1551" customWidth="1"/>
    <col min="8710" max="8960" width="9" style="1551"/>
    <col min="8961" max="8961" width="5.19921875" style="1551" customWidth="1"/>
    <col min="8962" max="8962" width="54.19921875" style="1551" customWidth="1"/>
    <col min="8963" max="8964" width="10.5" style="1551" customWidth="1"/>
    <col min="8965" max="8965" width="26.8984375" style="1551" customWidth="1"/>
    <col min="8966" max="9216" width="9" style="1551"/>
    <col min="9217" max="9217" width="5.19921875" style="1551" customWidth="1"/>
    <col min="9218" max="9218" width="54.19921875" style="1551" customWidth="1"/>
    <col min="9219" max="9220" width="10.5" style="1551" customWidth="1"/>
    <col min="9221" max="9221" width="26.8984375" style="1551" customWidth="1"/>
    <col min="9222" max="9472" width="9" style="1551"/>
    <col min="9473" max="9473" width="5.19921875" style="1551" customWidth="1"/>
    <col min="9474" max="9474" width="54.19921875" style="1551" customWidth="1"/>
    <col min="9475" max="9476" width="10.5" style="1551" customWidth="1"/>
    <col min="9477" max="9477" width="26.8984375" style="1551" customWidth="1"/>
    <col min="9478" max="9728" width="9" style="1551"/>
    <col min="9729" max="9729" width="5.19921875" style="1551" customWidth="1"/>
    <col min="9730" max="9730" width="54.19921875" style="1551" customWidth="1"/>
    <col min="9731" max="9732" width="10.5" style="1551" customWidth="1"/>
    <col min="9733" max="9733" width="26.8984375" style="1551" customWidth="1"/>
    <col min="9734" max="9984" width="9" style="1551"/>
    <col min="9985" max="9985" width="5.19921875" style="1551" customWidth="1"/>
    <col min="9986" max="9986" width="54.19921875" style="1551" customWidth="1"/>
    <col min="9987" max="9988" width="10.5" style="1551" customWidth="1"/>
    <col min="9989" max="9989" width="26.8984375" style="1551" customWidth="1"/>
    <col min="9990" max="10240" width="9" style="1551"/>
    <col min="10241" max="10241" width="5.19921875" style="1551" customWidth="1"/>
    <col min="10242" max="10242" width="54.19921875" style="1551" customWidth="1"/>
    <col min="10243" max="10244" width="10.5" style="1551" customWidth="1"/>
    <col min="10245" max="10245" width="26.8984375" style="1551" customWidth="1"/>
    <col min="10246" max="10496" width="9" style="1551"/>
    <col min="10497" max="10497" width="5.19921875" style="1551" customWidth="1"/>
    <col min="10498" max="10498" width="54.19921875" style="1551" customWidth="1"/>
    <col min="10499" max="10500" width="10.5" style="1551" customWidth="1"/>
    <col min="10501" max="10501" width="26.8984375" style="1551" customWidth="1"/>
    <col min="10502" max="10752" width="9" style="1551"/>
    <col min="10753" max="10753" width="5.19921875" style="1551" customWidth="1"/>
    <col min="10754" max="10754" width="54.19921875" style="1551" customWidth="1"/>
    <col min="10755" max="10756" width="10.5" style="1551" customWidth="1"/>
    <col min="10757" max="10757" width="26.8984375" style="1551" customWidth="1"/>
    <col min="10758" max="11008" width="9" style="1551"/>
    <col min="11009" max="11009" width="5.19921875" style="1551" customWidth="1"/>
    <col min="11010" max="11010" width="54.19921875" style="1551" customWidth="1"/>
    <col min="11011" max="11012" width="10.5" style="1551" customWidth="1"/>
    <col min="11013" max="11013" width="26.8984375" style="1551" customWidth="1"/>
    <col min="11014" max="11264" width="9" style="1551"/>
    <col min="11265" max="11265" width="5.19921875" style="1551" customWidth="1"/>
    <col min="11266" max="11266" width="54.19921875" style="1551" customWidth="1"/>
    <col min="11267" max="11268" width="10.5" style="1551" customWidth="1"/>
    <col min="11269" max="11269" width="26.8984375" style="1551" customWidth="1"/>
    <col min="11270" max="11520" width="9" style="1551"/>
    <col min="11521" max="11521" width="5.19921875" style="1551" customWidth="1"/>
    <col min="11522" max="11522" width="54.19921875" style="1551" customWidth="1"/>
    <col min="11523" max="11524" width="10.5" style="1551" customWidth="1"/>
    <col min="11525" max="11525" width="26.8984375" style="1551" customWidth="1"/>
    <col min="11526" max="11776" width="9" style="1551"/>
    <col min="11777" max="11777" width="5.19921875" style="1551" customWidth="1"/>
    <col min="11778" max="11778" width="54.19921875" style="1551" customWidth="1"/>
    <col min="11779" max="11780" width="10.5" style="1551" customWidth="1"/>
    <col min="11781" max="11781" width="26.8984375" style="1551" customWidth="1"/>
    <col min="11782" max="12032" width="9" style="1551"/>
    <col min="12033" max="12033" width="5.19921875" style="1551" customWidth="1"/>
    <col min="12034" max="12034" width="54.19921875" style="1551" customWidth="1"/>
    <col min="12035" max="12036" width="10.5" style="1551" customWidth="1"/>
    <col min="12037" max="12037" width="26.8984375" style="1551" customWidth="1"/>
    <col min="12038" max="12288" width="9" style="1551"/>
    <col min="12289" max="12289" width="5.19921875" style="1551" customWidth="1"/>
    <col min="12290" max="12290" width="54.19921875" style="1551" customWidth="1"/>
    <col min="12291" max="12292" width="10.5" style="1551" customWidth="1"/>
    <col min="12293" max="12293" width="26.8984375" style="1551" customWidth="1"/>
    <col min="12294" max="12544" width="9" style="1551"/>
    <col min="12545" max="12545" width="5.19921875" style="1551" customWidth="1"/>
    <col min="12546" max="12546" width="54.19921875" style="1551" customWidth="1"/>
    <col min="12547" max="12548" width="10.5" style="1551" customWidth="1"/>
    <col min="12549" max="12549" width="26.8984375" style="1551" customWidth="1"/>
    <col min="12550" max="12800" width="9" style="1551"/>
    <col min="12801" max="12801" width="5.19921875" style="1551" customWidth="1"/>
    <col min="12802" max="12802" width="54.19921875" style="1551" customWidth="1"/>
    <col min="12803" max="12804" width="10.5" style="1551" customWidth="1"/>
    <col min="12805" max="12805" width="26.8984375" style="1551" customWidth="1"/>
    <col min="12806" max="13056" width="9" style="1551"/>
    <col min="13057" max="13057" width="5.19921875" style="1551" customWidth="1"/>
    <col min="13058" max="13058" width="54.19921875" style="1551" customWidth="1"/>
    <col min="13059" max="13060" width="10.5" style="1551" customWidth="1"/>
    <col min="13061" max="13061" width="26.8984375" style="1551" customWidth="1"/>
    <col min="13062" max="13312" width="9" style="1551"/>
    <col min="13313" max="13313" width="5.19921875" style="1551" customWidth="1"/>
    <col min="13314" max="13314" width="54.19921875" style="1551" customWidth="1"/>
    <col min="13315" max="13316" width="10.5" style="1551" customWidth="1"/>
    <col min="13317" max="13317" width="26.8984375" style="1551" customWidth="1"/>
    <col min="13318" max="13568" width="9" style="1551"/>
    <col min="13569" max="13569" width="5.19921875" style="1551" customWidth="1"/>
    <col min="13570" max="13570" width="54.19921875" style="1551" customWidth="1"/>
    <col min="13571" max="13572" width="10.5" style="1551" customWidth="1"/>
    <col min="13573" max="13573" width="26.8984375" style="1551" customWidth="1"/>
    <col min="13574" max="13824" width="9" style="1551"/>
    <col min="13825" max="13825" width="5.19921875" style="1551" customWidth="1"/>
    <col min="13826" max="13826" width="54.19921875" style="1551" customWidth="1"/>
    <col min="13827" max="13828" width="10.5" style="1551" customWidth="1"/>
    <col min="13829" max="13829" width="26.8984375" style="1551" customWidth="1"/>
    <col min="13830" max="14080" width="9" style="1551"/>
    <col min="14081" max="14081" width="5.19921875" style="1551" customWidth="1"/>
    <col min="14082" max="14082" width="54.19921875" style="1551" customWidth="1"/>
    <col min="14083" max="14084" width="10.5" style="1551" customWidth="1"/>
    <col min="14085" max="14085" width="26.8984375" style="1551" customWidth="1"/>
    <col min="14086" max="14336" width="9" style="1551"/>
    <col min="14337" max="14337" width="5.19921875" style="1551" customWidth="1"/>
    <col min="14338" max="14338" width="54.19921875" style="1551" customWidth="1"/>
    <col min="14339" max="14340" width="10.5" style="1551" customWidth="1"/>
    <col min="14341" max="14341" width="26.8984375" style="1551" customWidth="1"/>
    <col min="14342" max="14592" width="9" style="1551"/>
    <col min="14593" max="14593" width="5.19921875" style="1551" customWidth="1"/>
    <col min="14594" max="14594" width="54.19921875" style="1551" customWidth="1"/>
    <col min="14595" max="14596" width="10.5" style="1551" customWidth="1"/>
    <col min="14597" max="14597" width="26.8984375" style="1551" customWidth="1"/>
    <col min="14598" max="14848" width="9" style="1551"/>
    <col min="14849" max="14849" width="5.19921875" style="1551" customWidth="1"/>
    <col min="14850" max="14850" width="54.19921875" style="1551" customWidth="1"/>
    <col min="14851" max="14852" width="10.5" style="1551" customWidth="1"/>
    <col min="14853" max="14853" width="26.8984375" style="1551" customWidth="1"/>
    <col min="14854" max="15104" width="9" style="1551"/>
    <col min="15105" max="15105" width="5.19921875" style="1551" customWidth="1"/>
    <col min="15106" max="15106" width="54.19921875" style="1551" customWidth="1"/>
    <col min="15107" max="15108" width="10.5" style="1551" customWidth="1"/>
    <col min="15109" max="15109" width="26.8984375" style="1551" customWidth="1"/>
    <col min="15110" max="15360" width="9" style="1551"/>
    <col min="15361" max="15361" width="5.19921875" style="1551" customWidth="1"/>
    <col min="15362" max="15362" width="54.19921875" style="1551" customWidth="1"/>
    <col min="15363" max="15364" width="10.5" style="1551" customWidth="1"/>
    <col min="15365" max="15365" width="26.8984375" style="1551" customWidth="1"/>
    <col min="15366" max="15616" width="9" style="1551"/>
    <col min="15617" max="15617" width="5.19921875" style="1551" customWidth="1"/>
    <col min="15618" max="15618" width="54.19921875" style="1551" customWidth="1"/>
    <col min="15619" max="15620" width="10.5" style="1551" customWidth="1"/>
    <col min="15621" max="15621" width="26.8984375" style="1551" customWidth="1"/>
    <col min="15622" max="15872" width="9" style="1551"/>
    <col min="15873" max="15873" width="5.19921875" style="1551" customWidth="1"/>
    <col min="15874" max="15874" width="54.19921875" style="1551" customWidth="1"/>
    <col min="15875" max="15876" width="10.5" style="1551" customWidth="1"/>
    <col min="15877" max="15877" width="26.8984375" style="1551" customWidth="1"/>
    <col min="15878" max="16128" width="9" style="1551"/>
    <col min="16129" max="16129" width="5.19921875" style="1551" customWidth="1"/>
    <col min="16130" max="16130" width="54.19921875" style="1551" customWidth="1"/>
    <col min="16131" max="16132" width="10.5" style="1551" customWidth="1"/>
    <col min="16133" max="16133" width="26.8984375" style="1551" customWidth="1"/>
    <col min="16134" max="16384" width="9" style="1551"/>
  </cols>
  <sheetData>
    <row r="1" spans="1:6" ht="20.100000000000001" customHeight="1">
      <c r="A1" s="3462" t="s">
        <v>5148</v>
      </c>
      <c r="B1" s="3462"/>
      <c r="C1" s="3462"/>
      <c r="D1" s="3462"/>
      <c r="E1" s="1802"/>
    </row>
    <row r="2" spans="1:6" ht="25.5" customHeight="1">
      <c r="A2" s="3401" t="s">
        <v>5149</v>
      </c>
      <c r="B2" s="3401"/>
      <c r="C2" s="3401"/>
      <c r="D2" s="3401"/>
      <c r="E2" s="1833"/>
    </row>
    <row r="3" spans="1:6" s="1552" customFormat="1" ht="14.25" customHeight="1">
      <c r="A3" s="3399" t="s">
        <v>1853</v>
      </c>
      <c r="B3" s="3399" t="s">
        <v>5079</v>
      </c>
      <c r="C3" s="1840" t="s">
        <v>1851</v>
      </c>
      <c r="D3" s="1840" t="s">
        <v>5150</v>
      </c>
      <c r="E3" s="3399" t="s">
        <v>5151</v>
      </c>
    </row>
    <row r="4" spans="1:6" s="1552" customFormat="1" ht="14.25" customHeight="1">
      <c r="A4" s="3399"/>
      <c r="B4" s="3399"/>
      <c r="C4" s="1840">
        <v>1</v>
      </c>
      <c r="D4" s="1840">
        <v>2</v>
      </c>
      <c r="E4" s="3399"/>
    </row>
    <row r="5" spans="1:6" s="1552" customFormat="1" ht="14.25" customHeight="1">
      <c r="A5" s="1840">
        <v>1</v>
      </c>
      <c r="B5" s="1809" t="s">
        <v>5152</v>
      </c>
      <c r="C5" s="2072">
        <f>视同销售和房地产开发企业特定业务审核表!C8</f>
        <v>0</v>
      </c>
      <c r="D5" s="2072">
        <f>视同销售和房地产开发企业特定业务审核表!D8</f>
        <v>0</v>
      </c>
      <c r="E5" s="1809" t="s">
        <v>5153</v>
      </c>
    </row>
    <row r="6" spans="1:6" s="1552" customFormat="1" ht="14.25" customHeight="1">
      <c r="A6" s="1840">
        <v>2</v>
      </c>
      <c r="B6" s="1809" t="s">
        <v>5154</v>
      </c>
      <c r="C6" s="2072">
        <f>视同销售和房地产开发企业特定业务审核表!C9</f>
        <v>0</v>
      </c>
      <c r="D6" s="2072">
        <f>视同销售和房地产开发企业特定业务审核表!D9</f>
        <v>0</v>
      </c>
      <c r="E6" s="1809" t="s">
        <v>5155</v>
      </c>
    </row>
    <row r="7" spans="1:6" s="1552" customFormat="1" ht="14.25" customHeight="1">
      <c r="A7" s="1840">
        <v>3</v>
      </c>
      <c r="B7" s="1809" t="s">
        <v>5156</v>
      </c>
      <c r="C7" s="2072">
        <f>视同销售和房地产开发企业特定业务审核表!C10</f>
        <v>0</v>
      </c>
      <c r="D7" s="2072">
        <f>视同销售和房地产开发企业特定业务审核表!D10</f>
        <v>0</v>
      </c>
      <c r="E7" s="1809"/>
    </row>
    <row r="8" spans="1:6" s="1552" customFormat="1" ht="14.25" customHeight="1">
      <c r="A8" s="1840">
        <v>4</v>
      </c>
      <c r="B8" s="1809" t="s">
        <v>5157</v>
      </c>
      <c r="C8" s="2072">
        <f>视同销售和房地产开发企业特定业务审核表!C11</f>
        <v>0</v>
      </c>
      <c r="D8" s="2072">
        <f>视同销售和房地产开发企业特定业务审核表!D11</f>
        <v>0</v>
      </c>
      <c r="E8" s="1809"/>
    </row>
    <row r="9" spans="1:6" s="1552" customFormat="1" ht="14.25" customHeight="1">
      <c r="A9" s="1840">
        <v>5</v>
      </c>
      <c r="B9" s="1809" t="s">
        <v>5158</v>
      </c>
      <c r="C9" s="2072">
        <f>视同销售和房地产开发企业特定业务审核表!C12</f>
        <v>0</v>
      </c>
      <c r="D9" s="2072">
        <f>视同销售和房地产开发企业特定业务审核表!D12</f>
        <v>0</v>
      </c>
      <c r="E9" s="1809"/>
    </row>
    <row r="10" spans="1:6" s="1552" customFormat="1" ht="14.25" customHeight="1">
      <c r="A10" s="1840">
        <v>6</v>
      </c>
      <c r="B10" s="1809" t="s">
        <v>5159</v>
      </c>
      <c r="C10" s="2072">
        <f>视同销售和房地产开发企业特定业务审核表!C13</f>
        <v>0</v>
      </c>
      <c r="D10" s="2072">
        <f>视同销售和房地产开发企业特定业务审核表!D13</f>
        <v>0</v>
      </c>
      <c r="E10" s="1809"/>
    </row>
    <row r="11" spans="1:6" s="1552" customFormat="1" ht="14.25" customHeight="1">
      <c r="A11" s="1840">
        <v>7</v>
      </c>
      <c r="B11" s="1809" t="s">
        <v>5160</v>
      </c>
      <c r="C11" s="2072">
        <f>视同销售和房地产开发企业特定业务审核表!C14</f>
        <v>0</v>
      </c>
      <c r="D11" s="2072">
        <f>视同销售和房地产开发企业特定业务审核表!D14</f>
        <v>0</v>
      </c>
      <c r="E11" s="1809"/>
    </row>
    <row r="12" spans="1:6" s="1552" customFormat="1" ht="14.25" customHeight="1">
      <c r="A12" s="1840">
        <v>8</v>
      </c>
      <c r="B12" s="1809" t="s">
        <v>5161</v>
      </c>
      <c r="C12" s="2072">
        <f>视同销售和房地产开发企业特定业务审核表!C15</f>
        <v>0</v>
      </c>
      <c r="D12" s="2072">
        <f>视同销售和房地产开发企业特定业务审核表!D15</f>
        <v>0</v>
      </c>
      <c r="E12" s="1809"/>
      <c r="F12" s="1675" t="s">
        <v>6434</v>
      </c>
    </row>
    <row r="13" spans="1:6" s="1552" customFormat="1" ht="14.25" customHeight="1">
      <c r="A13" s="1840">
        <v>9</v>
      </c>
      <c r="B13" s="1809" t="s">
        <v>5162</v>
      </c>
      <c r="C13" s="2072">
        <f>视同销售和房地产开发企业特定业务审核表!C16</f>
        <v>0</v>
      </c>
      <c r="D13" s="2072">
        <f>视同销售和房地产开发企业特定业务审核表!D16</f>
        <v>0</v>
      </c>
      <c r="E13" s="1809"/>
    </row>
    <row r="14" spans="1:6" s="1552" customFormat="1" ht="14.25" customHeight="1">
      <c r="A14" s="1840">
        <v>10</v>
      </c>
      <c r="B14" s="1809" t="s">
        <v>5163</v>
      </c>
      <c r="C14" s="2072">
        <f>视同销售和房地产开发企业特定业务审核表!C17</f>
        <v>0</v>
      </c>
      <c r="D14" s="2072">
        <f>视同销售和房地产开发企业特定业务审核表!D17</f>
        <v>0</v>
      </c>
      <c r="E14" s="1809"/>
    </row>
    <row r="15" spans="1:6" s="1552" customFormat="1" ht="46.5" customHeight="1">
      <c r="A15" s="1840">
        <v>11</v>
      </c>
      <c r="B15" s="1809" t="s">
        <v>5164</v>
      </c>
      <c r="C15" s="2072">
        <f>视同销售和房地产开发企业特定业务审核表!C18</f>
        <v>0</v>
      </c>
      <c r="D15" s="2072">
        <f>视同销售和房地产开发企业特定业务审核表!D18</f>
        <v>0</v>
      </c>
      <c r="E15" s="1810" t="s">
        <v>5165</v>
      </c>
    </row>
    <row r="16" spans="1:6" s="1552" customFormat="1" ht="14.25" customHeight="1">
      <c r="A16" s="1840">
        <v>12</v>
      </c>
      <c r="B16" s="1809" t="s">
        <v>5166</v>
      </c>
      <c r="C16" s="2072">
        <f>视同销售和房地产开发企业特定业务审核表!C19</f>
        <v>0</v>
      </c>
      <c r="D16" s="2072">
        <f>视同销售和房地产开发企业特定业务审核表!D19</f>
        <v>0</v>
      </c>
      <c r="E16" s="1809"/>
    </row>
    <row r="17" spans="1:5" s="1552" customFormat="1" ht="14.25" customHeight="1">
      <c r="A17" s="1840">
        <v>13</v>
      </c>
      <c r="B17" s="1809" t="s">
        <v>5167</v>
      </c>
      <c r="C17" s="2072">
        <f>视同销售和房地产开发企业特定业务审核表!C20</f>
        <v>0</v>
      </c>
      <c r="D17" s="2072">
        <f>视同销售和房地产开发企业特定业务审核表!D20</f>
        <v>0</v>
      </c>
      <c r="E17" s="1809"/>
    </row>
    <row r="18" spans="1:5" s="1552" customFormat="1" ht="14.25" customHeight="1">
      <c r="A18" s="1840">
        <v>14</v>
      </c>
      <c r="B18" s="1809" t="s">
        <v>5168</v>
      </c>
      <c r="C18" s="2072">
        <f>视同销售和房地产开发企业特定业务审核表!C21</f>
        <v>0</v>
      </c>
      <c r="D18" s="2072">
        <f>视同销售和房地产开发企业特定业务审核表!D21</f>
        <v>0</v>
      </c>
      <c r="E18" s="1809"/>
    </row>
    <row r="19" spans="1:5" s="1552" customFormat="1" ht="14.25" customHeight="1">
      <c r="A19" s="1840">
        <v>15</v>
      </c>
      <c r="B19" s="1809" t="s">
        <v>5169</v>
      </c>
      <c r="C19" s="2072">
        <f>视同销售和房地产开发企业特定业务审核表!C22</f>
        <v>0</v>
      </c>
      <c r="D19" s="2072">
        <f>视同销售和房地产开发企业特定业务审核表!D22</f>
        <v>0</v>
      </c>
      <c r="E19" s="1809"/>
    </row>
    <row r="20" spans="1:5" s="1552" customFormat="1" ht="14.25" customHeight="1">
      <c r="A20" s="1840">
        <v>16</v>
      </c>
      <c r="B20" s="1809" t="s">
        <v>5170</v>
      </c>
      <c r="C20" s="2072">
        <f>视同销售和房地产开发企业特定业务审核表!C23</f>
        <v>0</v>
      </c>
      <c r="D20" s="2072">
        <f>视同销售和房地产开发企业特定业务审核表!D23</f>
        <v>0</v>
      </c>
      <c r="E20" s="1809"/>
    </row>
    <row r="21" spans="1:5" s="1552" customFormat="1" ht="14.25" customHeight="1">
      <c r="A21" s="1840">
        <v>17</v>
      </c>
      <c r="B21" s="1811" t="s">
        <v>5171</v>
      </c>
      <c r="C21" s="2072">
        <f>视同销售和房地产开发企业特定业务审核表!C24</f>
        <v>0</v>
      </c>
      <c r="D21" s="2072">
        <f>视同销售和房地产开发企业特定业务审核表!D24</f>
        <v>0</v>
      </c>
      <c r="E21" s="1809"/>
    </row>
    <row r="22" spans="1:5" s="1552" customFormat="1" ht="14.25" customHeight="1">
      <c r="A22" s="1840">
        <v>18</v>
      </c>
      <c r="B22" s="1809" t="s">
        <v>5172</v>
      </c>
      <c r="C22" s="2072">
        <f>视同销售和房地产开发企业特定业务审核表!C25</f>
        <v>0</v>
      </c>
      <c r="D22" s="2072">
        <f>视同销售和房地产开发企业特定业务审核表!D25</f>
        <v>0</v>
      </c>
      <c r="E22" s="1809"/>
    </row>
    <row r="23" spans="1:5" s="1552" customFormat="1" ht="14.25" customHeight="1">
      <c r="A23" s="1840">
        <v>19</v>
      </c>
      <c r="B23" s="1809" t="s">
        <v>5173</v>
      </c>
      <c r="C23" s="2072">
        <f>视同销售和房地产开发企业特定业务审核表!C26</f>
        <v>0</v>
      </c>
      <c r="D23" s="2072">
        <f>视同销售和房地产开发企业特定业务审核表!D26</f>
        <v>0</v>
      </c>
      <c r="E23" s="1809"/>
    </row>
    <row r="24" spans="1:5" s="1552" customFormat="1" ht="14.25" customHeight="1">
      <c r="A24" s="1840">
        <v>20</v>
      </c>
      <c r="B24" s="1809" t="s">
        <v>5163</v>
      </c>
      <c r="C24" s="2072">
        <f>视同销售和房地产开发企业特定业务审核表!C27</f>
        <v>0</v>
      </c>
      <c r="D24" s="2072">
        <f>视同销售和房地产开发企业特定业务审核表!D27</f>
        <v>0</v>
      </c>
      <c r="E24" s="1809"/>
    </row>
    <row r="25" spans="1:5" s="1552" customFormat="1" ht="48.75" customHeight="1">
      <c r="A25" s="1840">
        <v>21</v>
      </c>
      <c r="B25" s="1809" t="s">
        <v>5174</v>
      </c>
      <c r="C25" s="2072">
        <f>视同销售和房地产开发企业特定业务审核表!C28</f>
        <v>0</v>
      </c>
      <c r="D25" s="2072">
        <f>视同销售和房地产开发企业特定业务审核表!D28</f>
        <v>0</v>
      </c>
      <c r="E25" s="1810" t="s">
        <v>5175</v>
      </c>
    </row>
    <row r="26" spans="1:5" s="1552" customFormat="1" ht="21.75" customHeight="1">
      <c r="A26" s="1841">
        <v>22</v>
      </c>
      <c r="B26" s="1813" t="s">
        <v>5176</v>
      </c>
      <c r="C26" s="2072">
        <f>视同销售和房地产开发企业特定业务审核表!C29</f>
        <v>0</v>
      </c>
      <c r="D26" s="2072">
        <f>视同销售和房地产开发企业特定业务审核表!D29</f>
        <v>0</v>
      </c>
      <c r="E26" s="1811"/>
    </row>
    <row r="27" spans="1:5" s="1552" customFormat="1" ht="14.25" customHeight="1">
      <c r="A27" s="1840">
        <v>23</v>
      </c>
      <c r="B27" s="1810" t="s">
        <v>5177</v>
      </c>
      <c r="C27" s="2072">
        <f>视同销售和房地产开发企业特定业务审核表!C30</f>
        <v>0</v>
      </c>
      <c r="D27" s="2065" t="str">
        <f>视同销售和房地产开发企业特定业务审核表!D30</f>
        <v>*</v>
      </c>
      <c r="E27" s="1809"/>
    </row>
    <row r="28" spans="1:5" s="1554" customFormat="1" ht="14.25" customHeight="1">
      <c r="A28" s="1840">
        <v>24</v>
      </c>
      <c r="B28" s="1809" t="s">
        <v>5178</v>
      </c>
      <c r="C28" s="2072">
        <f>视同销售和房地产开发企业特定业务审核表!C31</f>
        <v>0</v>
      </c>
      <c r="D28" s="2072">
        <f>视同销售和房地产开发企业特定业务审核表!D31</f>
        <v>0</v>
      </c>
      <c r="E28" s="1809"/>
    </row>
    <row r="29" spans="1:5" s="1554" customFormat="1" ht="14.25" customHeight="1">
      <c r="A29" s="1840">
        <v>25</v>
      </c>
      <c r="B29" s="1809" t="s">
        <v>5179</v>
      </c>
      <c r="C29" s="2072">
        <f>视同销售和房地产开发企业特定业务审核表!C32</f>
        <v>0</v>
      </c>
      <c r="D29" s="2072">
        <f>视同销售和房地产开发企业特定业务审核表!D32</f>
        <v>0</v>
      </c>
      <c r="E29" s="1809"/>
    </row>
    <row r="30" spans="1:5" s="1554" customFormat="1" ht="14.25" customHeight="1">
      <c r="A30" s="1841">
        <v>26</v>
      </c>
      <c r="B30" s="1813" t="s">
        <v>5180</v>
      </c>
      <c r="C30" s="2072">
        <f>视同销售和房地产开发企业特定业务审核表!C33</f>
        <v>0</v>
      </c>
      <c r="D30" s="2072">
        <f>视同销售和房地产开发企业特定业务审核表!D33</f>
        <v>0</v>
      </c>
      <c r="E30" s="1811"/>
    </row>
    <row r="31" spans="1:5" s="1554" customFormat="1" ht="14.25" customHeight="1">
      <c r="A31" s="1840">
        <v>27</v>
      </c>
      <c r="B31" s="1810" t="s">
        <v>5181</v>
      </c>
      <c r="C31" s="2072">
        <f>视同销售和房地产开发企业特定业务审核表!C34</f>
        <v>0</v>
      </c>
      <c r="D31" s="2065" t="str">
        <f>视同销售和房地产开发企业特定业务审核表!D34</f>
        <v>*</v>
      </c>
      <c r="E31" s="1809"/>
    </row>
    <row r="32" spans="1:5" s="1554" customFormat="1" ht="14.25" customHeight="1">
      <c r="A32" s="1840">
        <v>28</v>
      </c>
      <c r="B32" s="1809" t="s">
        <v>5182</v>
      </c>
      <c r="C32" s="2072">
        <f>视同销售和房地产开发企业特定业务审核表!C35</f>
        <v>0</v>
      </c>
      <c r="D32" s="2072">
        <f>视同销售和房地产开发企业特定业务审核表!D35</f>
        <v>0</v>
      </c>
      <c r="E32" s="1809"/>
    </row>
    <row r="33" spans="1:5" s="1552" customFormat="1" ht="14.25" customHeight="1">
      <c r="A33" s="1840">
        <v>29</v>
      </c>
      <c r="B33" s="1809" t="s">
        <v>5183</v>
      </c>
      <c r="C33" s="2072">
        <f>视同销售和房地产开发企业特定业务审核表!C36</f>
        <v>0</v>
      </c>
      <c r="D33" s="2072">
        <f>视同销售和房地产开发企业特定业务审核表!D36</f>
        <v>0</v>
      </c>
      <c r="E33" s="1809"/>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19921875" style="1557" customWidth="1"/>
    <col min="2" max="2" width="44.19921875" style="1552" customWidth="1"/>
    <col min="3" max="8" width="11.8984375" style="1552" customWidth="1"/>
    <col min="9" max="9" width="16.6992187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551" customFormat="1" ht="20.100000000000001" customHeight="1">
      <c r="A1" s="3400" t="s">
        <v>5184</v>
      </c>
      <c r="B1" s="3400"/>
      <c r="C1" s="3400"/>
      <c r="D1" s="3400"/>
      <c r="E1" s="3400"/>
      <c r="F1" s="3400"/>
      <c r="G1" s="3400"/>
      <c r="H1" s="3400"/>
      <c r="I1" s="1802"/>
    </row>
    <row r="2" spans="1:10" ht="25.5" customHeight="1">
      <c r="A2" s="3401" t="s">
        <v>5185</v>
      </c>
      <c r="B2" s="3401"/>
      <c r="C2" s="3401"/>
      <c r="D2" s="3401"/>
      <c r="E2" s="3401"/>
      <c r="F2" s="3401"/>
      <c r="G2" s="3401"/>
      <c r="H2" s="3401"/>
      <c r="I2" s="1820"/>
    </row>
    <row r="3" spans="1:10" s="1556" customFormat="1" ht="29.25" customHeight="1">
      <c r="A3" s="3402" t="s">
        <v>1853</v>
      </c>
      <c r="B3" s="3402" t="s">
        <v>5079</v>
      </c>
      <c r="C3" s="3405" t="s">
        <v>5186</v>
      </c>
      <c r="D3" s="3399" t="s">
        <v>1850</v>
      </c>
      <c r="E3" s="3399"/>
      <c r="F3" s="3399" t="s">
        <v>1851</v>
      </c>
      <c r="G3" s="3399"/>
      <c r="H3" s="3405" t="s">
        <v>5187</v>
      </c>
      <c r="I3" s="1843" t="s">
        <v>1857</v>
      </c>
    </row>
    <row r="4" spans="1:10" s="1556" customFormat="1" ht="18" customHeight="1">
      <c r="A4" s="3403"/>
      <c r="B4" s="3403"/>
      <c r="C4" s="3406"/>
      <c r="D4" s="1840" t="s">
        <v>5188</v>
      </c>
      <c r="E4" s="1840" t="s">
        <v>5189</v>
      </c>
      <c r="F4" s="1840" t="s">
        <v>5188</v>
      </c>
      <c r="G4" s="1840" t="s">
        <v>5189</v>
      </c>
      <c r="H4" s="3406"/>
      <c r="I4" s="2001"/>
    </row>
    <row r="5" spans="1:10" ht="14.25" customHeight="1">
      <c r="A5" s="3404"/>
      <c r="B5" s="3404"/>
      <c r="C5" s="1844">
        <v>1</v>
      </c>
      <c r="D5" s="1844">
        <v>2</v>
      </c>
      <c r="E5" s="1844">
        <v>3</v>
      </c>
      <c r="F5" s="1844">
        <v>4</v>
      </c>
      <c r="G5" s="1844">
        <v>5</v>
      </c>
      <c r="H5" s="1844" t="s">
        <v>5190</v>
      </c>
      <c r="I5" s="1809"/>
    </row>
    <row r="6" spans="1:10" ht="14.25" customHeight="1">
      <c r="A6" s="1840">
        <v>1</v>
      </c>
      <c r="B6" s="1809" t="s">
        <v>5191</v>
      </c>
      <c r="C6" s="2072">
        <f>未按权责发生制确认收入审核表!C6</f>
        <v>0</v>
      </c>
      <c r="D6" s="2072">
        <f>未按权责发生制确认收入审核表!D6</f>
        <v>0</v>
      </c>
      <c r="E6" s="2072">
        <f>未按权责发生制确认收入审核表!E6</f>
        <v>0</v>
      </c>
      <c r="F6" s="2072">
        <f>未按权责发生制确认收入审核表!F6</f>
        <v>0</v>
      </c>
      <c r="G6" s="2072">
        <f>未按权责发生制确认收入审核表!G6</f>
        <v>0</v>
      </c>
      <c r="H6" s="2072">
        <f>未按权责发生制确认收入审核表!H6</f>
        <v>0</v>
      </c>
      <c r="I6" s="1809"/>
    </row>
    <row r="7" spans="1:10" ht="14.25" customHeight="1">
      <c r="A7" s="1840">
        <v>2</v>
      </c>
      <c r="B7" s="1809" t="s">
        <v>5192</v>
      </c>
      <c r="C7" s="2072">
        <f>未按权责发生制确认收入审核表!C7</f>
        <v>0</v>
      </c>
      <c r="D7" s="2072">
        <f>未按权责发生制确认收入审核表!D7</f>
        <v>0</v>
      </c>
      <c r="E7" s="2072">
        <f>未按权责发生制确认收入审核表!E7</f>
        <v>0</v>
      </c>
      <c r="F7" s="2072">
        <f>未按权责发生制确认收入审核表!F7</f>
        <v>0</v>
      </c>
      <c r="G7" s="2072">
        <f>未按权责发生制确认收入审核表!G7</f>
        <v>0</v>
      </c>
      <c r="H7" s="2072">
        <f>未按权责发生制确认收入审核表!H7</f>
        <v>0</v>
      </c>
      <c r="I7" s="1809"/>
    </row>
    <row r="8" spans="1:10" ht="14.25" customHeight="1">
      <c r="A8" s="1840">
        <v>3</v>
      </c>
      <c r="B8" s="1809" t="s">
        <v>5193</v>
      </c>
      <c r="C8" s="2072">
        <f>未按权责发生制确认收入审核表!C8</f>
        <v>0</v>
      </c>
      <c r="D8" s="2072">
        <f>未按权责发生制确认收入审核表!D8</f>
        <v>0</v>
      </c>
      <c r="E8" s="2072">
        <f>未按权责发生制确认收入审核表!E8</f>
        <v>0</v>
      </c>
      <c r="F8" s="2072">
        <f>未按权责发生制确认收入审核表!F8</f>
        <v>0</v>
      </c>
      <c r="G8" s="2072">
        <f>未按权责发生制确认收入审核表!G8</f>
        <v>0</v>
      </c>
      <c r="H8" s="2072">
        <f>未按权责发生制确认收入审核表!H8</f>
        <v>0</v>
      </c>
      <c r="I8" s="1809"/>
    </row>
    <row r="9" spans="1:10" ht="14.25" customHeight="1">
      <c r="A9" s="1840">
        <v>4</v>
      </c>
      <c r="B9" s="1809" t="s">
        <v>5194</v>
      </c>
      <c r="C9" s="2072">
        <f>未按权责发生制确认收入审核表!C9</f>
        <v>0</v>
      </c>
      <c r="D9" s="2072">
        <f>未按权责发生制确认收入审核表!D9</f>
        <v>0</v>
      </c>
      <c r="E9" s="2072">
        <f>未按权责发生制确认收入审核表!E9</f>
        <v>0</v>
      </c>
      <c r="F9" s="2072">
        <f>未按权责发生制确认收入审核表!F9</f>
        <v>0</v>
      </c>
      <c r="G9" s="2072">
        <f>未按权责发生制确认收入审核表!G9</f>
        <v>0</v>
      </c>
      <c r="H9" s="2072">
        <f>未按权责发生制确认收入审核表!H9</f>
        <v>0</v>
      </c>
      <c r="I9" s="1809"/>
    </row>
    <row r="10" spans="1:10" ht="14.25" customHeight="1">
      <c r="A10" s="1840">
        <v>5</v>
      </c>
      <c r="B10" s="1809" t="s">
        <v>5195</v>
      </c>
      <c r="C10" s="2072">
        <f>未按权责发生制确认收入审核表!C10</f>
        <v>0</v>
      </c>
      <c r="D10" s="2072">
        <f>未按权责发生制确认收入审核表!D10</f>
        <v>0</v>
      </c>
      <c r="E10" s="2072">
        <f>未按权责发生制确认收入审核表!E10</f>
        <v>0</v>
      </c>
      <c r="F10" s="2072">
        <f>未按权责发生制确认收入审核表!F10</f>
        <v>0</v>
      </c>
      <c r="G10" s="2072">
        <f>未按权责发生制确认收入审核表!G10</f>
        <v>0</v>
      </c>
      <c r="H10" s="2072">
        <f>未按权责发生制确认收入审核表!H10</f>
        <v>0</v>
      </c>
      <c r="I10" s="1809"/>
    </row>
    <row r="11" spans="1:10" ht="14.25" customHeight="1">
      <c r="A11" s="1840">
        <v>6</v>
      </c>
      <c r="B11" s="1809" t="s">
        <v>5196</v>
      </c>
      <c r="C11" s="2072">
        <f>未按权责发生制确认收入审核表!C11</f>
        <v>0</v>
      </c>
      <c r="D11" s="2072">
        <f>未按权责发生制确认收入审核表!D11</f>
        <v>0</v>
      </c>
      <c r="E11" s="2072">
        <f>未按权责发生制确认收入审核表!E11</f>
        <v>0</v>
      </c>
      <c r="F11" s="2072">
        <f>未按权责发生制确认收入审核表!F11</f>
        <v>0</v>
      </c>
      <c r="G11" s="2072">
        <f>未按权责发生制确认收入审核表!G11</f>
        <v>0</v>
      </c>
      <c r="H11" s="2072">
        <f>未按权责发生制确认收入审核表!H11</f>
        <v>0</v>
      </c>
      <c r="I11" s="1809"/>
    </row>
    <row r="12" spans="1:10" ht="14.25" customHeight="1">
      <c r="A12" s="1840">
        <v>7</v>
      </c>
      <c r="B12" s="1809" t="s">
        <v>5197</v>
      </c>
      <c r="C12" s="2072">
        <f>未按权责发生制确认收入审核表!C12</f>
        <v>0</v>
      </c>
      <c r="D12" s="2072">
        <f>未按权责发生制确认收入审核表!D12</f>
        <v>0</v>
      </c>
      <c r="E12" s="2072">
        <f>未按权责发生制确认收入审核表!E12</f>
        <v>0</v>
      </c>
      <c r="F12" s="2072">
        <f>未按权责发生制确认收入审核表!F12</f>
        <v>0</v>
      </c>
      <c r="G12" s="2072">
        <f>未按权责发生制确认收入审核表!G12</f>
        <v>0</v>
      </c>
      <c r="H12" s="2072">
        <f>未按权责发生制确认收入审核表!H12</f>
        <v>0</v>
      </c>
      <c r="I12" s="1809"/>
    </row>
    <row r="13" spans="1:10" ht="14.25" customHeight="1">
      <c r="A13" s="1840">
        <v>8</v>
      </c>
      <c r="B13" s="1809" t="s">
        <v>5198</v>
      </c>
      <c r="C13" s="2072">
        <f>未按权责发生制确认收入审核表!C13</f>
        <v>0</v>
      </c>
      <c r="D13" s="2072">
        <f>未按权责发生制确认收入审核表!D13</f>
        <v>0</v>
      </c>
      <c r="E13" s="2072">
        <f>未按权责发生制确认收入审核表!E13</f>
        <v>0</v>
      </c>
      <c r="F13" s="2072">
        <f>未按权责发生制确认收入审核表!F13</f>
        <v>0</v>
      </c>
      <c r="G13" s="2072">
        <f>未按权责发生制确认收入审核表!G13</f>
        <v>0</v>
      </c>
      <c r="H13" s="2072">
        <f>未按权责发生制确认收入审核表!H13</f>
        <v>0</v>
      </c>
      <c r="I13" s="1809"/>
    </row>
    <row r="14" spans="1:10" ht="14.25" customHeight="1">
      <c r="A14" s="1840">
        <v>9</v>
      </c>
      <c r="B14" s="1809" t="s">
        <v>5199</v>
      </c>
      <c r="C14" s="2072">
        <f>未按权责发生制确认收入审核表!C14</f>
        <v>0</v>
      </c>
      <c r="D14" s="2072">
        <f>未按权责发生制确认收入审核表!D14</f>
        <v>0</v>
      </c>
      <c r="E14" s="2072">
        <f>未按权责发生制确认收入审核表!E14</f>
        <v>0</v>
      </c>
      <c r="F14" s="2072">
        <f>未按权责发生制确认收入审核表!F14</f>
        <v>0</v>
      </c>
      <c r="G14" s="2072">
        <f>未按权责发生制确认收入审核表!G14</f>
        <v>0</v>
      </c>
      <c r="H14" s="2072">
        <f>未按权责发生制确认收入审核表!H14</f>
        <v>0</v>
      </c>
      <c r="I14" s="1809"/>
      <c r="J14" s="1675" t="s">
        <v>6436</v>
      </c>
    </row>
    <row r="15" spans="1:10" ht="14.25" customHeight="1">
      <c r="A15" s="1840">
        <v>10</v>
      </c>
      <c r="B15" s="1809" t="s">
        <v>5200</v>
      </c>
      <c r="C15" s="2072">
        <f>未按权责发生制确认收入审核表!C15</f>
        <v>0</v>
      </c>
      <c r="D15" s="2072">
        <f>未按权责发生制确认收入审核表!D15</f>
        <v>0</v>
      </c>
      <c r="E15" s="2072">
        <f>未按权责发生制确认收入审核表!E15</f>
        <v>0</v>
      </c>
      <c r="F15" s="2072">
        <f>未按权责发生制确认收入审核表!F15</f>
        <v>0</v>
      </c>
      <c r="G15" s="2072">
        <f>未按权责发生制确认收入审核表!G15</f>
        <v>0</v>
      </c>
      <c r="H15" s="2072">
        <f>未按权责发生制确认收入审核表!H15</f>
        <v>0</v>
      </c>
      <c r="I15" s="1809"/>
    </row>
    <row r="16" spans="1:10" ht="14.25" customHeight="1">
      <c r="A16" s="1840">
        <v>11</v>
      </c>
      <c r="B16" s="1809" t="s">
        <v>5201</v>
      </c>
      <c r="C16" s="2072">
        <f>未按权责发生制确认收入审核表!C16</f>
        <v>0</v>
      </c>
      <c r="D16" s="2072">
        <f>未按权责发生制确认收入审核表!D16</f>
        <v>0</v>
      </c>
      <c r="E16" s="2072">
        <f>未按权责发生制确认收入审核表!E16</f>
        <v>0</v>
      </c>
      <c r="F16" s="2072">
        <f>未按权责发生制确认收入审核表!F16</f>
        <v>0</v>
      </c>
      <c r="G16" s="2072">
        <f>未按权责发生制确认收入审核表!G16</f>
        <v>0</v>
      </c>
      <c r="H16" s="2072">
        <f>未按权责发生制确认收入审核表!H16</f>
        <v>0</v>
      </c>
      <c r="I16" s="1809"/>
    </row>
    <row r="17" spans="1:9" ht="14.25" customHeight="1">
      <c r="A17" s="1840">
        <v>12</v>
      </c>
      <c r="B17" s="1809" t="s">
        <v>5202</v>
      </c>
      <c r="C17" s="2072">
        <f>未按权责发生制确认收入审核表!C17</f>
        <v>0</v>
      </c>
      <c r="D17" s="2072">
        <f>未按权责发生制确认收入审核表!D17</f>
        <v>0</v>
      </c>
      <c r="E17" s="2072">
        <f>未按权责发生制确认收入审核表!E17</f>
        <v>0</v>
      </c>
      <c r="F17" s="2072">
        <f>未按权责发生制确认收入审核表!F17</f>
        <v>0</v>
      </c>
      <c r="G17" s="2072">
        <f>未按权责发生制确认收入审核表!G17</f>
        <v>0</v>
      </c>
      <c r="H17" s="2072">
        <f>未按权责发生制确认收入审核表!H17</f>
        <v>0</v>
      </c>
      <c r="I17" s="1809"/>
    </row>
    <row r="18" spans="1:9" ht="14.25" customHeight="1">
      <c r="A18" s="1840">
        <v>13</v>
      </c>
      <c r="B18" s="1809" t="s">
        <v>5203</v>
      </c>
      <c r="C18" s="2072">
        <f>未按权责发生制确认收入审核表!C18</f>
        <v>0</v>
      </c>
      <c r="D18" s="2072">
        <f>未按权责发生制确认收入审核表!D18</f>
        <v>0</v>
      </c>
      <c r="E18" s="2072">
        <f>未按权责发生制确认收入审核表!E18</f>
        <v>0</v>
      </c>
      <c r="F18" s="2072">
        <f>未按权责发生制确认收入审核表!F18</f>
        <v>0</v>
      </c>
      <c r="G18" s="2072">
        <f>未按权责发生制确认收入审核表!G18</f>
        <v>0</v>
      </c>
      <c r="H18" s="2072">
        <f>未按权责发生制确认收入审核表!H18</f>
        <v>0</v>
      </c>
      <c r="I18" s="1809"/>
    </row>
    <row r="19" spans="1:9" ht="114" customHeight="1">
      <c r="A19" s="1840">
        <v>14</v>
      </c>
      <c r="B19" s="1809" t="s">
        <v>5204</v>
      </c>
      <c r="C19" s="2072">
        <f>未按权责发生制确认收入审核表!C19</f>
        <v>0</v>
      </c>
      <c r="D19" s="2072">
        <f>未按权责发生制确认收入审核表!D19</f>
        <v>0</v>
      </c>
      <c r="E19" s="2072">
        <f>未按权责发生制确认收入审核表!E19</f>
        <v>0</v>
      </c>
      <c r="F19" s="2072">
        <f>未按权责发生制确认收入审核表!F19</f>
        <v>0</v>
      </c>
      <c r="G19" s="2072">
        <f>未按权责发生制确认收入审核表!G19</f>
        <v>0</v>
      </c>
      <c r="H19" s="2072">
        <f>未按权责发生制确认收入审核表!H19</f>
        <v>0</v>
      </c>
      <c r="I19" s="1810" t="s">
        <v>5205</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5.6"/>
  <cols>
    <col min="1" max="1" width="4.3984375" style="1551" customWidth="1"/>
    <col min="2" max="2" width="17.19921875" style="1551" customWidth="1"/>
    <col min="3" max="13" width="10.59765625" style="1551" customWidth="1"/>
    <col min="14" max="14" width="15.09765625" style="1551" customWidth="1"/>
    <col min="15" max="256" width="9" style="1551"/>
    <col min="257" max="257" width="4.3984375" style="1551" customWidth="1"/>
    <col min="258" max="258" width="20.59765625" style="1551" customWidth="1"/>
    <col min="259" max="259" width="4.5" style="1551" customWidth="1"/>
    <col min="260" max="260" width="4.8984375" style="1551" customWidth="1"/>
    <col min="261" max="268" width="7.8984375" style="1551" customWidth="1"/>
    <col min="269" max="269" width="8.59765625" style="1551" customWidth="1"/>
    <col min="270" max="270" width="15.09765625" style="1551" customWidth="1"/>
    <col min="271" max="512" width="9" style="1551"/>
    <col min="513" max="513" width="4.3984375" style="1551" customWidth="1"/>
    <col min="514" max="514" width="20.59765625" style="1551" customWidth="1"/>
    <col min="515" max="515" width="4.5" style="1551" customWidth="1"/>
    <col min="516" max="516" width="4.8984375" style="1551" customWidth="1"/>
    <col min="517" max="524" width="7.8984375" style="1551" customWidth="1"/>
    <col min="525" max="525" width="8.59765625" style="1551" customWidth="1"/>
    <col min="526" max="526" width="15.09765625" style="1551" customWidth="1"/>
    <col min="527" max="768" width="9" style="1551"/>
    <col min="769" max="769" width="4.3984375" style="1551" customWidth="1"/>
    <col min="770" max="770" width="20.59765625" style="1551" customWidth="1"/>
    <col min="771" max="771" width="4.5" style="1551" customWidth="1"/>
    <col min="772" max="772" width="4.8984375" style="1551" customWidth="1"/>
    <col min="773" max="780" width="7.8984375" style="1551" customWidth="1"/>
    <col min="781" max="781" width="8.59765625" style="1551" customWidth="1"/>
    <col min="782" max="782" width="15.09765625" style="1551" customWidth="1"/>
    <col min="783" max="1024" width="9" style="1551"/>
    <col min="1025" max="1025" width="4.3984375" style="1551" customWidth="1"/>
    <col min="1026" max="1026" width="20.59765625" style="1551" customWidth="1"/>
    <col min="1027" max="1027" width="4.5" style="1551" customWidth="1"/>
    <col min="1028" max="1028" width="4.8984375" style="1551" customWidth="1"/>
    <col min="1029" max="1036" width="7.8984375" style="1551" customWidth="1"/>
    <col min="1037" max="1037" width="8.59765625" style="1551" customWidth="1"/>
    <col min="1038" max="1038" width="15.09765625" style="1551" customWidth="1"/>
    <col min="1039" max="1280" width="9" style="1551"/>
    <col min="1281" max="1281" width="4.3984375" style="1551" customWidth="1"/>
    <col min="1282" max="1282" width="20.59765625" style="1551" customWidth="1"/>
    <col min="1283" max="1283" width="4.5" style="1551" customWidth="1"/>
    <col min="1284" max="1284" width="4.8984375" style="1551" customWidth="1"/>
    <col min="1285" max="1292" width="7.8984375" style="1551" customWidth="1"/>
    <col min="1293" max="1293" width="8.59765625" style="1551" customWidth="1"/>
    <col min="1294" max="1294" width="15.09765625" style="1551" customWidth="1"/>
    <col min="1295" max="1536" width="9" style="1551"/>
    <col min="1537" max="1537" width="4.3984375" style="1551" customWidth="1"/>
    <col min="1538" max="1538" width="20.59765625" style="1551" customWidth="1"/>
    <col min="1539" max="1539" width="4.5" style="1551" customWidth="1"/>
    <col min="1540" max="1540" width="4.8984375" style="1551" customWidth="1"/>
    <col min="1541" max="1548" width="7.8984375" style="1551" customWidth="1"/>
    <col min="1549" max="1549" width="8.59765625" style="1551" customWidth="1"/>
    <col min="1550" max="1550" width="15.09765625" style="1551" customWidth="1"/>
    <col min="1551" max="1792" width="9" style="1551"/>
    <col min="1793" max="1793" width="4.3984375" style="1551" customWidth="1"/>
    <col min="1794" max="1794" width="20.59765625" style="1551" customWidth="1"/>
    <col min="1795" max="1795" width="4.5" style="1551" customWidth="1"/>
    <col min="1796" max="1796" width="4.8984375" style="1551" customWidth="1"/>
    <col min="1797" max="1804" width="7.8984375" style="1551" customWidth="1"/>
    <col min="1805" max="1805" width="8.59765625" style="1551" customWidth="1"/>
    <col min="1806" max="1806" width="15.09765625" style="1551" customWidth="1"/>
    <col min="1807" max="2048" width="9" style="1551"/>
    <col min="2049" max="2049" width="4.3984375" style="1551" customWidth="1"/>
    <col min="2050" max="2050" width="20.59765625" style="1551" customWidth="1"/>
    <col min="2051" max="2051" width="4.5" style="1551" customWidth="1"/>
    <col min="2052" max="2052" width="4.8984375" style="1551" customWidth="1"/>
    <col min="2053" max="2060" width="7.8984375" style="1551" customWidth="1"/>
    <col min="2061" max="2061" width="8.59765625" style="1551" customWidth="1"/>
    <col min="2062" max="2062" width="15.09765625" style="1551" customWidth="1"/>
    <col min="2063" max="2304" width="9" style="1551"/>
    <col min="2305" max="2305" width="4.3984375" style="1551" customWidth="1"/>
    <col min="2306" max="2306" width="20.59765625" style="1551" customWidth="1"/>
    <col min="2307" max="2307" width="4.5" style="1551" customWidth="1"/>
    <col min="2308" max="2308" width="4.8984375" style="1551" customWidth="1"/>
    <col min="2309" max="2316" width="7.8984375" style="1551" customWidth="1"/>
    <col min="2317" max="2317" width="8.59765625" style="1551" customWidth="1"/>
    <col min="2318" max="2318" width="15.09765625" style="1551" customWidth="1"/>
    <col min="2319" max="2560" width="9" style="1551"/>
    <col min="2561" max="2561" width="4.3984375" style="1551" customWidth="1"/>
    <col min="2562" max="2562" width="20.59765625" style="1551" customWidth="1"/>
    <col min="2563" max="2563" width="4.5" style="1551" customWidth="1"/>
    <col min="2564" max="2564" width="4.8984375" style="1551" customWidth="1"/>
    <col min="2565" max="2572" width="7.8984375" style="1551" customWidth="1"/>
    <col min="2573" max="2573" width="8.59765625" style="1551" customWidth="1"/>
    <col min="2574" max="2574" width="15.09765625" style="1551" customWidth="1"/>
    <col min="2575" max="2816" width="9" style="1551"/>
    <col min="2817" max="2817" width="4.3984375" style="1551" customWidth="1"/>
    <col min="2818" max="2818" width="20.59765625" style="1551" customWidth="1"/>
    <col min="2819" max="2819" width="4.5" style="1551" customWidth="1"/>
    <col min="2820" max="2820" width="4.8984375" style="1551" customWidth="1"/>
    <col min="2821" max="2828" width="7.8984375" style="1551" customWidth="1"/>
    <col min="2829" max="2829" width="8.59765625" style="1551" customWidth="1"/>
    <col min="2830" max="2830" width="15.09765625" style="1551" customWidth="1"/>
    <col min="2831" max="3072" width="9" style="1551"/>
    <col min="3073" max="3073" width="4.3984375" style="1551" customWidth="1"/>
    <col min="3074" max="3074" width="20.59765625" style="1551" customWidth="1"/>
    <col min="3075" max="3075" width="4.5" style="1551" customWidth="1"/>
    <col min="3076" max="3076" width="4.8984375" style="1551" customWidth="1"/>
    <col min="3077" max="3084" width="7.8984375" style="1551" customWidth="1"/>
    <col min="3085" max="3085" width="8.59765625" style="1551" customWidth="1"/>
    <col min="3086" max="3086" width="15.09765625" style="1551" customWidth="1"/>
    <col min="3087" max="3328" width="9" style="1551"/>
    <col min="3329" max="3329" width="4.3984375" style="1551" customWidth="1"/>
    <col min="3330" max="3330" width="20.59765625" style="1551" customWidth="1"/>
    <col min="3331" max="3331" width="4.5" style="1551" customWidth="1"/>
    <col min="3332" max="3332" width="4.8984375" style="1551" customWidth="1"/>
    <col min="3333" max="3340" width="7.8984375" style="1551" customWidth="1"/>
    <col min="3341" max="3341" width="8.59765625" style="1551" customWidth="1"/>
    <col min="3342" max="3342" width="15.09765625" style="1551" customWidth="1"/>
    <col min="3343" max="3584" width="9" style="1551"/>
    <col min="3585" max="3585" width="4.3984375" style="1551" customWidth="1"/>
    <col min="3586" max="3586" width="20.59765625" style="1551" customWidth="1"/>
    <col min="3587" max="3587" width="4.5" style="1551" customWidth="1"/>
    <col min="3588" max="3588" width="4.8984375" style="1551" customWidth="1"/>
    <col min="3589" max="3596" width="7.8984375" style="1551" customWidth="1"/>
    <col min="3597" max="3597" width="8.59765625" style="1551" customWidth="1"/>
    <col min="3598" max="3598" width="15.09765625" style="1551" customWidth="1"/>
    <col min="3599" max="3840" width="9" style="1551"/>
    <col min="3841" max="3841" width="4.3984375" style="1551" customWidth="1"/>
    <col min="3842" max="3842" width="20.59765625" style="1551" customWidth="1"/>
    <col min="3843" max="3843" width="4.5" style="1551" customWidth="1"/>
    <col min="3844" max="3844" width="4.8984375" style="1551" customWidth="1"/>
    <col min="3845" max="3852" width="7.8984375" style="1551" customWidth="1"/>
    <col min="3853" max="3853" width="8.59765625" style="1551" customWidth="1"/>
    <col min="3854" max="3854" width="15.09765625" style="1551" customWidth="1"/>
    <col min="3855" max="4096" width="9" style="1551"/>
    <col min="4097" max="4097" width="4.3984375" style="1551" customWidth="1"/>
    <col min="4098" max="4098" width="20.59765625" style="1551" customWidth="1"/>
    <col min="4099" max="4099" width="4.5" style="1551" customWidth="1"/>
    <col min="4100" max="4100" width="4.8984375" style="1551" customWidth="1"/>
    <col min="4101" max="4108" width="7.8984375" style="1551" customWidth="1"/>
    <col min="4109" max="4109" width="8.59765625" style="1551" customWidth="1"/>
    <col min="4110" max="4110" width="15.09765625" style="1551" customWidth="1"/>
    <col min="4111" max="4352" width="9" style="1551"/>
    <col min="4353" max="4353" width="4.3984375" style="1551" customWidth="1"/>
    <col min="4354" max="4354" width="20.59765625" style="1551" customWidth="1"/>
    <col min="4355" max="4355" width="4.5" style="1551" customWidth="1"/>
    <col min="4356" max="4356" width="4.8984375" style="1551" customWidth="1"/>
    <col min="4357" max="4364" width="7.8984375" style="1551" customWidth="1"/>
    <col min="4365" max="4365" width="8.59765625" style="1551" customWidth="1"/>
    <col min="4366" max="4366" width="15.09765625" style="1551" customWidth="1"/>
    <col min="4367" max="4608" width="9" style="1551"/>
    <col min="4609" max="4609" width="4.3984375" style="1551" customWidth="1"/>
    <col min="4610" max="4610" width="20.59765625" style="1551" customWidth="1"/>
    <col min="4611" max="4611" width="4.5" style="1551" customWidth="1"/>
    <col min="4612" max="4612" width="4.8984375" style="1551" customWidth="1"/>
    <col min="4613" max="4620" width="7.8984375" style="1551" customWidth="1"/>
    <col min="4621" max="4621" width="8.59765625" style="1551" customWidth="1"/>
    <col min="4622" max="4622" width="15.09765625" style="1551" customWidth="1"/>
    <col min="4623" max="4864" width="9" style="1551"/>
    <col min="4865" max="4865" width="4.3984375" style="1551" customWidth="1"/>
    <col min="4866" max="4866" width="20.59765625" style="1551" customWidth="1"/>
    <col min="4867" max="4867" width="4.5" style="1551" customWidth="1"/>
    <col min="4868" max="4868" width="4.8984375" style="1551" customWidth="1"/>
    <col min="4869" max="4876" width="7.8984375" style="1551" customWidth="1"/>
    <col min="4877" max="4877" width="8.59765625" style="1551" customWidth="1"/>
    <col min="4878" max="4878" width="15.09765625" style="1551" customWidth="1"/>
    <col min="4879" max="5120" width="9" style="1551"/>
    <col min="5121" max="5121" width="4.3984375" style="1551" customWidth="1"/>
    <col min="5122" max="5122" width="20.59765625" style="1551" customWidth="1"/>
    <col min="5123" max="5123" width="4.5" style="1551" customWidth="1"/>
    <col min="5124" max="5124" width="4.8984375" style="1551" customWidth="1"/>
    <col min="5125" max="5132" width="7.8984375" style="1551" customWidth="1"/>
    <col min="5133" max="5133" width="8.59765625" style="1551" customWidth="1"/>
    <col min="5134" max="5134" width="15.09765625" style="1551" customWidth="1"/>
    <col min="5135" max="5376" width="9" style="1551"/>
    <col min="5377" max="5377" width="4.3984375" style="1551" customWidth="1"/>
    <col min="5378" max="5378" width="20.59765625" style="1551" customWidth="1"/>
    <col min="5379" max="5379" width="4.5" style="1551" customWidth="1"/>
    <col min="5380" max="5380" width="4.8984375" style="1551" customWidth="1"/>
    <col min="5381" max="5388" width="7.8984375" style="1551" customWidth="1"/>
    <col min="5389" max="5389" width="8.59765625" style="1551" customWidth="1"/>
    <col min="5390" max="5390" width="15.09765625" style="1551" customWidth="1"/>
    <col min="5391" max="5632" width="9" style="1551"/>
    <col min="5633" max="5633" width="4.3984375" style="1551" customWidth="1"/>
    <col min="5634" max="5634" width="20.59765625" style="1551" customWidth="1"/>
    <col min="5635" max="5635" width="4.5" style="1551" customWidth="1"/>
    <col min="5636" max="5636" width="4.8984375" style="1551" customWidth="1"/>
    <col min="5637" max="5644" width="7.8984375" style="1551" customWidth="1"/>
    <col min="5645" max="5645" width="8.59765625" style="1551" customWidth="1"/>
    <col min="5646" max="5646" width="15.09765625" style="1551" customWidth="1"/>
    <col min="5647" max="5888" width="9" style="1551"/>
    <col min="5889" max="5889" width="4.3984375" style="1551" customWidth="1"/>
    <col min="5890" max="5890" width="20.59765625" style="1551" customWidth="1"/>
    <col min="5891" max="5891" width="4.5" style="1551" customWidth="1"/>
    <col min="5892" max="5892" width="4.8984375" style="1551" customWidth="1"/>
    <col min="5893" max="5900" width="7.8984375" style="1551" customWidth="1"/>
    <col min="5901" max="5901" width="8.59765625" style="1551" customWidth="1"/>
    <col min="5902" max="5902" width="15.09765625" style="1551" customWidth="1"/>
    <col min="5903" max="6144" width="9" style="1551"/>
    <col min="6145" max="6145" width="4.3984375" style="1551" customWidth="1"/>
    <col min="6146" max="6146" width="20.59765625" style="1551" customWidth="1"/>
    <col min="6147" max="6147" width="4.5" style="1551" customWidth="1"/>
    <col min="6148" max="6148" width="4.8984375" style="1551" customWidth="1"/>
    <col min="6149" max="6156" width="7.8984375" style="1551" customWidth="1"/>
    <col min="6157" max="6157" width="8.59765625" style="1551" customWidth="1"/>
    <col min="6158" max="6158" width="15.09765625" style="1551" customWidth="1"/>
    <col min="6159" max="6400" width="9" style="1551"/>
    <col min="6401" max="6401" width="4.3984375" style="1551" customWidth="1"/>
    <col min="6402" max="6402" width="20.59765625" style="1551" customWidth="1"/>
    <col min="6403" max="6403" width="4.5" style="1551" customWidth="1"/>
    <col min="6404" max="6404" width="4.8984375" style="1551" customWidth="1"/>
    <col min="6405" max="6412" width="7.8984375" style="1551" customWidth="1"/>
    <col min="6413" max="6413" width="8.59765625" style="1551" customWidth="1"/>
    <col min="6414" max="6414" width="15.09765625" style="1551" customWidth="1"/>
    <col min="6415" max="6656" width="9" style="1551"/>
    <col min="6657" max="6657" width="4.3984375" style="1551" customWidth="1"/>
    <col min="6658" max="6658" width="20.59765625" style="1551" customWidth="1"/>
    <col min="6659" max="6659" width="4.5" style="1551" customWidth="1"/>
    <col min="6660" max="6660" width="4.8984375" style="1551" customWidth="1"/>
    <col min="6661" max="6668" width="7.8984375" style="1551" customWidth="1"/>
    <col min="6669" max="6669" width="8.59765625" style="1551" customWidth="1"/>
    <col min="6670" max="6670" width="15.09765625" style="1551" customWidth="1"/>
    <col min="6671" max="6912" width="9" style="1551"/>
    <col min="6913" max="6913" width="4.3984375" style="1551" customWidth="1"/>
    <col min="6914" max="6914" width="20.59765625" style="1551" customWidth="1"/>
    <col min="6915" max="6915" width="4.5" style="1551" customWidth="1"/>
    <col min="6916" max="6916" width="4.8984375" style="1551" customWidth="1"/>
    <col min="6917" max="6924" width="7.8984375" style="1551" customWidth="1"/>
    <col min="6925" max="6925" width="8.59765625" style="1551" customWidth="1"/>
    <col min="6926" max="6926" width="15.09765625" style="1551" customWidth="1"/>
    <col min="6927" max="7168" width="9" style="1551"/>
    <col min="7169" max="7169" width="4.3984375" style="1551" customWidth="1"/>
    <col min="7170" max="7170" width="20.59765625" style="1551" customWidth="1"/>
    <col min="7171" max="7171" width="4.5" style="1551" customWidth="1"/>
    <col min="7172" max="7172" width="4.8984375" style="1551" customWidth="1"/>
    <col min="7173" max="7180" width="7.8984375" style="1551" customWidth="1"/>
    <col min="7181" max="7181" width="8.59765625" style="1551" customWidth="1"/>
    <col min="7182" max="7182" width="15.09765625" style="1551" customWidth="1"/>
    <col min="7183" max="7424" width="9" style="1551"/>
    <col min="7425" max="7425" width="4.3984375" style="1551" customWidth="1"/>
    <col min="7426" max="7426" width="20.59765625" style="1551" customWidth="1"/>
    <col min="7427" max="7427" width="4.5" style="1551" customWidth="1"/>
    <col min="7428" max="7428" width="4.8984375" style="1551" customWidth="1"/>
    <col min="7429" max="7436" width="7.8984375" style="1551" customWidth="1"/>
    <col min="7437" max="7437" width="8.59765625" style="1551" customWidth="1"/>
    <col min="7438" max="7438" width="15.09765625" style="1551" customWidth="1"/>
    <col min="7439" max="7680" width="9" style="1551"/>
    <col min="7681" max="7681" width="4.3984375" style="1551" customWidth="1"/>
    <col min="7682" max="7682" width="20.59765625" style="1551" customWidth="1"/>
    <col min="7683" max="7683" width="4.5" style="1551" customWidth="1"/>
    <col min="7684" max="7684" width="4.8984375" style="1551" customWidth="1"/>
    <col min="7685" max="7692" width="7.8984375" style="1551" customWidth="1"/>
    <col min="7693" max="7693" width="8.59765625" style="1551" customWidth="1"/>
    <col min="7694" max="7694" width="15.09765625" style="1551" customWidth="1"/>
    <col min="7695" max="7936" width="9" style="1551"/>
    <col min="7937" max="7937" width="4.3984375" style="1551" customWidth="1"/>
    <col min="7938" max="7938" width="20.59765625" style="1551" customWidth="1"/>
    <col min="7939" max="7939" width="4.5" style="1551" customWidth="1"/>
    <col min="7940" max="7940" width="4.8984375" style="1551" customWidth="1"/>
    <col min="7941" max="7948" width="7.8984375" style="1551" customWidth="1"/>
    <col min="7949" max="7949" width="8.59765625" style="1551" customWidth="1"/>
    <col min="7950" max="7950" width="15.09765625" style="1551" customWidth="1"/>
    <col min="7951" max="8192" width="9" style="1551"/>
    <col min="8193" max="8193" width="4.3984375" style="1551" customWidth="1"/>
    <col min="8194" max="8194" width="20.59765625" style="1551" customWidth="1"/>
    <col min="8195" max="8195" width="4.5" style="1551" customWidth="1"/>
    <col min="8196" max="8196" width="4.8984375" style="1551" customWidth="1"/>
    <col min="8197" max="8204" width="7.8984375" style="1551" customWidth="1"/>
    <col min="8205" max="8205" width="8.59765625" style="1551" customWidth="1"/>
    <col min="8206" max="8206" width="15.09765625" style="1551" customWidth="1"/>
    <col min="8207" max="8448" width="9" style="1551"/>
    <col min="8449" max="8449" width="4.3984375" style="1551" customWidth="1"/>
    <col min="8450" max="8450" width="20.59765625" style="1551" customWidth="1"/>
    <col min="8451" max="8451" width="4.5" style="1551" customWidth="1"/>
    <col min="8452" max="8452" width="4.8984375" style="1551" customWidth="1"/>
    <col min="8453" max="8460" width="7.8984375" style="1551" customWidth="1"/>
    <col min="8461" max="8461" width="8.59765625" style="1551" customWidth="1"/>
    <col min="8462" max="8462" width="15.09765625" style="1551" customWidth="1"/>
    <col min="8463" max="8704" width="9" style="1551"/>
    <col min="8705" max="8705" width="4.3984375" style="1551" customWidth="1"/>
    <col min="8706" max="8706" width="20.59765625" style="1551" customWidth="1"/>
    <col min="8707" max="8707" width="4.5" style="1551" customWidth="1"/>
    <col min="8708" max="8708" width="4.8984375" style="1551" customWidth="1"/>
    <col min="8709" max="8716" width="7.8984375" style="1551" customWidth="1"/>
    <col min="8717" max="8717" width="8.59765625" style="1551" customWidth="1"/>
    <col min="8718" max="8718" width="15.09765625" style="1551" customWidth="1"/>
    <col min="8719" max="8960" width="9" style="1551"/>
    <col min="8961" max="8961" width="4.3984375" style="1551" customWidth="1"/>
    <col min="8962" max="8962" width="20.59765625" style="1551" customWidth="1"/>
    <col min="8963" max="8963" width="4.5" style="1551" customWidth="1"/>
    <col min="8964" max="8964" width="4.8984375" style="1551" customWidth="1"/>
    <col min="8965" max="8972" width="7.8984375" style="1551" customWidth="1"/>
    <col min="8973" max="8973" width="8.59765625" style="1551" customWidth="1"/>
    <col min="8974" max="8974" width="15.09765625" style="1551" customWidth="1"/>
    <col min="8975" max="9216" width="9" style="1551"/>
    <col min="9217" max="9217" width="4.3984375" style="1551" customWidth="1"/>
    <col min="9218" max="9218" width="20.59765625" style="1551" customWidth="1"/>
    <col min="9219" max="9219" width="4.5" style="1551" customWidth="1"/>
    <col min="9220" max="9220" width="4.8984375" style="1551" customWidth="1"/>
    <col min="9221" max="9228" width="7.8984375" style="1551" customWidth="1"/>
    <col min="9229" max="9229" width="8.59765625" style="1551" customWidth="1"/>
    <col min="9230" max="9230" width="15.09765625" style="1551" customWidth="1"/>
    <col min="9231" max="9472" width="9" style="1551"/>
    <col min="9473" max="9473" width="4.3984375" style="1551" customWidth="1"/>
    <col min="9474" max="9474" width="20.59765625" style="1551" customWidth="1"/>
    <col min="9475" max="9475" width="4.5" style="1551" customWidth="1"/>
    <col min="9476" max="9476" width="4.8984375" style="1551" customWidth="1"/>
    <col min="9477" max="9484" width="7.8984375" style="1551" customWidth="1"/>
    <col min="9485" max="9485" width="8.59765625" style="1551" customWidth="1"/>
    <col min="9486" max="9486" width="15.09765625" style="1551" customWidth="1"/>
    <col min="9487" max="9728" width="9" style="1551"/>
    <col min="9729" max="9729" width="4.3984375" style="1551" customWidth="1"/>
    <col min="9730" max="9730" width="20.59765625" style="1551" customWidth="1"/>
    <col min="9731" max="9731" width="4.5" style="1551" customWidth="1"/>
    <col min="9732" max="9732" width="4.8984375" style="1551" customWidth="1"/>
    <col min="9733" max="9740" width="7.8984375" style="1551" customWidth="1"/>
    <col min="9741" max="9741" width="8.59765625" style="1551" customWidth="1"/>
    <col min="9742" max="9742" width="15.09765625" style="1551" customWidth="1"/>
    <col min="9743" max="9984" width="9" style="1551"/>
    <col min="9985" max="9985" width="4.3984375" style="1551" customWidth="1"/>
    <col min="9986" max="9986" width="20.59765625" style="1551" customWidth="1"/>
    <col min="9987" max="9987" width="4.5" style="1551" customWidth="1"/>
    <col min="9988" max="9988" width="4.8984375" style="1551" customWidth="1"/>
    <col min="9989" max="9996" width="7.8984375" style="1551" customWidth="1"/>
    <col min="9997" max="9997" width="8.59765625" style="1551" customWidth="1"/>
    <col min="9998" max="9998" width="15.09765625" style="1551" customWidth="1"/>
    <col min="9999" max="10240" width="9" style="1551"/>
    <col min="10241" max="10241" width="4.3984375" style="1551" customWidth="1"/>
    <col min="10242" max="10242" width="20.59765625" style="1551" customWidth="1"/>
    <col min="10243" max="10243" width="4.5" style="1551" customWidth="1"/>
    <col min="10244" max="10244" width="4.8984375" style="1551" customWidth="1"/>
    <col min="10245" max="10252" width="7.8984375" style="1551" customWidth="1"/>
    <col min="10253" max="10253" width="8.59765625" style="1551" customWidth="1"/>
    <col min="10254" max="10254" width="15.09765625" style="1551" customWidth="1"/>
    <col min="10255" max="10496" width="9" style="1551"/>
    <col min="10497" max="10497" width="4.3984375" style="1551" customWidth="1"/>
    <col min="10498" max="10498" width="20.59765625" style="1551" customWidth="1"/>
    <col min="10499" max="10499" width="4.5" style="1551" customWidth="1"/>
    <col min="10500" max="10500" width="4.8984375" style="1551" customWidth="1"/>
    <col min="10501" max="10508" width="7.8984375" style="1551" customWidth="1"/>
    <col min="10509" max="10509" width="8.59765625" style="1551" customWidth="1"/>
    <col min="10510" max="10510" width="15.09765625" style="1551" customWidth="1"/>
    <col min="10511" max="10752" width="9" style="1551"/>
    <col min="10753" max="10753" width="4.3984375" style="1551" customWidth="1"/>
    <col min="10754" max="10754" width="20.59765625" style="1551" customWidth="1"/>
    <col min="10755" max="10755" width="4.5" style="1551" customWidth="1"/>
    <col min="10756" max="10756" width="4.8984375" style="1551" customWidth="1"/>
    <col min="10757" max="10764" width="7.8984375" style="1551" customWidth="1"/>
    <col min="10765" max="10765" width="8.59765625" style="1551" customWidth="1"/>
    <col min="10766" max="10766" width="15.09765625" style="1551" customWidth="1"/>
    <col min="10767" max="11008" width="9" style="1551"/>
    <col min="11009" max="11009" width="4.3984375" style="1551" customWidth="1"/>
    <col min="11010" max="11010" width="20.59765625" style="1551" customWidth="1"/>
    <col min="11011" max="11011" width="4.5" style="1551" customWidth="1"/>
    <col min="11012" max="11012" width="4.8984375" style="1551" customWidth="1"/>
    <col min="11013" max="11020" width="7.8984375" style="1551" customWidth="1"/>
    <col min="11021" max="11021" width="8.59765625" style="1551" customWidth="1"/>
    <col min="11022" max="11022" width="15.09765625" style="1551" customWidth="1"/>
    <col min="11023" max="11264" width="9" style="1551"/>
    <col min="11265" max="11265" width="4.3984375" style="1551" customWidth="1"/>
    <col min="11266" max="11266" width="20.59765625" style="1551" customWidth="1"/>
    <col min="11267" max="11267" width="4.5" style="1551" customWidth="1"/>
    <col min="11268" max="11268" width="4.8984375" style="1551" customWidth="1"/>
    <col min="11269" max="11276" width="7.8984375" style="1551" customWidth="1"/>
    <col min="11277" max="11277" width="8.59765625" style="1551" customWidth="1"/>
    <col min="11278" max="11278" width="15.09765625" style="1551" customWidth="1"/>
    <col min="11279" max="11520" width="9" style="1551"/>
    <col min="11521" max="11521" width="4.3984375" style="1551" customWidth="1"/>
    <col min="11522" max="11522" width="20.59765625" style="1551" customWidth="1"/>
    <col min="11523" max="11523" width="4.5" style="1551" customWidth="1"/>
    <col min="11524" max="11524" width="4.8984375" style="1551" customWidth="1"/>
    <col min="11525" max="11532" width="7.8984375" style="1551" customWidth="1"/>
    <col min="11533" max="11533" width="8.59765625" style="1551" customWidth="1"/>
    <col min="11534" max="11534" width="15.09765625" style="1551" customWidth="1"/>
    <col min="11535" max="11776" width="9" style="1551"/>
    <col min="11777" max="11777" width="4.3984375" style="1551" customWidth="1"/>
    <col min="11778" max="11778" width="20.59765625" style="1551" customWidth="1"/>
    <col min="11779" max="11779" width="4.5" style="1551" customWidth="1"/>
    <col min="11780" max="11780" width="4.8984375" style="1551" customWidth="1"/>
    <col min="11781" max="11788" width="7.8984375" style="1551" customWidth="1"/>
    <col min="11789" max="11789" width="8.59765625" style="1551" customWidth="1"/>
    <col min="11790" max="11790" width="15.09765625" style="1551" customWidth="1"/>
    <col min="11791" max="12032" width="9" style="1551"/>
    <col min="12033" max="12033" width="4.3984375" style="1551" customWidth="1"/>
    <col min="12034" max="12034" width="20.59765625" style="1551" customWidth="1"/>
    <col min="12035" max="12035" width="4.5" style="1551" customWidth="1"/>
    <col min="12036" max="12036" width="4.8984375" style="1551" customWidth="1"/>
    <col min="12037" max="12044" width="7.8984375" style="1551" customWidth="1"/>
    <col min="12045" max="12045" width="8.59765625" style="1551" customWidth="1"/>
    <col min="12046" max="12046" width="15.09765625" style="1551" customWidth="1"/>
    <col min="12047" max="12288" width="9" style="1551"/>
    <col min="12289" max="12289" width="4.3984375" style="1551" customWidth="1"/>
    <col min="12290" max="12290" width="20.59765625" style="1551" customWidth="1"/>
    <col min="12291" max="12291" width="4.5" style="1551" customWidth="1"/>
    <col min="12292" max="12292" width="4.8984375" style="1551" customWidth="1"/>
    <col min="12293" max="12300" width="7.8984375" style="1551" customWidth="1"/>
    <col min="12301" max="12301" width="8.59765625" style="1551" customWidth="1"/>
    <col min="12302" max="12302" width="15.09765625" style="1551" customWidth="1"/>
    <col min="12303" max="12544" width="9" style="1551"/>
    <col min="12545" max="12545" width="4.3984375" style="1551" customWidth="1"/>
    <col min="12546" max="12546" width="20.59765625" style="1551" customWidth="1"/>
    <col min="12547" max="12547" width="4.5" style="1551" customWidth="1"/>
    <col min="12548" max="12548" width="4.8984375" style="1551" customWidth="1"/>
    <col min="12549" max="12556" width="7.8984375" style="1551" customWidth="1"/>
    <col min="12557" max="12557" width="8.59765625" style="1551" customWidth="1"/>
    <col min="12558" max="12558" width="15.09765625" style="1551" customWidth="1"/>
    <col min="12559" max="12800" width="9" style="1551"/>
    <col min="12801" max="12801" width="4.3984375" style="1551" customWidth="1"/>
    <col min="12802" max="12802" width="20.59765625" style="1551" customWidth="1"/>
    <col min="12803" max="12803" width="4.5" style="1551" customWidth="1"/>
    <col min="12804" max="12804" width="4.8984375" style="1551" customWidth="1"/>
    <col min="12805" max="12812" width="7.8984375" style="1551" customWidth="1"/>
    <col min="12813" max="12813" width="8.59765625" style="1551" customWidth="1"/>
    <col min="12814" max="12814" width="15.09765625" style="1551" customWidth="1"/>
    <col min="12815" max="13056" width="9" style="1551"/>
    <col min="13057" max="13057" width="4.3984375" style="1551" customWidth="1"/>
    <col min="13058" max="13058" width="20.59765625" style="1551" customWidth="1"/>
    <col min="13059" max="13059" width="4.5" style="1551" customWidth="1"/>
    <col min="13060" max="13060" width="4.8984375" style="1551" customWidth="1"/>
    <col min="13061" max="13068" width="7.8984375" style="1551" customWidth="1"/>
    <col min="13069" max="13069" width="8.59765625" style="1551" customWidth="1"/>
    <col min="13070" max="13070" width="15.09765625" style="1551" customWidth="1"/>
    <col min="13071" max="13312" width="9" style="1551"/>
    <col min="13313" max="13313" width="4.3984375" style="1551" customWidth="1"/>
    <col min="13314" max="13314" width="20.59765625" style="1551" customWidth="1"/>
    <col min="13315" max="13315" width="4.5" style="1551" customWidth="1"/>
    <col min="13316" max="13316" width="4.8984375" style="1551" customWidth="1"/>
    <col min="13317" max="13324" width="7.8984375" style="1551" customWidth="1"/>
    <col min="13325" max="13325" width="8.59765625" style="1551" customWidth="1"/>
    <col min="13326" max="13326" width="15.09765625" style="1551" customWidth="1"/>
    <col min="13327" max="13568" width="9" style="1551"/>
    <col min="13569" max="13569" width="4.3984375" style="1551" customWidth="1"/>
    <col min="13570" max="13570" width="20.59765625" style="1551" customWidth="1"/>
    <col min="13571" max="13571" width="4.5" style="1551" customWidth="1"/>
    <col min="13572" max="13572" width="4.8984375" style="1551" customWidth="1"/>
    <col min="13573" max="13580" width="7.8984375" style="1551" customWidth="1"/>
    <col min="13581" max="13581" width="8.59765625" style="1551" customWidth="1"/>
    <col min="13582" max="13582" width="15.09765625" style="1551" customWidth="1"/>
    <col min="13583" max="13824" width="9" style="1551"/>
    <col min="13825" max="13825" width="4.3984375" style="1551" customWidth="1"/>
    <col min="13826" max="13826" width="20.59765625" style="1551" customWidth="1"/>
    <col min="13827" max="13827" width="4.5" style="1551" customWidth="1"/>
    <col min="13828" max="13828" width="4.8984375" style="1551" customWidth="1"/>
    <col min="13829" max="13836" width="7.8984375" style="1551" customWidth="1"/>
    <col min="13837" max="13837" width="8.59765625" style="1551" customWidth="1"/>
    <col min="13838" max="13838" width="15.09765625" style="1551" customWidth="1"/>
    <col min="13839" max="14080" width="9" style="1551"/>
    <col min="14081" max="14081" width="4.3984375" style="1551" customWidth="1"/>
    <col min="14082" max="14082" width="20.59765625" style="1551" customWidth="1"/>
    <col min="14083" max="14083" width="4.5" style="1551" customWidth="1"/>
    <col min="14084" max="14084" width="4.8984375" style="1551" customWidth="1"/>
    <col min="14085" max="14092" width="7.8984375" style="1551" customWidth="1"/>
    <col min="14093" max="14093" width="8.59765625" style="1551" customWidth="1"/>
    <col min="14094" max="14094" width="15.09765625" style="1551" customWidth="1"/>
    <col min="14095" max="14336" width="9" style="1551"/>
    <col min="14337" max="14337" width="4.3984375" style="1551" customWidth="1"/>
    <col min="14338" max="14338" width="20.59765625" style="1551" customWidth="1"/>
    <col min="14339" max="14339" width="4.5" style="1551" customWidth="1"/>
    <col min="14340" max="14340" width="4.8984375" style="1551" customWidth="1"/>
    <col min="14341" max="14348" width="7.8984375" style="1551" customWidth="1"/>
    <col min="14349" max="14349" width="8.59765625" style="1551" customWidth="1"/>
    <col min="14350" max="14350" width="15.09765625" style="1551" customWidth="1"/>
    <col min="14351" max="14592" width="9" style="1551"/>
    <col min="14593" max="14593" width="4.3984375" style="1551" customWidth="1"/>
    <col min="14594" max="14594" width="20.59765625" style="1551" customWidth="1"/>
    <col min="14595" max="14595" width="4.5" style="1551" customWidth="1"/>
    <col min="14596" max="14596" width="4.8984375" style="1551" customWidth="1"/>
    <col min="14597" max="14604" width="7.8984375" style="1551" customWidth="1"/>
    <col min="14605" max="14605" width="8.59765625" style="1551" customWidth="1"/>
    <col min="14606" max="14606" width="15.09765625" style="1551" customWidth="1"/>
    <col min="14607" max="14848" width="9" style="1551"/>
    <col min="14849" max="14849" width="4.3984375" style="1551" customWidth="1"/>
    <col min="14850" max="14850" width="20.59765625" style="1551" customWidth="1"/>
    <col min="14851" max="14851" width="4.5" style="1551" customWidth="1"/>
    <col min="14852" max="14852" width="4.8984375" style="1551" customWidth="1"/>
    <col min="14853" max="14860" width="7.8984375" style="1551" customWidth="1"/>
    <col min="14861" max="14861" width="8.59765625" style="1551" customWidth="1"/>
    <col min="14862" max="14862" width="15.09765625" style="1551" customWidth="1"/>
    <col min="14863" max="15104" width="9" style="1551"/>
    <col min="15105" max="15105" width="4.3984375" style="1551" customWidth="1"/>
    <col min="15106" max="15106" width="20.59765625" style="1551" customWidth="1"/>
    <col min="15107" max="15107" width="4.5" style="1551" customWidth="1"/>
    <col min="15108" max="15108" width="4.8984375" style="1551" customWidth="1"/>
    <col min="15109" max="15116" width="7.8984375" style="1551" customWidth="1"/>
    <col min="15117" max="15117" width="8.59765625" style="1551" customWidth="1"/>
    <col min="15118" max="15118" width="15.09765625" style="1551" customWidth="1"/>
    <col min="15119" max="15360" width="9" style="1551"/>
    <col min="15361" max="15361" width="4.3984375" style="1551" customWidth="1"/>
    <col min="15362" max="15362" width="20.59765625" style="1551" customWidth="1"/>
    <col min="15363" max="15363" width="4.5" style="1551" customWidth="1"/>
    <col min="15364" max="15364" width="4.8984375" style="1551" customWidth="1"/>
    <col min="15365" max="15372" width="7.8984375" style="1551" customWidth="1"/>
    <col min="15373" max="15373" width="8.59765625" style="1551" customWidth="1"/>
    <col min="15374" max="15374" width="15.09765625" style="1551" customWidth="1"/>
    <col min="15375" max="15616" width="9" style="1551"/>
    <col min="15617" max="15617" width="4.3984375" style="1551" customWidth="1"/>
    <col min="15618" max="15618" width="20.59765625" style="1551" customWidth="1"/>
    <col min="15619" max="15619" width="4.5" style="1551" customWidth="1"/>
    <col min="15620" max="15620" width="4.8984375" style="1551" customWidth="1"/>
    <col min="15621" max="15628" width="7.8984375" style="1551" customWidth="1"/>
    <col min="15629" max="15629" width="8.59765625" style="1551" customWidth="1"/>
    <col min="15630" max="15630" width="15.09765625" style="1551" customWidth="1"/>
    <col min="15631" max="15872" width="9" style="1551"/>
    <col min="15873" max="15873" width="4.3984375" style="1551" customWidth="1"/>
    <col min="15874" max="15874" width="20.59765625" style="1551" customWidth="1"/>
    <col min="15875" max="15875" width="4.5" style="1551" customWidth="1"/>
    <col min="15876" max="15876" width="4.8984375" style="1551" customWidth="1"/>
    <col min="15877" max="15884" width="7.8984375" style="1551" customWidth="1"/>
    <col min="15885" max="15885" width="8.59765625" style="1551" customWidth="1"/>
    <col min="15886" max="15886" width="15.09765625" style="1551" customWidth="1"/>
    <col min="15887" max="16128" width="9" style="1551"/>
    <col min="16129" max="16129" width="4.3984375" style="1551" customWidth="1"/>
    <col min="16130" max="16130" width="20.59765625" style="1551" customWidth="1"/>
    <col min="16131" max="16131" width="4.5" style="1551" customWidth="1"/>
    <col min="16132" max="16132" width="4.8984375" style="1551" customWidth="1"/>
    <col min="16133" max="16140" width="7.8984375" style="1551" customWidth="1"/>
    <col min="16141" max="16141" width="8.59765625" style="1551" customWidth="1"/>
    <col min="16142" max="16142" width="15.09765625" style="1551" customWidth="1"/>
    <col min="16143" max="16384" width="9" style="1551"/>
  </cols>
  <sheetData>
    <row r="1" spans="1:15" ht="20.100000000000001" customHeight="1">
      <c r="A1" s="3400" t="s">
        <v>5206</v>
      </c>
      <c r="B1" s="3400"/>
      <c r="C1" s="3400"/>
      <c r="D1" s="3400"/>
      <c r="E1" s="3400"/>
      <c r="F1" s="3400"/>
      <c r="G1" s="3400"/>
      <c r="H1" s="3400"/>
      <c r="I1" s="3400"/>
      <c r="J1" s="3400"/>
      <c r="K1" s="3400"/>
      <c r="L1" s="3400"/>
      <c r="M1" s="3400"/>
      <c r="N1" s="1802"/>
    </row>
    <row r="2" spans="1:15" ht="25.5" customHeight="1">
      <c r="A2" s="3401" t="s">
        <v>5207</v>
      </c>
      <c r="B2" s="3401"/>
      <c r="C2" s="3401"/>
      <c r="D2" s="3401"/>
      <c r="E2" s="3401"/>
      <c r="F2" s="3401"/>
      <c r="G2" s="3401"/>
      <c r="H2" s="3401"/>
      <c r="I2" s="3401"/>
      <c r="J2" s="3401"/>
      <c r="K2" s="3401"/>
      <c r="L2" s="3401"/>
      <c r="M2" s="3401"/>
      <c r="N2" s="1833"/>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43" t="s">
        <v>1850</v>
      </c>
      <c r="D4" s="1843" t="s">
        <v>1851</v>
      </c>
      <c r="E4" s="1843" t="s">
        <v>5150</v>
      </c>
      <c r="F4" s="1843" t="s">
        <v>5210</v>
      </c>
      <c r="G4" s="1843" t="s">
        <v>5211</v>
      </c>
      <c r="H4" s="1843" t="s">
        <v>5212</v>
      </c>
      <c r="I4" s="1843" t="s">
        <v>5213</v>
      </c>
      <c r="J4" s="1843" t="s">
        <v>5214</v>
      </c>
      <c r="K4" s="1843" t="s">
        <v>5215</v>
      </c>
      <c r="L4" s="1843" t="s">
        <v>5150</v>
      </c>
      <c r="M4" s="3407"/>
      <c r="N4" s="3407"/>
    </row>
    <row r="5" spans="1:15" ht="14.25" customHeight="1">
      <c r="A5" s="3407"/>
      <c r="B5" s="3409"/>
      <c r="C5" s="1841">
        <v>1</v>
      </c>
      <c r="D5" s="1841">
        <v>2</v>
      </c>
      <c r="E5" s="1841" t="s">
        <v>5216</v>
      </c>
      <c r="F5" s="1841">
        <v>4</v>
      </c>
      <c r="G5" s="1841">
        <v>5</v>
      </c>
      <c r="H5" s="1841">
        <v>6</v>
      </c>
      <c r="I5" s="1841">
        <v>7</v>
      </c>
      <c r="J5" s="1843" t="s">
        <v>5217</v>
      </c>
      <c r="K5" s="1843" t="s">
        <v>5218</v>
      </c>
      <c r="L5" s="1843" t="s">
        <v>5219</v>
      </c>
      <c r="M5" s="1841" t="s">
        <v>5220</v>
      </c>
      <c r="N5" s="1968"/>
    </row>
    <row r="6" spans="1:15" ht="14.25" customHeight="1">
      <c r="A6" s="1840">
        <v>1</v>
      </c>
      <c r="B6" s="1817" t="s">
        <v>5221</v>
      </c>
      <c r="C6" s="2072">
        <f>投资收益审核表!C6</f>
        <v>0</v>
      </c>
      <c r="D6" s="2072">
        <f>投资收益审核表!D6</f>
        <v>0</v>
      </c>
      <c r="E6" s="2072">
        <f>投资收益审核表!E6</f>
        <v>0</v>
      </c>
      <c r="F6" s="2072">
        <f>投资收益审核表!F6</f>
        <v>0</v>
      </c>
      <c r="G6" s="2072">
        <f>投资收益审核表!G6</f>
        <v>0</v>
      </c>
      <c r="H6" s="2072">
        <f>投资收益审核表!H6</f>
        <v>0</v>
      </c>
      <c r="I6" s="2072">
        <f>投资收益审核表!I6</f>
        <v>0</v>
      </c>
      <c r="J6" s="2072">
        <f>投资收益审核表!J6</f>
        <v>0</v>
      </c>
      <c r="K6" s="2072">
        <f>投资收益审核表!K6</f>
        <v>0</v>
      </c>
      <c r="L6" s="2072">
        <f>投资收益审核表!L6</f>
        <v>0</v>
      </c>
      <c r="M6" s="2072">
        <f>投资收益审核表!M6</f>
        <v>0</v>
      </c>
      <c r="N6" s="1968"/>
    </row>
    <row r="7" spans="1:15" ht="14.25" customHeight="1">
      <c r="A7" s="1840">
        <v>2</v>
      </c>
      <c r="B7" s="1818" t="s">
        <v>5222</v>
      </c>
      <c r="C7" s="2072">
        <f>投资收益审核表!C7</f>
        <v>0</v>
      </c>
      <c r="D7" s="2072">
        <f>投资收益审核表!D7</f>
        <v>0</v>
      </c>
      <c r="E7" s="2072">
        <f>投资收益审核表!E7</f>
        <v>0</v>
      </c>
      <c r="F7" s="2072">
        <f>投资收益审核表!F7</f>
        <v>0</v>
      </c>
      <c r="G7" s="2072">
        <f>投资收益审核表!G7</f>
        <v>0</v>
      </c>
      <c r="H7" s="2072">
        <f>投资收益审核表!H7</f>
        <v>0</v>
      </c>
      <c r="I7" s="2072">
        <f>投资收益审核表!I7</f>
        <v>0</v>
      </c>
      <c r="J7" s="2072">
        <f>投资收益审核表!J7</f>
        <v>0</v>
      </c>
      <c r="K7" s="2072">
        <f>投资收益审核表!K7</f>
        <v>0</v>
      </c>
      <c r="L7" s="2072">
        <f>投资收益审核表!L7</f>
        <v>0</v>
      </c>
      <c r="M7" s="2072">
        <f>投资收益审核表!M7</f>
        <v>0</v>
      </c>
      <c r="N7" s="1968"/>
    </row>
    <row r="8" spans="1:15" ht="14.25" customHeight="1">
      <c r="A8" s="1840">
        <v>3</v>
      </c>
      <c r="B8" s="1819" t="s">
        <v>5223</v>
      </c>
      <c r="C8" s="2072">
        <f>投资收益审核表!C8</f>
        <v>0</v>
      </c>
      <c r="D8" s="2072">
        <f>投资收益审核表!D8</f>
        <v>0</v>
      </c>
      <c r="E8" s="2072">
        <f>投资收益审核表!E8</f>
        <v>0</v>
      </c>
      <c r="F8" s="2072">
        <f>投资收益审核表!F8</f>
        <v>0</v>
      </c>
      <c r="G8" s="2072">
        <f>投资收益审核表!G8</f>
        <v>0</v>
      </c>
      <c r="H8" s="2072">
        <f>投资收益审核表!H8</f>
        <v>0</v>
      </c>
      <c r="I8" s="2072">
        <f>投资收益审核表!I8</f>
        <v>0</v>
      </c>
      <c r="J8" s="2072">
        <f>投资收益审核表!J8</f>
        <v>0</v>
      </c>
      <c r="K8" s="2072">
        <f>投资收益审核表!K8</f>
        <v>0</v>
      </c>
      <c r="L8" s="2072">
        <f>投资收益审核表!L8</f>
        <v>0</v>
      </c>
      <c r="M8" s="2072">
        <f>投资收益审核表!M8</f>
        <v>0</v>
      </c>
      <c r="N8" s="1968"/>
    </row>
    <row r="9" spans="1:15" ht="14.25" customHeight="1">
      <c r="A9" s="1840">
        <v>4</v>
      </c>
      <c r="B9" s="1818" t="s">
        <v>5224</v>
      </c>
      <c r="C9" s="2072">
        <f>投资收益审核表!C9</f>
        <v>0</v>
      </c>
      <c r="D9" s="2072">
        <f>投资收益审核表!D9</f>
        <v>0</v>
      </c>
      <c r="E9" s="2072">
        <f>投资收益审核表!E9</f>
        <v>0</v>
      </c>
      <c r="F9" s="2072">
        <f>投资收益审核表!F9</f>
        <v>0</v>
      </c>
      <c r="G9" s="2072">
        <f>投资收益审核表!G9</f>
        <v>0</v>
      </c>
      <c r="H9" s="2072">
        <f>投资收益审核表!H9</f>
        <v>0</v>
      </c>
      <c r="I9" s="2072">
        <f>投资收益审核表!I9</f>
        <v>0</v>
      </c>
      <c r="J9" s="2072">
        <f>投资收益审核表!J9</f>
        <v>0</v>
      </c>
      <c r="K9" s="2072">
        <f>投资收益审核表!K9</f>
        <v>0</v>
      </c>
      <c r="L9" s="2072">
        <f>投资收益审核表!L9</f>
        <v>0</v>
      </c>
      <c r="M9" s="2072">
        <f>投资收益审核表!M9</f>
        <v>0</v>
      </c>
      <c r="N9" s="1968"/>
    </row>
    <row r="10" spans="1:15" ht="14.25" customHeight="1">
      <c r="A10" s="1840">
        <v>5</v>
      </c>
      <c r="B10" s="1818" t="s">
        <v>5225</v>
      </c>
      <c r="C10" s="2072">
        <f>投资收益审核表!C10</f>
        <v>0</v>
      </c>
      <c r="D10" s="2072">
        <f>投资收益审核表!D10</f>
        <v>0</v>
      </c>
      <c r="E10" s="2072">
        <f>投资收益审核表!E10</f>
        <v>0</v>
      </c>
      <c r="F10" s="2072">
        <f>投资收益审核表!F10</f>
        <v>0</v>
      </c>
      <c r="G10" s="2072">
        <f>投资收益审核表!G10</f>
        <v>0</v>
      </c>
      <c r="H10" s="2072">
        <f>投资收益审核表!H10</f>
        <v>0</v>
      </c>
      <c r="I10" s="2072">
        <f>投资收益审核表!I10</f>
        <v>0</v>
      </c>
      <c r="J10" s="2072">
        <f>投资收益审核表!J10</f>
        <v>0</v>
      </c>
      <c r="K10" s="2072">
        <f>投资收益审核表!K10</f>
        <v>0</v>
      </c>
      <c r="L10" s="2072">
        <f>投资收益审核表!L10</f>
        <v>0</v>
      </c>
      <c r="M10" s="2072">
        <f>投资收益审核表!M10</f>
        <v>0</v>
      </c>
      <c r="N10" s="1968"/>
    </row>
    <row r="11" spans="1:15" ht="14.25" customHeight="1">
      <c r="A11" s="1840">
        <v>6</v>
      </c>
      <c r="B11" s="1819" t="s">
        <v>5226</v>
      </c>
      <c r="C11" s="2072">
        <f>投资收益审核表!C11</f>
        <v>0</v>
      </c>
      <c r="D11" s="2072">
        <f>投资收益审核表!D11</f>
        <v>0</v>
      </c>
      <c r="E11" s="2072">
        <f>投资收益审核表!E11</f>
        <v>0</v>
      </c>
      <c r="F11" s="2072">
        <f>投资收益审核表!F11</f>
        <v>0</v>
      </c>
      <c r="G11" s="2072">
        <f>投资收益审核表!G11</f>
        <v>0</v>
      </c>
      <c r="H11" s="2072">
        <f>投资收益审核表!H11</f>
        <v>0</v>
      </c>
      <c r="I11" s="2072">
        <f>投资收益审核表!I11</f>
        <v>0</v>
      </c>
      <c r="J11" s="2072">
        <f>投资收益审核表!J11</f>
        <v>0</v>
      </c>
      <c r="K11" s="2072">
        <f>投资收益审核表!K11</f>
        <v>0</v>
      </c>
      <c r="L11" s="2072">
        <f>投资收益审核表!L11</f>
        <v>0</v>
      </c>
      <c r="M11" s="2072">
        <f>投资收益审核表!M11</f>
        <v>0</v>
      </c>
      <c r="N11" s="1968"/>
    </row>
    <row r="12" spans="1:15" ht="14.25" customHeight="1">
      <c r="A12" s="1840">
        <v>7</v>
      </c>
      <c r="B12" s="1819" t="s">
        <v>5227</v>
      </c>
      <c r="C12" s="2072">
        <f>投资收益审核表!C12</f>
        <v>0</v>
      </c>
      <c r="D12" s="2072">
        <f>投资收益审核表!D12</f>
        <v>0</v>
      </c>
      <c r="E12" s="2072">
        <f>投资收益审核表!E12</f>
        <v>0</v>
      </c>
      <c r="F12" s="2072">
        <f>投资收益审核表!F12</f>
        <v>0</v>
      </c>
      <c r="G12" s="2072">
        <f>投资收益审核表!G12</f>
        <v>0</v>
      </c>
      <c r="H12" s="2072">
        <f>投资收益审核表!H12</f>
        <v>0</v>
      </c>
      <c r="I12" s="2072">
        <f>投资收益审核表!I12</f>
        <v>0</v>
      </c>
      <c r="J12" s="2072">
        <f>投资收益审核表!J12</f>
        <v>0</v>
      </c>
      <c r="K12" s="2072">
        <f>投资收益审核表!K12</f>
        <v>0</v>
      </c>
      <c r="L12" s="2072">
        <f>投资收益审核表!L12</f>
        <v>0</v>
      </c>
      <c r="M12" s="2072">
        <f>投资收益审核表!M12</f>
        <v>0</v>
      </c>
      <c r="N12" s="1968"/>
    </row>
    <row r="13" spans="1:15" ht="14.25" customHeight="1">
      <c r="A13" s="1840">
        <v>8</v>
      </c>
      <c r="B13" s="1819" t="s">
        <v>5228</v>
      </c>
      <c r="C13" s="2072">
        <f>投资收益审核表!C13</f>
        <v>0</v>
      </c>
      <c r="D13" s="2072">
        <f>投资收益审核表!D13</f>
        <v>0</v>
      </c>
      <c r="E13" s="2072">
        <f>投资收益审核表!E13</f>
        <v>0</v>
      </c>
      <c r="F13" s="2072">
        <f>投资收益审核表!F13</f>
        <v>0</v>
      </c>
      <c r="G13" s="2072">
        <f>投资收益审核表!G13</f>
        <v>0</v>
      </c>
      <c r="H13" s="2072">
        <f>投资收益审核表!H13</f>
        <v>0</v>
      </c>
      <c r="I13" s="2072">
        <f>投资收益审核表!I13</f>
        <v>0</v>
      </c>
      <c r="J13" s="2072">
        <f>投资收益审核表!J13</f>
        <v>0</v>
      </c>
      <c r="K13" s="2072">
        <f>投资收益审核表!K13</f>
        <v>0</v>
      </c>
      <c r="L13" s="2072">
        <f>投资收益审核表!L13</f>
        <v>0</v>
      </c>
      <c r="M13" s="2072">
        <f>投资收益审核表!M13</f>
        <v>0</v>
      </c>
      <c r="N13" s="1968"/>
      <c r="O13" s="1675" t="s">
        <v>6438</v>
      </c>
    </row>
    <row r="14" spans="1:15" ht="14.25" customHeight="1">
      <c r="A14" s="1840">
        <v>9</v>
      </c>
      <c r="B14" s="1818" t="s">
        <v>5229</v>
      </c>
      <c r="C14" s="2072">
        <f>投资收益审核表!C14</f>
        <v>0</v>
      </c>
      <c r="D14" s="2072">
        <f>投资收益审核表!D14</f>
        <v>0</v>
      </c>
      <c r="E14" s="2072">
        <f>投资收益审核表!E14</f>
        <v>0</v>
      </c>
      <c r="F14" s="2072">
        <f>投资收益审核表!F14</f>
        <v>0</v>
      </c>
      <c r="G14" s="2072">
        <f>投资收益审核表!G14</f>
        <v>0</v>
      </c>
      <c r="H14" s="2072">
        <f>投资收益审核表!H14</f>
        <v>0</v>
      </c>
      <c r="I14" s="2072">
        <f>投资收益审核表!I14</f>
        <v>0</v>
      </c>
      <c r="J14" s="2072">
        <f>投资收益审核表!J14</f>
        <v>0</v>
      </c>
      <c r="K14" s="2072">
        <f>投资收益审核表!K14</f>
        <v>0</v>
      </c>
      <c r="L14" s="2072">
        <f>投资收益审核表!L14</f>
        <v>0</v>
      </c>
      <c r="M14" s="2072">
        <f>投资收益审核表!M14</f>
        <v>0</v>
      </c>
      <c r="N14" s="1968"/>
    </row>
    <row r="15" spans="1:15" ht="129" customHeight="1">
      <c r="A15" s="1840">
        <v>10</v>
      </c>
      <c r="B15" s="1820" t="s">
        <v>5230</v>
      </c>
      <c r="C15" s="2072">
        <f>投资收益审核表!C15</f>
        <v>0</v>
      </c>
      <c r="D15" s="2072">
        <f>投资收益审核表!D15</f>
        <v>0</v>
      </c>
      <c r="E15" s="2072">
        <f>投资收益审核表!E15</f>
        <v>0</v>
      </c>
      <c r="F15" s="2072">
        <f>投资收益审核表!F15</f>
        <v>0</v>
      </c>
      <c r="G15" s="2072">
        <f>投资收益审核表!G15</f>
        <v>0</v>
      </c>
      <c r="H15" s="2072">
        <f>投资收益审核表!H15</f>
        <v>0</v>
      </c>
      <c r="I15" s="2072">
        <f>投资收益审核表!I15</f>
        <v>0</v>
      </c>
      <c r="J15" s="2072">
        <f>投资收益审核表!J15</f>
        <v>0</v>
      </c>
      <c r="K15" s="2072">
        <f>投资收益审核表!K15</f>
        <v>0</v>
      </c>
      <c r="L15" s="2072">
        <f>投资收益审核表!L15</f>
        <v>0</v>
      </c>
      <c r="M15" s="2072">
        <f>投资收益审核表!M15</f>
        <v>0</v>
      </c>
      <c r="N15" s="1819" t="s">
        <v>5231</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5.6"/>
  <cols>
    <col min="1" max="1" width="4.3984375" style="1559" customWidth="1"/>
    <col min="2" max="2" width="8" style="1559" customWidth="1"/>
    <col min="3" max="3" width="4.8984375" style="1559" customWidth="1"/>
    <col min="4" max="16" width="8.69921875" style="1559" customWidth="1"/>
    <col min="17" max="17" width="5.398437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8" ht="20.100000000000001" customHeight="1">
      <c r="A1" s="3400" t="s">
        <v>5232</v>
      </c>
      <c r="B1" s="3400"/>
      <c r="C1" s="3400"/>
      <c r="D1" s="3400"/>
      <c r="E1" s="3400"/>
      <c r="F1" s="3400"/>
      <c r="G1" s="3400"/>
      <c r="H1" s="3400"/>
      <c r="I1" s="3400"/>
      <c r="J1" s="3400"/>
      <c r="K1" s="3400"/>
      <c r="L1" s="3400"/>
      <c r="M1" s="3400"/>
      <c r="N1" s="3400"/>
      <c r="O1" s="3400"/>
      <c r="P1" s="3400"/>
      <c r="Q1" s="1992"/>
    </row>
    <row r="2" spans="1:18" ht="25.5" customHeight="1">
      <c r="A2" s="3401" t="s">
        <v>5233</v>
      </c>
      <c r="B2" s="3401"/>
      <c r="C2" s="3401"/>
      <c r="D2" s="3401"/>
      <c r="E2" s="3401"/>
      <c r="F2" s="3401"/>
      <c r="G2" s="3401"/>
      <c r="H2" s="3401"/>
      <c r="I2" s="3401"/>
      <c r="J2" s="3401"/>
      <c r="K2" s="3401"/>
      <c r="L2" s="3401"/>
      <c r="M2" s="3401"/>
      <c r="N2" s="3401"/>
      <c r="O2" s="3401"/>
      <c r="P2" s="3401"/>
      <c r="Q2" s="1856"/>
    </row>
    <row r="3" spans="1:18" s="1555" customFormat="1" ht="14.25" customHeight="1">
      <c r="A3" s="3413" t="s">
        <v>1853</v>
      </c>
      <c r="B3" s="3413" t="s">
        <v>1854</v>
      </c>
      <c r="C3" s="3414" t="s">
        <v>5234</v>
      </c>
      <c r="D3" s="3414" t="s">
        <v>5235</v>
      </c>
      <c r="E3" s="3416" t="s">
        <v>5236</v>
      </c>
      <c r="F3" s="3416"/>
      <c r="G3" s="3417" t="s">
        <v>5237</v>
      </c>
      <c r="H3" s="3418"/>
      <c r="I3" s="3418"/>
      <c r="J3" s="3418"/>
      <c r="K3" s="3419"/>
      <c r="L3" s="3416" t="s">
        <v>5238</v>
      </c>
      <c r="M3" s="3416"/>
      <c r="N3" s="3416" t="s">
        <v>5239</v>
      </c>
      <c r="O3" s="3416"/>
      <c r="P3" s="3416"/>
      <c r="Q3" s="3414" t="s">
        <v>5151</v>
      </c>
    </row>
    <row r="4" spans="1:18" s="1555" customFormat="1" ht="32.25" customHeight="1">
      <c r="A4" s="3413"/>
      <c r="B4" s="3413"/>
      <c r="C4" s="3415"/>
      <c r="D4" s="3415"/>
      <c r="E4" s="3416"/>
      <c r="F4" s="3416"/>
      <c r="G4" s="3421" t="s">
        <v>5240</v>
      </c>
      <c r="H4" s="3421" t="s">
        <v>5241</v>
      </c>
      <c r="I4" s="3421" t="s">
        <v>5242</v>
      </c>
      <c r="J4" s="3421" t="s">
        <v>5243</v>
      </c>
      <c r="K4" s="3421" t="s">
        <v>5244</v>
      </c>
      <c r="L4" s="3414" t="s">
        <v>5245</v>
      </c>
      <c r="M4" s="3414" t="s">
        <v>5246</v>
      </c>
      <c r="N4" s="3414" t="s">
        <v>5247</v>
      </c>
      <c r="O4" s="3414" t="s">
        <v>5248</v>
      </c>
      <c r="P4" s="3414" t="s">
        <v>5249</v>
      </c>
      <c r="Q4" s="3415"/>
    </row>
    <row r="5" spans="1:18" s="1555" customFormat="1" ht="30.75" customHeight="1">
      <c r="A5" s="3413"/>
      <c r="B5" s="3413"/>
      <c r="C5" s="3415"/>
      <c r="D5" s="3415"/>
      <c r="E5" s="1857" t="s">
        <v>2436</v>
      </c>
      <c r="F5" s="1857" t="s">
        <v>5250</v>
      </c>
      <c r="G5" s="3422"/>
      <c r="H5" s="3422"/>
      <c r="I5" s="3422"/>
      <c r="J5" s="3422"/>
      <c r="K5" s="3422"/>
      <c r="L5" s="3415"/>
      <c r="M5" s="3415"/>
      <c r="N5" s="3415"/>
      <c r="O5" s="3415"/>
      <c r="P5" s="3415"/>
      <c r="Q5" s="3415"/>
    </row>
    <row r="6" spans="1:18" s="1555" customFormat="1" ht="14.25" customHeight="1">
      <c r="A6" s="3413"/>
      <c r="B6" s="3413"/>
      <c r="C6" s="1858">
        <v>1</v>
      </c>
      <c r="D6" s="1858">
        <v>2</v>
      </c>
      <c r="E6" s="1858">
        <v>3</v>
      </c>
      <c r="F6" s="1858">
        <v>4</v>
      </c>
      <c r="G6" s="1858">
        <v>5</v>
      </c>
      <c r="H6" s="1858">
        <v>6</v>
      </c>
      <c r="I6" s="1858">
        <v>7</v>
      </c>
      <c r="J6" s="1858">
        <v>8</v>
      </c>
      <c r="K6" s="1858">
        <v>9</v>
      </c>
      <c r="L6" s="1858">
        <v>10</v>
      </c>
      <c r="M6" s="1858">
        <v>11</v>
      </c>
      <c r="N6" s="1858">
        <v>12</v>
      </c>
      <c r="O6" s="1858">
        <v>13</v>
      </c>
      <c r="P6" s="1858">
        <v>14</v>
      </c>
      <c r="Q6" s="1966"/>
    </row>
    <row r="7" spans="1:18" s="1559" customFormat="1" ht="14.25" customHeight="1">
      <c r="A7" s="1858">
        <v>1</v>
      </c>
      <c r="B7" s="1859" t="s">
        <v>5251</v>
      </c>
      <c r="C7" s="1862">
        <f>专项用途财政性资金审核表!C7</f>
        <v>2011</v>
      </c>
      <c r="D7" s="2080">
        <f>专项用途财政性资金审核表!D7</f>
        <v>0</v>
      </c>
      <c r="E7" s="2080">
        <f>专项用途财政性资金审核表!E7</f>
        <v>0</v>
      </c>
      <c r="F7" s="2080">
        <f>专项用途财政性资金审核表!F7</f>
        <v>0</v>
      </c>
      <c r="G7" s="2080">
        <f>专项用途财政性资金审核表!G7</f>
        <v>0</v>
      </c>
      <c r="H7" s="2080">
        <f>专项用途财政性资金审核表!H7</f>
        <v>0</v>
      </c>
      <c r="I7" s="2080">
        <f>专项用途财政性资金审核表!I7</f>
        <v>0</v>
      </c>
      <c r="J7" s="2080">
        <f>专项用途财政性资金审核表!J7</f>
        <v>0</v>
      </c>
      <c r="K7" s="2080">
        <f>专项用途财政性资金审核表!K7</f>
        <v>0</v>
      </c>
      <c r="L7" s="2080">
        <f>专项用途财政性资金审核表!L7</f>
        <v>0</v>
      </c>
      <c r="M7" s="2080">
        <f>专项用途财政性资金审核表!M7</f>
        <v>0</v>
      </c>
      <c r="N7" s="2080">
        <f>专项用途财政性资金审核表!N7</f>
        <v>0</v>
      </c>
      <c r="O7" s="2080">
        <f>专项用途财政性资金审核表!O7</f>
        <v>0</v>
      </c>
      <c r="P7" s="2080">
        <f>专项用途财政性资金审核表!P7</f>
        <v>0</v>
      </c>
      <c r="Q7" s="1969"/>
    </row>
    <row r="8" spans="1:18" s="1559" customFormat="1" ht="14.25" customHeight="1">
      <c r="A8" s="1858">
        <v>2</v>
      </c>
      <c r="B8" s="1859" t="s">
        <v>1348</v>
      </c>
      <c r="C8" s="1862">
        <f>专项用途财政性资金审核表!C8</f>
        <v>2012</v>
      </c>
      <c r="D8" s="2080">
        <f>专项用途财政性资金审核表!D8</f>
        <v>0</v>
      </c>
      <c r="E8" s="2080">
        <f>专项用途财政性资金审核表!E8</f>
        <v>0</v>
      </c>
      <c r="F8" s="2080">
        <f>专项用途财政性资金审核表!F8</f>
        <v>0</v>
      </c>
      <c r="G8" s="1859" t="s">
        <v>1859</v>
      </c>
      <c r="H8" s="2080">
        <f>专项用途财政性资金审核表!H8</f>
        <v>0</v>
      </c>
      <c r="I8" s="2080">
        <f>专项用途财政性资金审核表!I8</f>
        <v>0</v>
      </c>
      <c r="J8" s="2080">
        <f>专项用途财政性资金审核表!J8</f>
        <v>0</v>
      </c>
      <c r="K8" s="2080">
        <f>专项用途财政性资金审核表!K8</f>
        <v>0</v>
      </c>
      <c r="L8" s="2080">
        <f>专项用途财政性资金审核表!L8</f>
        <v>0</v>
      </c>
      <c r="M8" s="2080">
        <f>专项用途财政性资金审核表!M8</f>
        <v>0</v>
      </c>
      <c r="N8" s="2080">
        <f>专项用途财政性资金审核表!N8</f>
        <v>0</v>
      </c>
      <c r="O8" s="2080">
        <f>专项用途财政性资金审核表!O8</f>
        <v>0</v>
      </c>
      <c r="P8" s="2080">
        <f>专项用途财政性资金审核表!P8</f>
        <v>0</v>
      </c>
      <c r="Q8" s="1969"/>
    </row>
    <row r="9" spans="1:18" ht="14.25" customHeight="1">
      <c r="A9" s="1858">
        <v>3</v>
      </c>
      <c r="B9" s="1859" t="s">
        <v>1349</v>
      </c>
      <c r="C9" s="1862">
        <f>专项用途财政性资金审核表!C9</f>
        <v>2013</v>
      </c>
      <c r="D9" s="2080">
        <f>专项用途财政性资金审核表!D9</f>
        <v>0</v>
      </c>
      <c r="E9" s="2080">
        <f>专项用途财政性资金审核表!E9</f>
        <v>0</v>
      </c>
      <c r="F9" s="2080">
        <f>专项用途财政性资金审核表!F9</f>
        <v>0</v>
      </c>
      <c r="G9" s="1859" t="s">
        <v>1859</v>
      </c>
      <c r="H9" s="1859" t="s">
        <v>1859</v>
      </c>
      <c r="I9" s="2080">
        <f>专项用途财政性资金审核表!I9</f>
        <v>0</v>
      </c>
      <c r="J9" s="2080">
        <f>专项用途财政性资金审核表!J9</f>
        <v>0</v>
      </c>
      <c r="K9" s="2080">
        <f>专项用途财政性资金审核表!K9</f>
        <v>0</v>
      </c>
      <c r="L9" s="2080">
        <f>专项用途财政性资金审核表!L9</f>
        <v>0</v>
      </c>
      <c r="M9" s="2080">
        <f>专项用途财政性资金审核表!M9</f>
        <v>0</v>
      </c>
      <c r="N9" s="2080">
        <f>专项用途财政性资金审核表!N9</f>
        <v>0</v>
      </c>
      <c r="O9" s="2080">
        <f>专项用途财政性资金审核表!O9</f>
        <v>0</v>
      </c>
      <c r="P9" s="2080">
        <f>专项用途财政性资金审核表!P9</f>
        <v>0</v>
      </c>
      <c r="Q9" s="1969"/>
    </row>
    <row r="10" spans="1:18" ht="14.25" customHeight="1">
      <c r="A10" s="1858">
        <v>4</v>
      </c>
      <c r="B10" s="1859" t="s">
        <v>1350</v>
      </c>
      <c r="C10" s="1862">
        <f>专项用途财政性资金审核表!C10</f>
        <v>2014</v>
      </c>
      <c r="D10" s="2080">
        <f>专项用途财政性资金审核表!D10</f>
        <v>0</v>
      </c>
      <c r="E10" s="2080">
        <f>专项用途财政性资金审核表!E10</f>
        <v>0</v>
      </c>
      <c r="F10" s="2080">
        <f>专项用途财政性资金审核表!F10</f>
        <v>0</v>
      </c>
      <c r="G10" s="1859" t="s">
        <v>1859</v>
      </c>
      <c r="H10" s="1859" t="s">
        <v>1859</v>
      </c>
      <c r="I10" s="1859" t="s">
        <v>1859</v>
      </c>
      <c r="J10" s="2080">
        <f>专项用途财政性资金审核表!J10</f>
        <v>0</v>
      </c>
      <c r="K10" s="2080">
        <f>专项用途财政性资金审核表!K10</f>
        <v>0</v>
      </c>
      <c r="L10" s="2080">
        <f>专项用途财政性资金审核表!L10</f>
        <v>0</v>
      </c>
      <c r="M10" s="2080">
        <f>专项用途财政性资金审核表!M10</f>
        <v>0</v>
      </c>
      <c r="N10" s="2080">
        <f>专项用途财政性资金审核表!N10</f>
        <v>0</v>
      </c>
      <c r="O10" s="2080">
        <f>专项用途财政性资金审核表!O10</f>
        <v>0</v>
      </c>
      <c r="P10" s="2080">
        <f>专项用途财政性资金审核表!P10</f>
        <v>0</v>
      </c>
      <c r="Q10" s="1969"/>
    </row>
    <row r="11" spans="1:18" ht="14.25" customHeight="1">
      <c r="A11" s="1858">
        <v>5</v>
      </c>
      <c r="B11" s="1859" t="s">
        <v>1351</v>
      </c>
      <c r="C11" s="1862">
        <f>专项用途财政性资金审核表!C11</f>
        <v>2015</v>
      </c>
      <c r="D11" s="2080">
        <f>专项用途财政性资金审核表!D11</f>
        <v>0</v>
      </c>
      <c r="E11" s="2080">
        <f>专项用途财政性资金审核表!E11</f>
        <v>0</v>
      </c>
      <c r="F11" s="2080">
        <f>专项用途财政性资金审核表!F11</f>
        <v>0</v>
      </c>
      <c r="G11" s="1859" t="s">
        <v>1859</v>
      </c>
      <c r="H11" s="1859" t="s">
        <v>1859</v>
      </c>
      <c r="I11" s="1859" t="s">
        <v>1859</v>
      </c>
      <c r="J11" s="1859" t="s">
        <v>1859</v>
      </c>
      <c r="K11" s="2080">
        <f>专项用途财政性资金审核表!K11</f>
        <v>0</v>
      </c>
      <c r="L11" s="2080">
        <f>专项用途财政性资金审核表!L11</f>
        <v>0</v>
      </c>
      <c r="M11" s="2080">
        <f>专项用途财政性资金审核表!M11</f>
        <v>0</v>
      </c>
      <c r="N11" s="2080">
        <f>专项用途财政性资金审核表!N11</f>
        <v>0</v>
      </c>
      <c r="O11" s="2080">
        <f>专项用途财政性资金审核表!O11</f>
        <v>0</v>
      </c>
      <c r="P11" s="2080">
        <f>专项用途财政性资金审核表!P11</f>
        <v>0</v>
      </c>
      <c r="Q11" s="1969"/>
    </row>
    <row r="12" spans="1:18" ht="14.25" customHeight="1">
      <c r="A12" s="1858">
        <v>6</v>
      </c>
      <c r="B12" s="1859" t="s">
        <v>5252</v>
      </c>
      <c r="C12" s="1862">
        <f>专项用途财政性资金审核表!C12</f>
        <v>2016</v>
      </c>
      <c r="D12" s="2080">
        <f>专项用途财政性资金审核表!D12</f>
        <v>0</v>
      </c>
      <c r="E12" s="2080">
        <f>专项用途财政性资金审核表!E12</f>
        <v>0</v>
      </c>
      <c r="F12" s="2080">
        <f>专项用途财政性资金审核表!F12</f>
        <v>0</v>
      </c>
      <c r="G12" s="1859" t="s">
        <v>1859</v>
      </c>
      <c r="H12" s="1859" t="s">
        <v>1859</v>
      </c>
      <c r="I12" s="1859" t="s">
        <v>1859</v>
      </c>
      <c r="J12" s="1859" t="s">
        <v>1859</v>
      </c>
      <c r="K12" s="1859" t="s">
        <v>1859</v>
      </c>
      <c r="L12" s="2080">
        <f>专项用途财政性资金审核表!L12</f>
        <v>0</v>
      </c>
      <c r="M12" s="2080">
        <f>专项用途财政性资金审核表!M12</f>
        <v>0</v>
      </c>
      <c r="N12" s="2080">
        <f>专项用途财政性资金审核表!N12</f>
        <v>0</v>
      </c>
      <c r="O12" s="2080">
        <f>专项用途财政性资金审核表!O12</f>
        <v>0</v>
      </c>
      <c r="P12" s="2080">
        <f>专项用途财政性资金审核表!P12</f>
        <v>0</v>
      </c>
      <c r="Q12" s="1969"/>
      <c r="R12" s="1675" t="s">
        <v>6440</v>
      </c>
    </row>
    <row r="13" spans="1:18" s="1559" customFormat="1" ht="19.5" customHeight="1">
      <c r="A13" s="1860">
        <v>7</v>
      </c>
      <c r="B13" s="1861" t="s">
        <v>5253</v>
      </c>
      <c r="C13" s="1859" t="s">
        <v>1859</v>
      </c>
      <c r="D13" s="2080">
        <f>专项用途财政性资金审核表!D13</f>
        <v>0</v>
      </c>
      <c r="E13" s="2080">
        <f>专项用途财政性资金审核表!E13</f>
        <v>0</v>
      </c>
      <c r="F13" s="2080">
        <f>专项用途财政性资金审核表!F13</f>
        <v>0</v>
      </c>
      <c r="G13" s="1859" t="s">
        <v>1859</v>
      </c>
      <c r="H13" s="1859" t="s">
        <v>1859</v>
      </c>
      <c r="I13" s="1859" t="s">
        <v>1859</v>
      </c>
      <c r="J13" s="1859" t="s">
        <v>1859</v>
      </c>
      <c r="K13" s="1859" t="s">
        <v>1859</v>
      </c>
      <c r="L13" s="2080">
        <f>专项用途财政性资金审核表!L13</f>
        <v>0</v>
      </c>
      <c r="M13" s="2080">
        <f>专项用途财政性资金审核表!M13</f>
        <v>0</v>
      </c>
      <c r="N13" s="2080">
        <f>专项用途财政性资金审核表!N13</f>
        <v>0</v>
      </c>
      <c r="O13" s="2080">
        <f>专项用途财政性资金审核表!O13</f>
        <v>0</v>
      </c>
      <c r="P13" s="2080">
        <f>专项用途财政性资金审核表!P13</f>
        <v>0</v>
      </c>
      <c r="Q13" s="1861" t="s">
        <v>6101</v>
      </c>
    </row>
  </sheetData>
  <mergeCells count="21">
    <mergeCell ref="Q3:Q5"/>
    <mergeCell ref="G4:G5"/>
    <mergeCell ref="H4:H5"/>
    <mergeCell ref="I4:I5"/>
    <mergeCell ref="J4:J5"/>
    <mergeCell ref="K4:K5"/>
    <mergeCell ref="L4:L5"/>
    <mergeCell ref="M4:M5"/>
    <mergeCell ref="N4:N5"/>
    <mergeCell ref="O4:O5"/>
    <mergeCell ref="A1:P1"/>
    <mergeCell ref="A2:P2"/>
    <mergeCell ref="A3:A6"/>
    <mergeCell ref="B3:B6"/>
    <mergeCell ref="C3:C5"/>
    <mergeCell ref="D3:D5"/>
    <mergeCell ref="E3:F4"/>
    <mergeCell ref="G3:K3"/>
    <mergeCell ref="L3:M3"/>
    <mergeCell ref="N3:P3"/>
    <mergeCell ref="P4:P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5.6"/>
  <cols>
    <col min="1" max="1" width="5.19921875" style="1551" customWidth="1"/>
    <col min="2" max="2" width="35.59765625" style="1551" customWidth="1"/>
    <col min="3" max="3" width="12.3984375" style="1551" customWidth="1"/>
    <col min="4" max="4" width="7.5" style="1551" customWidth="1"/>
    <col min="5" max="8" width="12.3984375" style="1551" customWidth="1"/>
    <col min="9" max="9" width="14" style="1551" customWidth="1"/>
    <col min="10" max="10" width="19" style="1551" customWidth="1"/>
    <col min="11" max="256" width="9" style="1551"/>
    <col min="257" max="257" width="5.19921875" style="1551" customWidth="1"/>
    <col min="258" max="258" width="35.59765625" style="1551" customWidth="1"/>
    <col min="259" max="259" width="9.59765625" style="1551" customWidth="1"/>
    <col min="260" max="260" width="9.8984375" style="1551" customWidth="1"/>
    <col min="261" max="261" width="13.09765625" style="1551" customWidth="1"/>
    <col min="262" max="262" width="9" style="1551"/>
    <col min="263" max="263" width="10.09765625" style="1551" customWidth="1"/>
    <col min="264" max="264" width="13.09765625" style="1551" customWidth="1"/>
    <col min="265" max="265" width="14" style="1551" customWidth="1"/>
    <col min="266" max="266" width="19" style="1551" customWidth="1"/>
    <col min="267" max="512" width="9" style="1551"/>
    <col min="513" max="513" width="5.19921875" style="1551" customWidth="1"/>
    <col min="514" max="514" width="35.59765625" style="1551" customWidth="1"/>
    <col min="515" max="515" width="9.59765625" style="1551" customWidth="1"/>
    <col min="516" max="516" width="9.8984375" style="1551" customWidth="1"/>
    <col min="517" max="517" width="13.09765625" style="1551" customWidth="1"/>
    <col min="518" max="518" width="9" style="1551"/>
    <col min="519" max="519" width="10.09765625" style="1551" customWidth="1"/>
    <col min="520" max="520" width="13.09765625" style="1551" customWidth="1"/>
    <col min="521" max="521" width="14" style="1551" customWidth="1"/>
    <col min="522" max="522" width="19" style="1551" customWidth="1"/>
    <col min="523" max="768" width="9" style="1551"/>
    <col min="769" max="769" width="5.19921875" style="1551" customWidth="1"/>
    <col min="770" max="770" width="35.59765625" style="1551" customWidth="1"/>
    <col min="771" max="771" width="9.59765625" style="1551" customWidth="1"/>
    <col min="772" max="772" width="9.8984375" style="1551" customWidth="1"/>
    <col min="773" max="773" width="13.09765625" style="1551" customWidth="1"/>
    <col min="774" max="774" width="9" style="1551"/>
    <col min="775" max="775" width="10.09765625" style="1551" customWidth="1"/>
    <col min="776" max="776" width="13.09765625" style="1551" customWidth="1"/>
    <col min="777" max="777" width="14" style="1551" customWidth="1"/>
    <col min="778" max="778" width="19" style="1551" customWidth="1"/>
    <col min="779" max="1024" width="9" style="1551"/>
    <col min="1025" max="1025" width="5.19921875" style="1551" customWidth="1"/>
    <col min="1026" max="1026" width="35.59765625" style="1551" customWidth="1"/>
    <col min="1027" max="1027" width="9.59765625" style="1551" customWidth="1"/>
    <col min="1028" max="1028" width="9.8984375" style="1551" customWidth="1"/>
    <col min="1029" max="1029" width="13.09765625" style="1551" customWidth="1"/>
    <col min="1030" max="1030" width="9" style="1551"/>
    <col min="1031" max="1031" width="10.09765625" style="1551" customWidth="1"/>
    <col min="1032" max="1032" width="13.09765625" style="1551" customWidth="1"/>
    <col min="1033" max="1033" width="14" style="1551" customWidth="1"/>
    <col min="1034" max="1034" width="19" style="1551" customWidth="1"/>
    <col min="1035" max="1280" width="9" style="1551"/>
    <col min="1281" max="1281" width="5.19921875" style="1551" customWidth="1"/>
    <col min="1282" max="1282" width="35.59765625" style="1551" customWidth="1"/>
    <col min="1283" max="1283" width="9.59765625" style="1551" customWidth="1"/>
    <col min="1284" max="1284" width="9.8984375" style="1551" customWidth="1"/>
    <col min="1285" max="1285" width="13.09765625" style="1551" customWidth="1"/>
    <col min="1286" max="1286" width="9" style="1551"/>
    <col min="1287" max="1287" width="10.09765625" style="1551" customWidth="1"/>
    <col min="1288" max="1288" width="13.09765625" style="1551" customWidth="1"/>
    <col min="1289" max="1289" width="14" style="1551" customWidth="1"/>
    <col min="1290" max="1290" width="19" style="1551" customWidth="1"/>
    <col min="1291" max="1536" width="9" style="1551"/>
    <col min="1537" max="1537" width="5.19921875" style="1551" customWidth="1"/>
    <col min="1538" max="1538" width="35.59765625" style="1551" customWidth="1"/>
    <col min="1539" max="1539" width="9.59765625" style="1551" customWidth="1"/>
    <col min="1540" max="1540" width="9.8984375" style="1551" customWidth="1"/>
    <col min="1541" max="1541" width="13.09765625" style="1551" customWidth="1"/>
    <col min="1542" max="1542" width="9" style="1551"/>
    <col min="1543" max="1543" width="10.09765625" style="1551" customWidth="1"/>
    <col min="1544" max="1544" width="13.09765625" style="1551" customWidth="1"/>
    <col min="1545" max="1545" width="14" style="1551" customWidth="1"/>
    <col min="1546" max="1546" width="19" style="1551" customWidth="1"/>
    <col min="1547" max="1792" width="9" style="1551"/>
    <col min="1793" max="1793" width="5.19921875" style="1551" customWidth="1"/>
    <col min="1794" max="1794" width="35.59765625" style="1551" customWidth="1"/>
    <col min="1795" max="1795" width="9.59765625" style="1551" customWidth="1"/>
    <col min="1796" max="1796" width="9.8984375" style="1551" customWidth="1"/>
    <col min="1797" max="1797" width="13.09765625" style="1551" customWidth="1"/>
    <col min="1798" max="1798" width="9" style="1551"/>
    <col min="1799" max="1799" width="10.09765625" style="1551" customWidth="1"/>
    <col min="1800" max="1800" width="13.09765625" style="1551" customWidth="1"/>
    <col min="1801" max="1801" width="14" style="1551" customWidth="1"/>
    <col min="1802" max="1802" width="19" style="1551" customWidth="1"/>
    <col min="1803" max="2048" width="9" style="1551"/>
    <col min="2049" max="2049" width="5.19921875" style="1551" customWidth="1"/>
    <col min="2050" max="2050" width="35.59765625" style="1551" customWidth="1"/>
    <col min="2051" max="2051" width="9.59765625" style="1551" customWidth="1"/>
    <col min="2052" max="2052" width="9.8984375" style="1551" customWidth="1"/>
    <col min="2053" max="2053" width="13.09765625" style="1551" customWidth="1"/>
    <col min="2054" max="2054" width="9" style="1551"/>
    <col min="2055" max="2055" width="10.09765625" style="1551" customWidth="1"/>
    <col min="2056" max="2056" width="13.09765625" style="1551" customWidth="1"/>
    <col min="2057" max="2057" width="14" style="1551" customWidth="1"/>
    <col min="2058" max="2058" width="19" style="1551" customWidth="1"/>
    <col min="2059" max="2304" width="9" style="1551"/>
    <col min="2305" max="2305" width="5.19921875" style="1551" customWidth="1"/>
    <col min="2306" max="2306" width="35.59765625" style="1551" customWidth="1"/>
    <col min="2307" max="2307" width="9.59765625" style="1551" customWidth="1"/>
    <col min="2308" max="2308" width="9.8984375" style="1551" customWidth="1"/>
    <col min="2309" max="2309" width="13.09765625" style="1551" customWidth="1"/>
    <col min="2310" max="2310" width="9" style="1551"/>
    <col min="2311" max="2311" width="10.09765625" style="1551" customWidth="1"/>
    <col min="2312" max="2312" width="13.09765625" style="1551" customWidth="1"/>
    <col min="2313" max="2313" width="14" style="1551" customWidth="1"/>
    <col min="2314" max="2314" width="19" style="1551" customWidth="1"/>
    <col min="2315" max="2560" width="9" style="1551"/>
    <col min="2561" max="2561" width="5.19921875" style="1551" customWidth="1"/>
    <col min="2562" max="2562" width="35.59765625" style="1551" customWidth="1"/>
    <col min="2563" max="2563" width="9.59765625" style="1551" customWidth="1"/>
    <col min="2564" max="2564" width="9.8984375" style="1551" customWidth="1"/>
    <col min="2565" max="2565" width="13.09765625" style="1551" customWidth="1"/>
    <col min="2566" max="2566" width="9" style="1551"/>
    <col min="2567" max="2567" width="10.09765625" style="1551" customWidth="1"/>
    <col min="2568" max="2568" width="13.09765625" style="1551" customWidth="1"/>
    <col min="2569" max="2569" width="14" style="1551" customWidth="1"/>
    <col min="2570" max="2570" width="19" style="1551" customWidth="1"/>
    <col min="2571" max="2816" width="9" style="1551"/>
    <col min="2817" max="2817" width="5.19921875" style="1551" customWidth="1"/>
    <col min="2818" max="2818" width="35.59765625" style="1551" customWidth="1"/>
    <col min="2819" max="2819" width="9.59765625" style="1551" customWidth="1"/>
    <col min="2820" max="2820" width="9.8984375" style="1551" customWidth="1"/>
    <col min="2821" max="2821" width="13.09765625" style="1551" customWidth="1"/>
    <col min="2822" max="2822" width="9" style="1551"/>
    <col min="2823" max="2823" width="10.09765625" style="1551" customWidth="1"/>
    <col min="2824" max="2824" width="13.09765625" style="1551" customWidth="1"/>
    <col min="2825" max="2825" width="14" style="1551" customWidth="1"/>
    <col min="2826" max="2826" width="19" style="1551" customWidth="1"/>
    <col min="2827" max="3072" width="9" style="1551"/>
    <col min="3073" max="3073" width="5.19921875" style="1551" customWidth="1"/>
    <col min="3074" max="3074" width="35.59765625" style="1551" customWidth="1"/>
    <col min="3075" max="3075" width="9.59765625" style="1551" customWidth="1"/>
    <col min="3076" max="3076" width="9.8984375" style="1551" customWidth="1"/>
    <col min="3077" max="3077" width="13.09765625" style="1551" customWidth="1"/>
    <col min="3078" max="3078" width="9" style="1551"/>
    <col min="3079" max="3079" width="10.09765625" style="1551" customWidth="1"/>
    <col min="3080" max="3080" width="13.09765625" style="1551" customWidth="1"/>
    <col min="3081" max="3081" width="14" style="1551" customWidth="1"/>
    <col min="3082" max="3082" width="19" style="1551" customWidth="1"/>
    <col min="3083" max="3328" width="9" style="1551"/>
    <col min="3329" max="3329" width="5.19921875" style="1551" customWidth="1"/>
    <col min="3330" max="3330" width="35.59765625" style="1551" customWidth="1"/>
    <col min="3331" max="3331" width="9.59765625" style="1551" customWidth="1"/>
    <col min="3332" max="3332" width="9.8984375" style="1551" customWidth="1"/>
    <col min="3333" max="3333" width="13.09765625" style="1551" customWidth="1"/>
    <col min="3334" max="3334" width="9" style="1551"/>
    <col min="3335" max="3335" width="10.09765625" style="1551" customWidth="1"/>
    <col min="3336" max="3336" width="13.09765625" style="1551" customWidth="1"/>
    <col min="3337" max="3337" width="14" style="1551" customWidth="1"/>
    <col min="3338" max="3338" width="19" style="1551" customWidth="1"/>
    <col min="3339" max="3584" width="9" style="1551"/>
    <col min="3585" max="3585" width="5.19921875" style="1551" customWidth="1"/>
    <col min="3586" max="3586" width="35.59765625" style="1551" customWidth="1"/>
    <col min="3587" max="3587" width="9.59765625" style="1551" customWidth="1"/>
    <col min="3588" max="3588" width="9.8984375" style="1551" customWidth="1"/>
    <col min="3589" max="3589" width="13.09765625" style="1551" customWidth="1"/>
    <col min="3590" max="3590" width="9" style="1551"/>
    <col min="3591" max="3591" width="10.09765625" style="1551" customWidth="1"/>
    <col min="3592" max="3592" width="13.09765625" style="1551" customWidth="1"/>
    <col min="3593" max="3593" width="14" style="1551" customWidth="1"/>
    <col min="3594" max="3594" width="19" style="1551" customWidth="1"/>
    <col min="3595" max="3840" width="9" style="1551"/>
    <col min="3841" max="3841" width="5.19921875" style="1551" customWidth="1"/>
    <col min="3842" max="3842" width="35.59765625" style="1551" customWidth="1"/>
    <col min="3843" max="3843" width="9.59765625" style="1551" customWidth="1"/>
    <col min="3844" max="3844" width="9.8984375" style="1551" customWidth="1"/>
    <col min="3845" max="3845" width="13.09765625" style="1551" customWidth="1"/>
    <col min="3846" max="3846" width="9" style="1551"/>
    <col min="3847" max="3847" width="10.09765625" style="1551" customWidth="1"/>
    <col min="3848" max="3848" width="13.09765625" style="1551" customWidth="1"/>
    <col min="3849" max="3849" width="14" style="1551" customWidth="1"/>
    <col min="3850" max="3850" width="19" style="1551" customWidth="1"/>
    <col min="3851" max="4096" width="9" style="1551"/>
    <col min="4097" max="4097" width="5.19921875" style="1551" customWidth="1"/>
    <col min="4098" max="4098" width="35.59765625" style="1551" customWidth="1"/>
    <col min="4099" max="4099" width="9.59765625" style="1551" customWidth="1"/>
    <col min="4100" max="4100" width="9.8984375" style="1551" customWidth="1"/>
    <col min="4101" max="4101" width="13.09765625" style="1551" customWidth="1"/>
    <col min="4102" max="4102" width="9" style="1551"/>
    <col min="4103" max="4103" width="10.09765625" style="1551" customWidth="1"/>
    <col min="4104" max="4104" width="13.09765625" style="1551" customWidth="1"/>
    <col min="4105" max="4105" width="14" style="1551" customWidth="1"/>
    <col min="4106" max="4106" width="19" style="1551" customWidth="1"/>
    <col min="4107" max="4352" width="9" style="1551"/>
    <col min="4353" max="4353" width="5.19921875" style="1551" customWidth="1"/>
    <col min="4354" max="4354" width="35.59765625" style="1551" customWidth="1"/>
    <col min="4355" max="4355" width="9.59765625" style="1551" customWidth="1"/>
    <col min="4356" max="4356" width="9.8984375" style="1551" customWidth="1"/>
    <col min="4357" max="4357" width="13.09765625" style="1551" customWidth="1"/>
    <col min="4358" max="4358" width="9" style="1551"/>
    <col min="4359" max="4359" width="10.09765625" style="1551" customWidth="1"/>
    <col min="4360" max="4360" width="13.09765625" style="1551" customWidth="1"/>
    <col min="4361" max="4361" width="14" style="1551" customWidth="1"/>
    <col min="4362" max="4362" width="19" style="1551" customWidth="1"/>
    <col min="4363" max="4608" width="9" style="1551"/>
    <col min="4609" max="4609" width="5.19921875" style="1551" customWidth="1"/>
    <col min="4610" max="4610" width="35.59765625" style="1551" customWidth="1"/>
    <col min="4611" max="4611" width="9.59765625" style="1551" customWidth="1"/>
    <col min="4612" max="4612" width="9.8984375" style="1551" customWidth="1"/>
    <col min="4613" max="4613" width="13.09765625" style="1551" customWidth="1"/>
    <col min="4614" max="4614" width="9" style="1551"/>
    <col min="4615" max="4615" width="10.09765625" style="1551" customWidth="1"/>
    <col min="4616" max="4616" width="13.09765625" style="1551" customWidth="1"/>
    <col min="4617" max="4617" width="14" style="1551" customWidth="1"/>
    <col min="4618" max="4618" width="19" style="1551" customWidth="1"/>
    <col min="4619" max="4864" width="9" style="1551"/>
    <col min="4865" max="4865" width="5.19921875" style="1551" customWidth="1"/>
    <col min="4866" max="4866" width="35.59765625" style="1551" customWidth="1"/>
    <col min="4867" max="4867" width="9.59765625" style="1551" customWidth="1"/>
    <col min="4868" max="4868" width="9.8984375" style="1551" customWidth="1"/>
    <col min="4869" max="4869" width="13.09765625" style="1551" customWidth="1"/>
    <col min="4870" max="4870" width="9" style="1551"/>
    <col min="4871" max="4871" width="10.09765625" style="1551" customWidth="1"/>
    <col min="4872" max="4872" width="13.09765625" style="1551" customWidth="1"/>
    <col min="4873" max="4873" width="14" style="1551" customWidth="1"/>
    <col min="4874" max="4874" width="19" style="1551" customWidth="1"/>
    <col min="4875" max="5120" width="9" style="1551"/>
    <col min="5121" max="5121" width="5.19921875" style="1551" customWidth="1"/>
    <col min="5122" max="5122" width="35.59765625" style="1551" customWidth="1"/>
    <col min="5123" max="5123" width="9.59765625" style="1551" customWidth="1"/>
    <col min="5124" max="5124" width="9.8984375" style="1551" customWidth="1"/>
    <col min="5125" max="5125" width="13.09765625" style="1551" customWidth="1"/>
    <col min="5126" max="5126" width="9" style="1551"/>
    <col min="5127" max="5127" width="10.09765625" style="1551" customWidth="1"/>
    <col min="5128" max="5128" width="13.09765625" style="1551" customWidth="1"/>
    <col min="5129" max="5129" width="14" style="1551" customWidth="1"/>
    <col min="5130" max="5130" width="19" style="1551" customWidth="1"/>
    <col min="5131" max="5376" width="9" style="1551"/>
    <col min="5377" max="5377" width="5.19921875" style="1551" customWidth="1"/>
    <col min="5378" max="5378" width="35.59765625" style="1551" customWidth="1"/>
    <col min="5379" max="5379" width="9.59765625" style="1551" customWidth="1"/>
    <col min="5380" max="5380" width="9.8984375" style="1551" customWidth="1"/>
    <col min="5381" max="5381" width="13.09765625" style="1551" customWidth="1"/>
    <col min="5382" max="5382" width="9" style="1551"/>
    <col min="5383" max="5383" width="10.09765625" style="1551" customWidth="1"/>
    <col min="5384" max="5384" width="13.09765625" style="1551" customWidth="1"/>
    <col min="5385" max="5385" width="14" style="1551" customWidth="1"/>
    <col min="5386" max="5386" width="19" style="1551" customWidth="1"/>
    <col min="5387" max="5632" width="9" style="1551"/>
    <col min="5633" max="5633" width="5.19921875" style="1551" customWidth="1"/>
    <col min="5634" max="5634" width="35.59765625" style="1551" customWidth="1"/>
    <col min="5635" max="5635" width="9.59765625" style="1551" customWidth="1"/>
    <col min="5636" max="5636" width="9.8984375" style="1551" customWidth="1"/>
    <col min="5637" max="5637" width="13.09765625" style="1551" customWidth="1"/>
    <col min="5638" max="5638" width="9" style="1551"/>
    <col min="5639" max="5639" width="10.09765625" style="1551" customWidth="1"/>
    <col min="5640" max="5640" width="13.09765625" style="1551" customWidth="1"/>
    <col min="5641" max="5641" width="14" style="1551" customWidth="1"/>
    <col min="5642" max="5642" width="19" style="1551" customWidth="1"/>
    <col min="5643" max="5888" width="9" style="1551"/>
    <col min="5889" max="5889" width="5.19921875" style="1551" customWidth="1"/>
    <col min="5890" max="5890" width="35.59765625" style="1551" customWidth="1"/>
    <col min="5891" max="5891" width="9.59765625" style="1551" customWidth="1"/>
    <col min="5892" max="5892" width="9.8984375" style="1551" customWidth="1"/>
    <col min="5893" max="5893" width="13.09765625" style="1551" customWidth="1"/>
    <col min="5894" max="5894" width="9" style="1551"/>
    <col min="5895" max="5895" width="10.09765625" style="1551" customWidth="1"/>
    <col min="5896" max="5896" width="13.09765625" style="1551" customWidth="1"/>
    <col min="5897" max="5897" width="14" style="1551" customWidth="1"/>
    <col min="5898" max="5898" width="19" style="1551" customWidth="1"/>
    <col min="5899" max="6144" width="9" style="1551"/>
    <col min="6145" max="6145" width="5.19921875" style="1551" customWidth="1"/>
    <col min="6146" max="6146" width="35.59765625" style="1551" customWidth="1"/>
    <col min="6147" max="6147" width="9.59765625" style="1551" customWidth="1"/>
    <col min="6148" max="6148" width="9.8984375" style="1551" customWidth="1"/>
    <col min="6149" max="6149" width="13.09765625" style="1551" customWidth="1"/>
    <col min="6150" max="6150" width="9" style="1551"/>
    <col min="6151" max="6151" width="10.09765625" style="1551" customWidth="1"/>
    <col min="6152" max="6152" width="13.09765625" style="1551" customWidth="1"/>
    <col min="6153" max="6153" width="14" style="1551" customWidth="1"/>
    <col min="6154" max="6154" width="19" style="1551" customWidth="1"/>
    <col min="6155" max="6400" width="9" style="1551"/>
    <col min="6401" max="6401" width="5.19921875" style="1551" customWidth="1"/>
    <col min="6402" max="6402" width="35.59765625" style="1551" customWidth="1"/>
    <col min="6403" max="6403" width="9.59765625" style="1551" customWidth="1"/>
    <col min="6404" max="6404" width="9.8984375" style="1551" customWidth="1"/>
    <col min="6405" max="6405" width="13.09765625" style="1551" customWidth="1"/>
    <col min="6406" max="6406" width="9" style="1551"/>
    <col min="6407" max="6407" width="10.09765625" style="1551" customWidth="1"/>
    <col min="6408" max="6408" width="13.09765625" style="1551" customWidth="1"/>
    <col min="6409" max="6409" width="14" style="1551" customWidth="1"/>
    <col min="6410" max="6410" width="19" style="1551" customWidth="1"/>
    <col min="6411" max="6656" width="9" style="1551"/>
    <col min="6657" max="6657" width="5.19921875" style="1551" customWidth="1"/>
    <col min="6658" max="6658" width="35.59765625" style="1551" customWidth="1"/>
    <col min="6659" max="6659" width="9.59765625" style="1551" customWidth="1"/>
    <col min="6660" max="6660" width="9.8984375" style="1551" customWidth="1"/>
    <col min="6661" max="6661" width="13.09765625" style="1551" customWidth="1"/>
    <col min="6662" max="6662" width="9" style="1551"/>
    <col min="6663" max="6663" width="10.09765625" style="1551" customWidth="1"/>
    <col min="6664" max="6664" width="13.09765625" style="1551" customWidth="1"/>
    <col min="6665" max="6665" width="14" style="1551" customWidth="1"/>
    <col min="6666" max="6666" width="19" style="1551" customWidth="1"/>
    <col min="6667" max="6912" width="9" style="1551"/>
    <col min="6913" max="6913" width="5.19921875" style="1551" customWidth="1"/>
    <col min="6914" max="6914" width="35.59765625" style="1551" customWidth="1"/>
    <col min="6915" max="6915" width="9.59765625" style="1551" customWidth="1"/>
    <col min="6916" max="6916" width="9.8984375" style="1551" customWidth="1"/>
    <col min="6917" max="6917" width="13.09765625" style="1551" customWidth="1"/>
    <col min="6918" max="6918" width="9" style="1551"/>
    <col min="6919" max="6919" width="10.09765625" style="1551" customWidth="1"/>
    <col min="6920" max="6920" width="13.09765625" style="1551" customWidth="1"/>
    <col min="6921" max="6921" width="14" style="1551" customWidth="1"/>
    <col min="6922" max="6922" width="19" style="1551" customWidth="1"/>
    <col min="6923" max="7168" width="9" style="1551"/>
    <col min="7169" max="7169" width="5.19921875" style="1551" customWidth="1"/>
    <col min="7170" max="7170" width="35.59765625" style="1551" customWidth="1"/>
    <col min="7171" max="7171" width="9.59765625" style="1551" customWidth="1"/>
    <col min="7172" max="7172" width="9.8984375" style="1551" customWidth="1"/>
    <col min="7173" max="7173" width="13.09765625" style="1551" customWidth="1"/>
    <col min="7174" max="7174" width="9" style="1551"/>
    <col min="7175" max="7175" width="10.09765625" style="1551" customWidth="1"/>
    <col min="7176" max="7176" width="13.09765625" style="1551" customWidth="1"/>
    <col min="7177" max="7177" width="14" style="1551" customWidth="1"/>
    <col min="7178" max="7178" width="19" style="1551" customWidth="1"/>
    <col min="7179" max="7424" width="9" style="1551"/>
    <col min="7425" max="7425" width="5.19921875" style="1551" customWidth="1"/>
    <col min="7426" max="7426" width="35.59765625" style="1551" customWidth="1"/>
    <col min="7427" max="7427" width="9.59765625" style="1551" customWidth="1"/>
    <col min="7428" max="7428" width="9.8984375" style="1551" customWidth="1"/>
    <col min="7429" max="7429" width="13.09765625" style="1551" customWidth="1"/>
    <col min="7430" max="7430" width="9" style="1551"/>
    <col min="7431" max="7431" width="10.09765625" style="1551" customWidth="1"/>
    <col min="7432" max="7432" width="13.09765625" style="1551" customWidth="1"/>
    <col min="7433" max="7433" width="14" style="1551" customWidth="1"/>
    <col min="7434" max="7434" width="19" style="1551" customWidth="1"/>
    <col min="7435" max="7680" width="9" style="1551"/>
    <col min="7681" max="7681" width="5.19921875" style="1551" customWidth="1"/>
    <col min="7682" max="7682" width="35.59765625" style="1551" customWidth="1"/>
    <col min="7683" max="7683" width="9.59765625" style="1551" customWidth="1"/>
    <col min="7684" max="7684" width="9.8984375" style="1551" customWidth="1"/>
    <col min="7685" max="7685" width="13.09765625" style="1551" customWidth="1"/>
    <col min="7686" max="7686" width="9" style="1551"/>
    <col min="7687" max="7687" width="10.09765625" style="1551" customWidth="1"/>
    <col min="7688" max="7688" width="13.09765625" style="1551" customWidth="1"/>
    <col min="7689" max="7689" width="14" style="1551" customWidth="1"/>
    <col min="7690" max="7690" width="19" style="1551" customWidth="1"/>
    <col min="7691" max="7936" width="9" style="1551"/>
    <col min="7937" max="7937" width="5.19921875" style="1551" customWidth="1"/>
    <col min="7938" max="7938" width="35.59765625" style="1551" customWidth="1"/>
    <col min="7939" max="7939" width="9.59765625" style="1551" customWidth="1"/>
    <col min="7940" max="7940" width="9.8984375" style="1551" customWidth="1"/>
    <col min="7941" max="7941" width="13.09765625" style="1551" customWidth="1"/>
    <col min="7942" max="7942" width="9" style="1551"/>
    <col min="7943" max="7943" width="10.09765625" style="1551" customWidth="1"/>
    <col min="7944" max="7944" width="13.09765625" style="1551" customWidth="1"/>
    <col min="7945" max="7945" width="14" style="1551" customWidth="1"/>
    <col min="7946" max="7946" width="19" style="1551" customWidth="1"/>
    <col min="7947" max="8192" width="9" style="1551"/>
    <col min="8193" max="8193" width="5.19921875" style="1551" customWidth="1"/>
    <col min="8194" max="8194" width="35.59765625" style="1551" customWidth="1"/>
    <col min="8195" max="8195" width="9.59765625" style="1551" customWidth="1"/>
    <col min="8196" max="8196" width="9.8984375" style="1551" customWidth="1"/>
    <col min="8197" max="8197" width="13.09765625" style="1551" customWidth="1"/>
    <col min="8198" max="8198" width="9" style="1551"/>
    <col min="8199" max="8199" width="10.09765625" style="1551" customWidth="1"/>
    <col min="8200" max="8200" width="13.09765625" style="1551" customWidth="1"/>
    <col min="8201" max="8201" width="14" style="1551" customWidth="1"/>
    <col min="8202" max="8202" width="19" style="1551" customWidth="1"/>
    <col min="8203" max="8448" width="9" style="1551"/>
    <col min="8449" max="8449" width="5.19921875" style="1551" customWidth="1"/>
    <col min="8450" max="8450" width="35.59765625" style="1551" customWidth="1"/>
    <col min="8451" max="8451" width="9.59765625" style="1551" customWidth="1"/>
    <col min="8452" max="8452" width="9.8984375" style="1551" customWidth="1"/>
    <col min="8453" max="8453" width="13.09765625" style="1551" customWidth="1"/>
    <col min="8454" max="8454" width="9" style="1551"/>
    <col min="8455" max="8455" width="10.09765625" style="1551" customWidth="1"/>
    <col min="8456" max="8456" width="13.09765625" style="1551" customWidth="1"/>
    <col min="8457" max="8457" width="14" style="1551" customWidth="1"/>
    <col min="8458" max="8458" width="19" style="1551" customWidth="1"/>
    <col min="8459" max="8704" width="9" style="1551"/>
    <col min="8705" max="8705" width="5.19921875" style="1551" customWidth="1"/>
    <col min="8706" max="8706" width="35.59765625" style="1551" customWidth="1"/>
    <col min="8707" max="8707" width="9.59765625" style="1551" customWidth="1"/>
    <col min="8708" max="8708" width="9.8984375" style="1551" customWidth="1"/>
    <col min="8709" max="8709" width="13.09765625" style="1551" customWidth="1"/>
    <col min="8710" max="8710" width="9" style="1551"/>
    <col min="8711" max="8711" width="10.09765625" style="1551" customWidth="1"/>
    <col min="8712" max="8712" width="13.09765625" style="1551" customWidth="1"/>
    <col min="8713" max="8713" width="14" style="1551" customWidth="1"/>
    <col min="8714" max="8714" width="19" style="1551" customWidth="1"/>
    <col min="8715" max="8960" width="9" style="1551"/>
    <col min="8961" max="8961" width="5.19921875" style="1551" customWidth="1"/>
    <col min="8962" max="8962" width="35.59765625" style="1551" customWidth="1"/>
    <col min="8963" max="8963" width="9.59765625" style="1551" customWidth="1"/>
    <col min="8964" max="8964" width="9.8984375" style="1551" customWidth="1"/>
    <col min="8965" max="8965" width="13.09765625" style="1551" customWidth="1"/>
    <col min="8966" max="8966" width="9" style="1551"/>
    <col min="8967" max="8967" width="10.09765625" style="1551" customWidth="1"/>
    <col min="8968" max="8968" width="13.09765625" style="1551" customWidth="1"/>
    <col min="8969" max="8969" width="14" style="1551" customWidth="1"/>
    <col min="8970" max="8970" width="19" style="1551" customWidth="1"/>
    <col min="8971" max="9216" width="9" style="1551"/>
    <col min="9217" max="9217" width="5.19921875" style="1551" customWidth="1"/>
    <col min="9218" max="9218" width="35.59765625" style="1551" customWidth="1"/>
    <col min="9219" max="9219" width="9.59765625" style="1551" customWidth="1"/>
    <col min="9220" max="9220" width="9.8984375" style="1551" customWidth="1"/>
    <col min="9221" max="9221" width="13.09765625" style="1551" customWidth="1"/>
    <col min="9222" max="9222" width="9" style="1551"/>
    <col min="9223" max="9223" width="10.09765625" style="1551" customWidth="1"/>
    <col min="9224" max="9224" width="13.09765625" style="1551" customWidth="1"/>
    <col min="9225" max="9225" width="14" style="1551" customWidth="1"/>
    <col min="9226" max="9226" width="19" style="1551" customWidth="1"/>
    <col min="9227" max="9472" width="9" style="1551"/>
    <col min="9473" max="9473" width="5.19921875" style="1551" customWidth="1"/>
    <col min="9474" max="9474" width="35.59765625" style="1551" customWidth="1"/>
    <col min="9475" max="9475" width="9.59765625" style="1551" customWidth="1"/>
    <col min="9476" max="9476" width="9.8984375" style="1551" customWidth="1"/>
    <col min="9477" max="9477" width="13.09765625" style="1551" customWidth="1"/>
    <col min="9478" max="9478" width="9" style="1551"/>
    <col min="9479" max="9479" width="10.09765625" style="1551" customWidth="1"/>
    <col min="9480" max="9480" width="13.09765625" style="1551" customWidth="1"/>
    <col min="9481" max="9481" width="14" style="1551" customWidth="1"/>
    <col min="9482" max="9482" width="19" style="1551" customWidth="1"/>
    <col min="9483" max="9728" width="9" style="1551"/>
    <col min="9729" max="9729" width="5.19921875" style="1551" customWidth="1"/>
    <col min="9730" max="9730" width="35.59765625" style="1551" customWidth="1"/>
    <col min="9731" max="9731" width="9.59765625" style="1551" customWidth="1"/>
    <col min="9732" max="9732" width="9.8984375" style="1551" customWidth="1"/>
    <col min="9733" max="9733" width="13.09765625" style="1551" customWidth="1"/>
    <col min="9734" max="9734" width="9" style="1551"/>
    <col min="9735" max="9735" width="10.09765625" style="1551" customWidth="1"/>
    <col min="9736" max="9736" width="13.09765625" style="1551" customWidth="1"/>
    <col min="9737" max="9737" width="14" style="1551" customWidth="1"/>
    <col min="9738" max="9738" width="19" style="1551" customWidth="1"/>
    <col min="9739" max="9984" width="9" style="1551"/>
    <col min="9985" max="9985" width="5.19921875" style="1551" customWidth="1"/>
    <col min="9986" max="9986" width="35.59765625" style="1551" customWidth="1"/>
    <col min="9987" max="9987" width="9.59765625" style="1551" customWidth="1"/>
    <col min="9988" max="9988" width="9.8984375" style="1551" customWidth="1"/>
    <col min="9989" max="9989" width="13.09765625" style="1551" customWidth="1"/>
    <col min="9990" max="9990" width="9" style="1551"/>
    <col min="9991" max="9991" width="10.09765625" style="1551" customWidth="1"/>
    <col min="9992" max="9992" width="13.09765625" style="1551" customWidth="1"/>
    <col min="9993" max="9993" width="14" style="1551" customWidth="1"/>
    <col min="9994" max="9994" width="19" style="1551" customWidth="1"/>
    <col min="9995" max="10240" width="9" style="1551"/>
    <col min="10241" max="10241" width="5.19921875" style="1551" customWidth="1"/>
    <col min="10242" max="10242" width="35.59765625" style="1551" customWidth="1"/>
    <col min="10243" max="10243" width="9.59765625" style="1551" customWidth="1"/>
    <col min="10244" max="10244" width="9.8984375" style="1551" customWidth="1"/>
    <col min="10245" max="10245" width="13.09765625" style="1551" customWidth="1"/>
    <col min="10246" max="10246" width="9" style="1551"/>
    <col min="10247" max="10247" width="10.09765625" style="1551" customWidth="1"/>
    <col min="10248" max="10248" width="13.09765625" style="1551" customWidth="1"/>
    <col min="10249" max="10249" width="14" style="1551" customWidth="1"/>
    <col min="10250" max="10250" width="19" style="1551" customWidth="1"/>
    <col min="10251" max="10496" width="9" style="1551"/>
    <col min="10497" max="10497" width="5.19921875" style="1551" customWidth="1"/>
    <col min="10498" max="10498" width="35.59765625" style="1551" customWidth="1"/>
    <col min="10499" max="10499" width="9.59765625" style="1551" customWidth="1"/>
    <col min="10500" max="10500" width="9.8984375" style="1551" customWidth="1"/>
    <col min="10501" max="10501" width="13.09765625" style="1551" customWidth="1"/>
    <col min="10502" max="10502" width="9" style="1551"/>
    <col min="10503" max="10503" width="10.09765625" style="1551" customWidth="1"/>
    <col min="10504" max="10504" width="13.09765625" style="1551" customWidth="1"/>
    <col min="10505" max="10505" width="14" style="1551" customWidth="1"/>
    <col min="10506" max="10506" width="19" style="1551" customWidth="1"/>
    <col min="10507" max="10752" width="9" style="1551"/>
    <col min="10753" max="10753" width="5.19921875" style="1551" customWidth="1"/>
    <col min="10754" max="10754" width="35.59765625" style="1551" customWidth="1"/>
    <col min="10755" max="10755" width="9.59765625" style="1551" customWidth="1"/>
    <col min="10756" max="10756" width="9.8984375" style="1551" customWidth="1"/>
    <col min="10757" max="10757" width="13.09765625" style="1551" customWidth="1"/>
    <col min="10758" max="10758" width="9" style="1551"/>
    <col min="10759" max="10759" width="10.09765625" style="1551" customWidth="1"/>
    <col min="10760" max="10760" width="13.09765625" style="1551" customWidth="1"/>
    <col min="10761" max="10761" width="14" style="1551" customWidth="1"/>
    <col min="10762" max="10762" width="19" style="1551" customWidth="1"/>
    <col min="10763" max="11008" width="9" style="1551"/>
    <col min="11009" max="11009" width="5.19921875" style="1551" customWidth="1"/>
    <col min="11010" max="11010" width="35.59765625" style="1551" customWidth="1"/>
    <col min="11011" max="11011" width="9.59765625" style="1551" customWidth="1"/>
    <col min="11012" max="11012" width="9.8984375" style="1551" customWidth="1"/>
    <col min="11013" max="11013" width="13.09765625" style="1551" customWidth="1"/>
    <col min="11014" max="11014" width="9" style="1551"/>
    <col min="11015" max="11015" width="10.09765625" style="1551" customWidth="1"/>
    <col min="11016" max="11016" width="13.09765625" style="1551" customWidth="1"/>
    <col min="11017" max="11017" width="14" style="1551" customWidth="1"/>
    <col min="11018" max="11018" width="19" style="1551" customWidth="1"/>
    <col min="11019" max="11264" width="9" style="1551"/>
    <col min="11265" max="11265" width="5.19921875" style="1551" customWidth="1"/>
    <col min="11266" max="11266" width="35.59765625" style="1551" customWidth="1"/>
    <col min="11267" max="11267" width="9.59765625" style="1551" customWidth="1"/>
    <col min="11268" max="11268" width="9.8984375" style="1551" customWidth="1"/>
    <col min="11269" max="11269" width="13.09765625" style="1551" customWidth="1"/>
    <col min="11270" max="11270" width="9" style="1551"/>
    <col min="11271" max="11271" width="10.09765625" style="1551" customWidth="1"/>
    <col min="11272" max="11272" width="13.09765625" style="1551" customWidth="1"/>
    <col min="11273" max="11273" width="14" style="1551" customWidth="1"/>
    <col min="11274" max="11274" width="19" style="1551" customWidth="1"/>
    <col min="11275" max="11520" width="9" style="1551"/>
    <col min="11521" max="11521" width="5.19921875" style="1551" customWidth="1"/>
    <col min="11522" max="11522" width="35.59765625" style="1551" customWidth="1"/>
    <col min="11523" max="11523" width="9.59765625" style="1551" customWidth="1"/>
    <col min="11524" max="11524" width="9.8984375" style="1551" customWidth="1"/>
    <col min="11525" max="11525" width="13.09765625" style="1551" customWidth="1"/>
    <col min="11526" max="11526" width="9" style="1551"/>
    <col min="11527" max="11527" width="10.09765625" style="1551" customWidth="1"/>
    <col min="11528" max="11528" width="13.09765625" style="1551" customWidth="1"/>
    <col min="11529" max="11529" width="14" style="1551" customWidth="1"/>
    <col min="11530" max="11530" width="19" style="1551" customWidth="1"/>
    <col min="11531" max="11776" width="9" style="1551"/>
    <col min="11777" max="11777" width="5.19921875" style="1551" customWidth="1"/>
    <col min="11778" max="11778" width="35.59765625" style="1551" customWidth="1"/>
    <col min="11779" max="11779" width="9.59765625" style="1551" customWidth="1"/>
    <col min="11780" max="11780" width="9.8984375" style="1551" customWidth="1"/>
    <col min="11781" max="11781" width="13.09765625" style="1551" customWidth="1"/>
    <col min="11782" max="11782" width="9" style="1551"/>
    <col min="11783" max="11783" width="10.09765625" style="1551" customWidth="1"/>
    <col min="11784" max="11784" width="13.09765625" style="1551" customWidth="1"/>
    <col min="11785" max="11785" width="14" style="1551" customWidth="1"/>
    <col min="11786" max="11786" width="19" style="1551" customWidth="1"/>
    <col min="11787" max="12032" width="9" style="1551"/>
    <col min="12033" max="12033" width="5.19921875" style="1551" customWidth="1"/>
    <col min="12034" max="12034" width="35.59765625" style="1551" customWidth="1"/>
    <col min="12035" max="12035" width="9.59765625" style="1551" customWidth="1"/>
    <col min="12036" max="12036" width="9.8984375" style="1551" customWidth="1"/>
    <col min="12037" max="12037" width="13.09765625" style="1551" customWidth="1"/>
    <col min="12038" max="12038" width="9" style="1551"/>
    <col min="12039" max="12039" width="10.09765625" style="1551" customWidth="1"/>
    <col min="12040" max="12040" width="13.09765625" style="1551" customWidth="1"/>
    <col min="12041" max="12041" width="14" style="1551" customWidth="1"/>
    <col min="12042" max="12042" width="19" style="1551" customWidth="1"/>
    <col min="12043" max="12288" width="9" style="1551"/>
    <col min="12289" max="12289" width="5.19921875" style="1551" customWidth="1"/>
    <col min="12290" max="12290" width="35.59765625" style="1551" customWidth="1"/>
    <col min="12291" max="12291" width="9.59765625" style="1551" customWidth="1"/>
    <col min="12292" max="12292" width="9.8984375" style="1551" customWidth="1"/>
    <col min="12293" max="12293" width="13.09765625" style="1551" customWidth="1"/>
    <col min="12294" max="12294" width="9" style="1551"/>
    <col min="12295" max="12295" width="10.09765625" style="1551" customWidth="1"/>
    <col min="12296" max="12296" width="13.09765625" style="1551" customWidth="1"/>
    <col min="12297" max="12297" width="14" style="1551" customWidth="1"/>
    <col min="12298" max="12298" width="19" style="1551" customWidth="1"/>
    <col min="12299" max="12544" width="9" style="1551"/>
    <col min="12545" max="12545" width="5.19921875" style="1551" customWidth="1"/>
    <col min="12546" max="12546" width="35.59765625" style="1551" customWidth="1"/>
    <col min="12547" max="12547" width="9.59765625" style="1551" customWidth="1"/>
    <col min="12548" max="12548" width="9.8984375" style="1551" customWidth="1"/>
    <col min="12549" max="12549" width="13.09765625" style="1551" customWidth="1"/>
    <col min="12550" max="12550" width="9" style="1551"/>
    <col min="12551" max="12551" width="10.09765625" style="1551" customWidth="1"/>
    <col min="12552" max="12552" width="13.09765625" style="1551" customWidth="1"/>
    <col min="12553" max="12553" width="14" style="1551" customWidth="1"/>
    <col min="12554" max="12554" width="19" style="1551" customWidth="1"/>
    <col min="12555" max="12800" width="9" style="1551"/>
    <col min="12801" max="12801" width="5.19921875" style="1551" customWidth="1"/>
    <col min="12802" max="12802" width="35.59765625" style="1551" customWidth="1"/>
    <col min="12803" max="12803" width="9.59765625" style="1551" customWidth="1"/>
    <col min="12804" max="12804" width="9.8984375" style="1551" customWidth="1"/>
    <col min="12805" max="12805" width="13.09765625" style="1551" customWidth="1"/>
    <col min="12806" max="12806" width="9" style="1551"/>
    <col min="12807" max="12807" width="10.09765625" style="1551" customWidth="1"/>
    <col min="12808" max="12808" width="13.09765625" style="1551" customWidth="1"/>
    <col min="12809" max="12809" width="14" style="1551" customWidth="1"/>
    <col min="12810" max="12810" width="19" style="1551" customWidth="1"/>
    <col min="12811" max="13056" width="9" style="1551"/>
    <col min="13057" max="13057" width="5.19921875" style="1551" customWidth="1"/>
    <col min="13058" max="13058" width="35.59765625" style="1551" customWidth="1"/>
    <col min="13059" max="13059" width="9.59765625" style="1551" customWidth="1"/>
    <col min="13060" max="13060" width="9.8984375" style="1551" customWidth="1"/>
    <col min="13061" max="13061" width="13.09765625" style="1551" customWidth="1"/>
    <col min="13062" max="13062" width="9" style="1551"/>
    <col min="13063" max="13063" width="10.09765625" style="1551" customWidth="1"/>
    <col min="13064" max="13064" width="13.09765625" style="1551" customWidth="1"/>
    <col min="13065" max="13065" width="14" style="1551" customWidth="1"/>
    <col min="13066" max="13066" width="19" style="1551" customWidth="1"/>
    <col min="13067" max="13312" width="9" style="1551"/>
    <col min="13313" max="13313" width="5.19921875" style="1551" customWidth="1"/>
    <col min="13314" max="13314" width="35.59765625" style="1551" customWidth="1"/>
    <col min="13315" max="13315" width="9.59765625" style="1551" customWidth="1"/>
    <col min="13316" max="13316" width="9.8984375" style="1551" customWidth="1"/>
    <col min="13317" max="13317" width="13.09765625" style="1551" customWidth="1"/>
    <col min="13318" max="13318" width="9" style="1551"/>
    <col min="13319" max="13319" width="10.09765625" style="1551" customWidth="1"/>
    <col min="13320" max="13320" width="13.09765625" style="1551" customWidth="1"/>
    <col min="13321" max="13321" width="14" style="1551" customWidth="1"/>
    <col min="13322" max="13322" width="19" style="1551" customWidth="1"/>
    <col min="13323" max="13568" width="9" style="1551"/>
    <col min="13569" max="13569" width="5.19921875" style="1551" customWidth="1"/>
    <col min="13570" max="13570" width="35.59765625" style="1551" customWidth="1"/>
    <col min="13571" max="13571" width="9.59765625" style="1551" customWidth="1"/>
    <col min="13572" max="13572" width="9.8984375" style="1551" customWidth="1"/>
    <col min="13573" max="13573" width="13.09765625" style="1551" customWidth="1"/>
    <col min="13574" max="13574" width="9" style="1551"/>
    <col min="13575" max="13575" width="10.09765625" style="1551" customWidth="1"/>
    <col min="13576" max="13576" width="13.09765625" style="1551" customWidth="1"/>
    <col min="13577" max="13577" width="14" style="1551" customWidth="1"/>
    <col min="13578" max="13578" width="19" style="1551" customWidth="1"/>
    <col min="13579" max="13824" width="9" style="1551"/>
    <col min="13825" max="13825" width="5.19921875" style="1551" customWidth="1"/>
    <col min="13826" max="13826" width="35.59765625" style="1551" customWidth="1"/>
    <col min="13827" max="13827" width="9.59765625" style="1551" customWidth="1"/>
    <col min="13828" max="13828" width="9.8984375" style="1551" customWidth="1"/>
    <col min="13829" max="13829" width="13.09765625" style="1551" customWidth="1"/>
    <col min="13830" max="13830" width="9" style="1551"/>
    <col min="13831" max="13831" width="10.09765625" style="1551" customWidth="1"/>
    <col min="13832" max="13832" width="13.09765625" style="1551" customWidth="1"/>
    <col min="13833" max="13833" width="14" style="1551" customWidth="1"/>
    <col min="13834" max="13834" width="19" style="1551" customWidth="1"/>
    <col min="13835" max="14080" width="9" style="1551"/>
    <col min="14081" max="14081" width="5.19921875" style="1551" customWidth="1"/>
    <col min="14082" max="14082" width="35.59765625" style="1551" customWidth="1"/>
    <col min="14083" max="14083" width="9.59765625" style="1551" customWidth="1"/>
    <col min="14084" max="14084" width="9.8984375" style="1551" customWidth="1"/>
    <col min="14085" max="14085" width="13.09765625" style="1551" customWidth="1"/>
    <col min="14086" max="14086" width="9" style="1551"/>
    <col min="14087" max="14087" width="10.09765625" style="1551" customWidth="1"/>
    <col min="14088" max="14088" width="13.09765625" style="1551" customWidth="1"/>
    <col min="14089" max="14089" width="14" style="1551" customWidth="1"/>
    <col min="14090" max="14090" width="19" style="1551" customWidth="1"/>
    <col min="14091" max="14336" width="9" style="1551"/>
    <col min="14337" max="14337" width="5.19921875" style="1551" customWidth="1"/>
    <col min="14338" max="14338" width="35.59765625" style="1551" customWidth="1"/>
    <col min="14339" max="14339" width="9.59765625" style="1551" customWidth="1"/>
    <col min="14340" max="14340" width="9.8984375" style="1551" customWidth="1"/>
    <col min="14341" max="14341" width="13.09765625" style="1551" customWidth="1"/>
    <col min="14342" max="14342" width="9" style="1551"/>
    <col min="14343" max="14343" width="10.09765625" style="1551" customWidth="1"/>
    <col min="14344" max="14344" width="13.09765625" style="1551" customWidth="1"/>
    <col min="14345" max="14345" width="14" style="1551" customWidth="1"/>
    <col min="14346" max="14346" width="19" style="1551" customWidth="1"/>
    <col min="14347" max="14592" width="9" style="1551"/>
    <col min="14593" max="14593" width="5.19921875" style="1551" customWidth="1"/>
    <col min="14594" max="14594" width="35.59765625" style="1551" customWidth="1"/>
    <col min="14595" max="14595" width="9.59765625" style="1551" customWidth="1"/>
    <col min="14596" max="14596" width="9.8984375" style="1551" customWidth="1"/>
    <col min="14597" max="14597" width="13.09765625" style="1551" customWidth="1"/>
    <col min="14598" max="14598" width="9" style="1551"/>
    <col min="14599" max="14599" width="10.09765625" style="1551" customWidth="1"/>
    <col min="14600" max="14600" width="13.09765625" style="1551" customWidth="1"/>
    <col min="14601" max="14601" width="14" style="1551" customWidth="1"/>
    <col min="14602" max="14602" width="19" style="1551" customWidth="1"/>
    <col min="14603" max="14848" width="9" style="1551"/>
    <col min="14849" max="14849" width="5.19921875" style="1551" customWidth="1"/>
    <col min="14850" max="14850" width="35.59765625" style="1551" customWidth="1"/>
    <col min="14851" max="14851" width="9.59765625" style="1551" customWidth="1"/>
    <col min="14852" max="14852" width="9.8984375" style="1551" customWidth="1"/>
    <col min="14853" max="14853" width="13.09765625" style="1551" customWidth="1"/>
    <col min="14854" max="14854" width="9" style="1551"/>
    <col min="14855" max="14855" width="10.09765625" style="1551" customWidth="1"/>
    <col min="14856" max="14856" width="13.09765625" style="1551" customWidth="1"/>
    <col min="14857" max="14857" width="14" style="1551" customWidth="1"/>
    <col min="14858" max="14858" width="19" style="1551" customWidth="1"/>
    <col min="14859" max="15104" width="9" style="1551"/>
    <col min="15105" max="15105" width="5.19921875" style="1551" customWidth="1"/>
    <col min="15106" max="15106" width="35.59765625" style="1551" customWidth="1"/>
    <col min="15107" max="15107" width="9.59765625" style="1551" customWidth="1"/>
    <col min="15108" max="15108" width="9.8984375" style="1551" customWidth="1"/>
    <col min="15109" max="15109" width="13.09765625" style="1551" customWidth="1"/>
    <col min="15110" max="15110" width="9" style="1551"/>
    <col min="15111" max="15111" width="10.09765625" style="1551" customWidth="1"/>
    <col min="15112" max="15112" width="13.09765625" style="1551" customWidth="1"/>
    <col min="15113" max="15113" width="14" style="1551" customWidth="1"/>
    <col min="15114" max="15114" width="19" style="1551" customWidth="1"/>
    <col min="15115" max="15360" width="9" style="1551"/>
    <col min="15361" max="15361" width="5.19921875" style="1551" customWidth="1"/>
    <col min="15362" max="15362" width="35.59765625" style="1551" customWidth="1"/>
    <col min="15363" max="15363" width="9.59765625" style="1551" customWidth="1"/>
    <col min="15364" max="15364" width="9.8984375" style="1551" customWidth="1"/>
    <col min="15365" max="15365" width="13.09765625" style="1551" customWidth="1"/>
    <col min="15366" max="15366" width="9" style="1551"/>
    <col min="15367" max="15367" width="10.09765625" style="1551" customWidth="1"/>
    <col min="15368" max="15368" width="13.09765625" style="1551" customWidth="1"/>
    <col min="15369" max="15369" width="14" style="1551" customWidth="1"/>
    <col min="15370" max="15370" width="19" style="1551" customWidth="1"/>
    <col min="15371" max="15616" width="9" style="1551"/>
    <col min="15617" max="15617" width="5.19921875" style="1551" customWidth="1"/>
    <col min="15618" max="15618" width="35.59765625" style="1551" customWidth="1"/>
    <col min="15619" max="15619" width="9.59765625" style="1551" customWidth="1"/>
    <col min="15620" max="15620" width="9.8984375" style="1551" customWidth="1"/>
    <col min="15621" max="15621" width="13.09765625" style="1551" customWidth="1"/>
    <col min="15622" max="15622" width="9" style="1551"/>
    <col min="15623" max="15623" width="10.09765625" style="1551" customWidth="1"/>
    <col min="15624" max="15624" width="13.09765625" style="1551" customWidth="1"/>
    <col min="15625" max="15625" width="14" style="1551" customWidth="1"/>
    <col min="15626" max="15626" width="19" style="1551" customWidth="1"/>
    <col min="15627" max="15872" width="9" style="1551"/>
    <col min="15873" max="15873" width="5.19921875" style="1551" customWidth="1"/>
    <col min="15874" max="15874" width="35.59765625" style="1551" customWidth="1"/>
    <col min="15875" max="15875" width="9.59765625" style="1551" customWidth="1"/>
    <col min="15876" max="15876" width="9.8984375" style="1551" customWidth="1"/>
    <col min="15877" max="15877" width="13.09765625" style="1551" customWidth="1"/>
    <col min="15878" max="15878" width="9" style="1551"/>
    <col min="15879" max="15879" width="10.09765625" style="1551" customWidth="1"/>
    <col min="15880" max="15880" width="13.09765625" style="1551" customWidth="1"/>
    <col min="15881" max="15881" width="14" style="1551" customWidth="1"/>
    <col min="15882" max="15882" width="19" style="1551" customWidth="1"/>
    <col min="15883" max="16128" width="9" style="1551"/>
    <col min="16129" max="16129" width="5.19921875" style="1551" customWidth="1"/>
    <col min="16130" max="16130" width="35.59765625" style="1551" customWidth="1"/>
    <col min="16131" max="16131" width="9.59765625" style="1551" customWidth="1"/>
    <col min="16132" max="16132" width="9.8984375" style="1551" customWidth="1"/>
    <col min="16133" max="16133" width="13.09765625" style="1551" customWidth="1"/>
    <col min="16134" max="16134" width="9" style="1551"/>
    <col min="16135" max="16135" width="10.09765625" style="1551" customWidth="1"/>
    <col min="16136" max="16136" width="13.09765625" style="1551" customWidth="1"/>
    <col min="16137" max="16137" width="14" style="1551" customWidth="1"/>
    <col min="16138" max="16138" width="19" style="1551" customWidth="1"/>
    <col min="16139" max="16384" width="9" style="1551"/>
  </cols>
  <sheetData>
    <row r="1" spans="1:11" ht="20.100000000000001" customHeight="1">
      <c r="A1" s="3400" t="s">
        <v>5255</v>
      </c>
      <c r="B1" s="3400"/>
      <c r="C1" s="3400"/>
      <c r="D1" s="3400"/>
      <c r="E1" s="3400"/>
      <c r="F1" s="3400"/>
      <c r="G1" s="3400"/>
      <c r="H1" s="3400"/>
      <c r="I1" s="2012"/>
      <c r="J1" s="1544"/>
    </row>
    <row r="2" spans="1:11" ht="25.5" customHeight="1">
      <c r="A2" s="3401" t="s">
        <v>5256</v>
      </c>
      <c r="B2" s="3401"/>
      <c r="C2" s="3401"/>
      <c r="D2" s="3401"/>
      <c r="E2" s="3401"/>
      <c r="F2" s="3401"/>
      <c r="G2" s="3401"/>
      <c r="H2" s="3401"/>
      <c r="I2" s="1833"/>
      <c r="J2" s="1544"/>
    </row>
    <row r="3" spans="1:11" s="1555" customFormat="1" ht="24" customHeight="1">
      <c r="A3" s="3402" t="s">
        <v>1853</v>
      </c>
      <c r="B3" s="3402" t="s">
        <v>5079</v>
      </c>
      <c r="C3" s="1841" t="s">
        <v>1850</v>
      </c>
      <c r="D3" s="1843" t="s">
        <v>5257</v>
      </c>
      <c r="E3" s="1843" t="s">
        <v>5258</v>
      </c>
      <c r="F3" s="1841" t="s">
        <v>1851</v>
      </c>
      <c r="G3" s="1841" t="s">
        <v>5259</v>
      </c>
      <c r="H3" s="1843" t="s">
        <v>1306</v>
      </c>
      <c r="I3" s="1843" t="s">
        <v>5151</v>
      </c>
      <c r="J3" s="1544"/>
      <c r="K3" s="1549"/>
    </row>
    <row r="4" spans="1:11" s="1555" customFormat="1" ht="14.25" customHeight="1">
      <c r="A4" s="3404"/>
      <c r="B4" s="3404"/>
      <c r="C4" s="1840">
        <v>1</v>
      </c>
      <c r="D4" s="1840">
        <v>2</v>
      </c>
      <c r="E4" s="1840">
        <v>3</v>
      </c>
      <c r="F4" s="1840">
        <v>4</v>
      </c>
      <c r="G4" s="1840" t="s">
        <v>5260</v>
      </c>
      <c r="H4" s="1840" t="s">
        <v>5261</v>
      </c>
      <c r="I4" s="1952"/>
      <c r="J4" s="1540"/>
      <c r="K4" s="1549"/>
    </row>
    <row r="5" spans="1:11" ht="14.25" customHeight="1">
      <c r="A5" s="1840">
        <v>1</v>
      </c>
      <c r="B5" s="1818" t="s">
        <v>5262</v>
      </c>
      <c r="C5" s="2072">
        <f>工资福利!C16</f>
        <v>0</v>
      </c>
      <c r="D5" s="1952" t="s">
        <v>1859</v>
      </c>
      <c r="E5" s="1952" t="s">
        <v>1859</v>
      </c>
      <c r="F5" s="2072">
        <f>工资福利!C17</f>
        <v>0</v>
      </c>
      <c r="G5" s="2075">
        <f>C5-F5</f>
        <v>0</v>
      </c>
      <c r="H5" s="1952" t="s">
        <v>1859</v>
      </c>
      <c r="I5" s="1818"/>
      <c r="J5" s="1561"/>
      <c r="K5" s="1544"/>
    </row>
    <row r="6" spans="1:11" ht="14.25" customHeight="1">
      <c r="A6" s="1840">
        <v>2</v>
      </c>
      <c r="B6" s="1818" t="s">
        <v>5263</v>
      </c>
      <c r="C6" s="2072">
        <f>工资福利!C24</f>
        <v>0</v>
      </c>
      <c r="D6" s="1952" t="s">
        <v>1859</v>
      </c>
      <c r="E6" s="1952" t="s">
        <v>1859</v>
      </c>
      <c r="F6" s="2072">
        <f>工资福利!H24</f>
        <v>0</v>
      </c>
      <c r="G6" s="2075">
        <f t="shared" ref="G6:G16" si="0">C6-F6</f>
        <v>0</v>
      </c>
      <c r="H6" s="1952" t="s">
        <v>1859</v>
      </c>
      <c r="I6" s="1818"/>
      <c r="J6" s="1561"/>
      <c r="K6" s="1544"/>
    </row>
    <row r="7" spans="1:11" ht="14.25" customHeight="1">
      <c r="A7" s="1840">
        <v>3</v>
      </c>
      <c r="B7" s="1809" t="s">
        <v>5264</v>
      </c>
      <c r="C7" s="2072">
        <f>工资福利!E16</f>
        <v>0</v>
      </c>
      <c r="D7" s="2234">
        <v>14</v>
      </c>
      <c r="E7" s="1952" t="s">
        <v>1859</v>
      </c>
      <c r="F7" s="2072">
        <f>工资福利!E17</f>
        <v>0</v>
      </c>
      <c r="G7" s="2075">
        <f t="shared" si="0"/>
        <v>0</v>
      </c>
      <c r="H7" s="1952" t="s">
        <v>1859</v>
      </c>
      <c r="I7" s="1818"/>
      <c r="J7" s="1561"/>
      <c r="K7" s="1544"/>
    </row>
    <row r="8" spans="1:11" ht="14.25" customHeight="1">
      <c r="A8" s="1840">
        <v>4</v>
      </c>
      <c r="B8" s="1930" t="s">
        <v>5265</v>
      </c>
      <c r="C8" s="2075">
        <f>C9+C10</f>
        <v>0</v>
      </c>
      <c r="D8" s="1952" t="s">
        <v>1859</v>
      </c>
      <c r="E8" s="2075">
        <f>E9</f>
        <v>0</v>
      </c>
      <c r="F8" s="2075">
        <f>F9+F10</f>
        <v>0</v>
      </c>
      <c r="G8" s="2075">
        <f>G9+G10</f>
        <v>0</v>
      </c>
      <c r="H8" s="2075">
        <f>H9</f>
        <v>0</v>
      </c>
      <c r="I8" s="1818"/>
      <c r="J8" s="1561"/>
      <c r="K8" s="1544"/>
    </row>
    <row r="9" spans="1:11" ht="14.25" customHeight="1">
      <c r="A9" s="1840">
        <v>5</v>
      </c>
      <c r="B9" s="1809" t="s">
        <v>5266</v>
      </c>
      <c r="C9" s="2072">
        <f>工资福利!F16</f>
        <v>0</v>
      </c>
      <c r="D9" s="2234">
        <v>2.5</v>
      </c>
      <c r="E9" s="2072">
        <f>工资福利!F20</f>
        <v>0</v>
      </c>
      <c r="F9" s="2072">
        <f>工资福利!F17</f>
        <v>0</v>
      </c>
      <c r="G9" s="2075">
        <f>C9-F9</f>
        <v>0</v>
      </c>
      <c r="H9" s="2075">
        <f>C9+E9-F9</f>
        <v>0</v>
      </c>
      <c r="I9" s="1818"/>
      <c r="J9" s="1561"/>
      <c r="K9" s="1544"/>
    </row>
    <row r="10" spans="1:11" ht="14.25" customHeight="1">
      <c r="A10" s="1840">
        <v>6</v>
      </c>
      <c r="B10" s="1809" t="s">
        <v>5267</v>
      </c>
      <c r="C10" s="2072">
        <f>工资福利!F25</f>
        <v>0</v>
      </c>
      <c r="D10" s="2234">
        <v>100</v>
      </c>
      <c r="E10" s="1952" t="s">
        <v>1859</v>
      </c>
      <c r="F10" s="2072">
        <f>工资福利!H25</f>
        <v>0</v>
      </c>
      <c r="G10" s="2075">
        <f t="shared" si="0"/>
        <v>0</v>
      </c>
      <c r="H10" s="1952" t="s">
        <v>1859</v>
      </c>
      <c r="I10" s="1818"/>
      <c r="J10" s="1561"/>
      <c r="K10" s="1544"/>
    </row>
    <row r="11" spans="1:11" ht="14.25" customHeight="1">
      <c r="A11" s="1840">
        <v>7</v>
      </c>
      <c r="B11" s="1809" t="s">
        <v>5268</v>
      </c>
      <c r="C11" s="2072">
        <f>工资福利!G14</f>
        <v>0</v>
      </c>
      <c r="D11" s="2234">
        <v>2</v>
      </c>
      <c r="E11" s="1952" t="s">
        <v>1859</v>
      </c>
      <c r="F11" s="2072">
        <f>工资福利!G17</f>
        <v>0</v>
      </c>
      <c r="G11" s="2075">
        <f t="shared" si="0"/>
        <v>0</v>
      </c>
      <c r="H11" s="1952" t="s">
        <v>1859</v>
      </c>
      <c r="I11" s="1818"/>
      <c r="J11" s="1561"/>
      <c r="K11" s="1544"/>
    </row>
    <row r="12" spans="1:11" ht="14.25" customHeight="1">
      <c r="A12" s="1840">
        <v>8</v>
      </c>
      <c r="B12" s="1809" t="s">
        <v>5269</v>
      </c>
      <c r="C12" s="2072">
        <f>社保!D8</f>
        <v>0</v>
      </c>
      <c r="D12" s="1952" t="s">
        <v>1859</v>
      </c>
      <c r="E12" s="1952" t="s">
        <v>1859</v>
      </c>
      <c r="F12" s="2072">
        <f>社保!E8</f>
        <v>0</v>
      </c>
      <c r="G12" s="2075">
        <f t="shared" si="0"/>
        <v>0</v>
      </c>
      <c r="H12" s="1952" t="s">
        <v>1859</v>
      </c>
      <c r="I12" s="1818"/>
      <c r="J12" s="1561"/>
      <c r="K12" s="1544"/>
    </row>
    <row r="13" spans="1:11" ht="14.25" customHeight="1">
      <c r="A13" s="1840">
        <v>9</v>
      </c>
      <c r="B13" s="1809" t="s">
        <v>5270</v>
      </c>
      <c r="C13" s="2072">
        <f>社保!D17</f>
        <v>0</v>
      </c>
      <c r="D13" s="1952" t="s">
        <v>1859</v>
      </c>
      <c r="E13" s="1952" t="s">
        <v>1859</v>
      </c>
      <c r="F13" s="2072">
        <f>社保!E17</f>
        <v>0</v>
      </c>
      <c r="G13" s="2075">
        <f t="shared" si="0"/>
        <v>0</v>
      </c>
      <c r="H13" s="1952" t="s">
        <v>1859</v>
      </c>
      <c r="I13" s="1818"/>
      <c r="J13" s="1561"/>
      <c r="K13" s="1544"/>
    </row>
    <row r="14" spans="1:11" ht="14.25" customHeight="1">
      <c r="A14" s="1840">
        <v>10</v>
      </c>
      <c r="B14" s="1809" t="s">
        <v>5271</v>
      </c>
      <c r="C14" s="2072">
        <f>社保!D15</f>
        <v>0</v>
      </c>
      <c r="D14" s="2234">
        <v>5</v>
      </c>
      <c r="E14" s="1952" t="s">
        <v>1859</v>
      </c>
      <c r="F14" s="2072">
        <f>社保!E15</f>
        <v>0</v>
      </c>
      <c r="G14" s="2075">
        <f t="shared" si="0"/>
        <v>0</v>
      </c>
      <c r="H14" s="1952" t="s">
        <v>1859</v>
      </c>
      <c r="I14" s="1818"/>
      <c r="J14" s="1561"/>
      <c r="K14" s="1544"/>
    </row>
    <row r="15" spans="1:11" ht="14.25" customHeight="1">
      <c r="A15" s="1840">
        <v>11</v>
      </c>
      <c r="B15" s="1817" t="s">
        <v>5272</v>
      </c>
      <c r="C15" s="2072">
        <f>社保!D16</f>
        <v>0</v>
      </c>
      <c r="D15" s="2234">
        <v>5</v>
      </c>
      <c r="E15" s="1952" t="s">
        <v>1859</v>
      </c>
      <c r="F15" s="2072">
        <f>社保!E16</f>
        <v>0</v>
      </c>
      <c r="G15" s="2075">
        <f t="shared" si="0"/>
        <v>0</v>
      </c>
      <c r="H15" s="1952" t="s">
        <v>1859</v>
      </c>
      <c r="I15" s="1818"/>
      <c r="J15" s="1561"/>
      <c r="K15" s="1544"/>
    </row>
    <row r="16" spans="1:11" ht="14.25" customHeight="1">
      <c r="A16" s="1840">
        <v>12</v>
      </c>
      <c r="B16" s="1817" t="s">
        <v>5273</v>
      </c>
      <c r="C16" s="2072">
        <f>社保!D18</f>
        <v>0</v>
      </c>
      <c r="D16" s="1952" t="s">
        <v>1859</v>
      </c>
      <c r="E16" s="2079">
        <v>0</v>
      </c>
      <c r="F16" s="2072">
        <f>社保!E18</f>
        <v>0</v>
      </c>
      <c r="G16" s="2075">
        <f t="shared" si="0"/>
        <v>0</v>
      </c>
      <c r="H16" s="2075">
        <f>C16+E16-F16</f>
        <v>0</v>
      </c>
      <c r="I16" s="1818"/>
      <c r="J16" s="1561"/>
      <c r="K16" s="1544"/>
    </row>
    <row r="17" spans="1:11" ht="172.5" customHeight="1">
      <c r="A17" s="1840">
        <v>13</v>
      </c>
      <c r="B17" s="1817" t="s">
        <v>5274</v>
      </c>
      <c r="C17" s="2075">
        <f>SUM(C5,C7:C8,C11:C16)</f>
        <v>0</v>
      </c>
      <c r="D17" s="1952" t="s">
        <v>1859</v>
      </c>
      <c r="E17" s="2075">
        <f>SUM(E5,E7:E8,E11:E16)</f>
        <v>0</v>
      </c>
      <c r="F17" s="2075">
        <f>SUM(F5,F7:F8,F11:F16)</f>
        <v>0</v>
      </c>
      <c r="G17" s="2075">
        <f>SUM(G5,G7:G8,G11:G16)</f>
        <v>0</v>
      </c>
      <c r="H17" s="2075">
        <f>SUM(H5,H7:H8,H11:H16)</f>
        <v>0</v>
      </c>
      <c r="I17" s="1810" t="s">
        <v>5275</v>
      </c>
      <c r="J17" s="1562"/>
      <c r="K17" s="1544"/>
    </row>
    <row r="18" spans="1:11">
      <c r="A18" s="1998"/>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5.6"/>
  <cols>
    <col min="1" max="1" width="5.19921875" style="1551" customWidth="1"/>
    <col min="2" max="2" width="60.8984375" style="1551" customWidth="1"/>
    <col min="3" max="3" width="15.19921875" style="1551" customWidth="1"/>
    <col min="4" max="4" width="14.8984375" style="1551" customWidth="1"/>
    <col min="5" max="256" width="9" style="1551"/>
    <col min="257" max="257" width="5.19921875" style="1551" customWidth="1"/>
    <col min="258" max="258" width="72.69921875" style="1551" customWidth="1"/>
    <col min="259" max="259" width="15.19921875" style="1551" customWidth="1"/>
    <col min="260" max="260" width="14.8984375" style="1551" customWidth="1"/>
    <col min="261" max="512" width="9" style="1551"/>
    <col min="513" max="513" width="5.19921875" style="1551" customWidth="1"/>
    <col min="514" max="514" width="72.69921875" style="1551" customWidth="1"/>
    <col min="515" max="515" width="15.19921875" style="1551" customWidth="1"/>
    <col min="516" max="516" width="14.8984375" style="1551" customWidth="1"/>
    <col min="517" max="768" width="9" style="1551"/>
    <col min="769" max="769" width="5.19921875" style="1551" customWidth="1"/>
    <col min="770" max="770" width="72.69921875" style="1551" customWidth="1"/>
    <col min="771" max="771" width="15.19921875" style="1551" customWidth="1"/>
    <col min="772" max="772" width="14.8984375" style="1551" customWidth="1"/>
    <col min="773" max="1024" width="9" style="1551"/>
    <col min="1025" max="1025" width="5.19921875" style="1551" customWidth="1"/>
    <col min="1026" max="1026" width="72.69921875" style="1551" customWidth="1"/>
    <col min="1027" max="1027" width="15.19921875" style="1551" customWidth="1"/>
    <col min="1028" max="1028" width="14.8984375" style="1551" customWidth="1"/>
    <col min="1029" max="1280" width="9" style="1551"/>
    <col min="1281" max="1281" width="5.19921875" style="1551" customWidth="1"/>
    <col min="1282" max="1282" width="72.69921875" style="1551" customWidth="1"/>
    <col min="1283" max="1283" width="15.19921875" style="1551" customWidth="1"/>
    <col min="1284" max="1284" width="14.8984375" style="1551" customWidth="1"/>
    <col min="1285" max="1536" width="9" style="1551"/>
    <col min="1537" max="1537" width="5.19921875" style="1551" customWidth="1"/>
    <col min="1538" max="1538" width="72.69921875" style="1551" customWidth="1"/>
    <col min="1539" max="1539" width="15.19921875" style="1551" customWidth="1"/>
    <col min="1540" max="1540" width="14.8984375" style="1551" customWidth="1"/>
    <col min="1541" max="1792" width="9" style="1551"/>
    <col min="1793" max="1793" width="5.19921875" style="1551" customWidth="1"/>
    <col min="1794" max="1794" width="72.69921875" style="1551" customWidth="1"/>
    <col min="1795" max="1795" width="15.19921875" style="1551" customWidth="1"/>
    <col min="1796" max="1796" width="14.8984375" style="1551" customWidth="1"/>
    <col min="1797" max="2048" width="9" style="1551"/>
    <col min="2049" max="2049" width="5.19921875" style="1551" customWidth="1"/>
    <col min="2050" max="2050" width="72.69921875" style="1551" customWidth="1"/>
    <col min="2051" max="2051" width="15.19921875" style="1551" customWidth="1"/>
    <col min="2052" max="2052" width="14.8984375" style="1551" customWidth="1"/>
    <col min="2053" max="2304" width="9" style="1551"/>
    <col min="2305" max="2305" width="5.19921875" style="1551" customWidth="1"/>
    <col min="2306" max="2306" width="72.69921875" style="1551" customWidth="1"/>
    <col min="2307" max="2307" width="15.19921875" style="1551" customWidth="1"/>
    <col min="2308" max="2308" width="14.8984375" style="1551" customWidth="1"/>
    <col min="2309" max="2560" width="9" style="1551"/>
    <col min="2561" max="2561" width="5.19921875" style="1551" customWidth="1"/>
    <col min="2562" max="2562" width="72.69921875" style="1551" customWidth="1"/>
    <col min="2563" max="2563" width="15.19921875" style="1551" customWidth="1"/>
    <col min="2564" max="2564" width="14.8984375" style="1551" customWidth="1"/>
    <col min="2565" max="2816" width="9" style="1551"/>
    <col min="2817" max="2817" width="5.19921875" style="1551" customWidth="1"/>
    <col min="2818" max="2818" width="72.69921875" style="1551" customWidth="1"/>
    <col min="2819" max="2819" width="15.19921875" style="1551" customWidth="1"/>
    <col min="2820" max="2820" width="14.8984375" style="1551" customWidth="1"/>
    <col min="2821" max="3072" width="9" style="1551"/>
    <col min="3073" max="3073" width="5.19921875" style="1551" customWidth="1"/>
    <col min="3074" max="3074" width="72.69921875" style="1551" customWidth="1"/>
    <col min="3075" max="3075" width="15.19921875" style="1551" customWidth="1"/>
    <col min="3076" max="3076" width="14.8984375" style="1551" customWidth="1"/>
    <col min="3077" max="3328" width="9" style="1551"/>
    <col min="3329" max="3329" width="5.19921875" style="1551" customWidth="1"/>
    <col min="3330" max="3330" width="72.69921875" style="1551" customWidth="1"/>
    <col min="3331" max="3331" width="15.19921875" style="1551" customWidth="1"/>
    <col min="3332" max="3332" width="14.8984375" style="1551" customWidth="1"/>
    <col min="3333" max="3584" width="9" style="1551"/>
    <col min="3585" max="3585" width="5.19921875" style="1551" customWidth="1"/>
    <col min="3586" max="3586" width="72.69921875" style="1551" customWidth="1"/>
    <col min="3587" max="3587" width="15.19921875" style="1551" customWidth="1"/>
    <col min="3588" max="3588" width="14.8984375" style="1551" customWidth="1"/>
    <col min="3589" max="3840" width="9" style="1551"/>
    <col min="3841" max="3841" width="5.19921875" style="1551" customWidth="1"/>
    <col min="3842" max="3842" width="72.69921875" style="1551" customWidth="1"/>
    <col min="3843" max="3843" width="15.19921875" style="1551" customWidth="1"/>
    <col min="3844" max="3844" width="14.8984375" style="1551" customWidth="1"/>
    <col min="3845" max="4096" width="9" style="1551"/>
    <col min="4097" max="4097" width="5.19921875" style="1551" customWidth="1"/>
    <col min="4098" max="4098" width="72.69921875" style="1551" customWidth="1"/>
    <col min="4099" max="4099" width="15.19921875" style="1551" customWidth="1"/>
    <col min="4100" max="4100" width="14.8984375" style="1551" customWidth="1"/>
    <col min="4101" max="4352" width="9" style="1551"/>
    <col min="4353" max="4353" width="5.19921875" style="1551" customWidth="1"/>
    <col min="4354" max="4354" width="72.69921875" style="1551" customWidth="1"/>
    <col min="4355" max="4355" width="15.19921875" style="1551" customWidth="1"/>
    <col min="4356" max="4356" width="14.8984375" style="1551" customWidth="1"/>
    <col min="4357" max="4608" width="9" style="1551"/>
    <col min="4609" max="4609" width="5.19921875" style="1551" customWidth="1"/>
    <col min="4610" max="4610" width="72.69921875" style="1551" customWidth="1"/>
    <col min="4611" max="4611" width="15.19921875" style="1551" customWidth="1"/>
    <col min="4612" max="4612" width="14.8984375" style="1551" customWidth="1"/>
    <col min="4613" max="4864" width="9" style="1551"/>
    <col min="4865" max="4865" width="5.19921875" style="1551" customWidth="1"/>
    <col min="4866" max="4866" width="72.69921875" style="1551" customWidth="1"/>
    <col min="4867" max="4867" width="15.19921875" style="1551" customWidth="1"/>
    <col min="4868" max="4868" width="14.8984375" style="1551" customWidth="1"/>
    <col min="4869" max="5120" width="9" style="1551"/>
    <col min="5121" max="5121" width="5.19921875" style="1551" customWidth="1"/>
    <col min="5122" max="5122" width="72.69921875" style="1551" customWidth="1"/>
    <col min="5123" max="5123" width="15.19921875" style="1551" customWidth="1"/>
    <col min="5124" max="5124" width="14.8984375" style="1551" customWidth="1"/>
    <col min="5125" max="5376" width="9" style="1551"/>
    <col min="5377" max="5377" width="5.19921875" style="1551" customWidth="1"/>
    <col min="5378" max="5378" width="72.69921875" style="1551" customWidth="1"/>
    <col min="5379" max="5379" width="15.19921875" style="1551" customWidth="1"/>
    <col min="5380" max="5380" width="14.8984375" style="1551" customWidth="1"/>
    <col min="5381" max="5632" width="9" style="1551"/>
    <col min="5633" max="5633" width="5.19921875" style="1551" customWidth="1"/>
    <col min="5634" max="5634" width="72.69921875" style="1551" customWidth="1"/>
    <col min="5635" max="5635" width="15.19921875" style="1551" customWidth="1"/>
    <col min="5636" max="5636" width="14.8984375" style="1551" customWidth="1"/>
    <col min="5637" max="5888" width="9" style="1551"/>
    <col min="5889" max="5889" width="5.19921875" style="1551" customWidth="1"/>
    <col min="5890" max="5890" width="72.69921875" style="1551" customWidth="1"/>
    <col min="5891" max="5891" width="15.19921875" style="1551" customWidth="1"/>
    <col min="5892" max="5892" width="14.8984375" style="1551" customWidth="1"/>
    <col min="5893" max="6144" width="9" style="1551"/>
    <col min="6145" max="6145" width="5.19921875" style="1551" customWidth="1"/>
    <col min="6146" max="6146" width="72.69921875" style="1551" customWidth="1"/>
    <col min="6147" max="6147" width="15.19921875" style="1551" customWidth="1"/>
    <col min="6148" max="6148" width="14.8984375" style="1551" customWidth="1"/>
    <col min="6149" max="6400" width="9" style="1551"/>
    <col min="6401" max="6401" width="5.19921875" style="1551" customWidth="1"/>
    <col min="6402" max="6402" width="72.69921875" style="1551" customWidth="1"/>
    <col min="6403" max="6403" width="15.19921875" style="1551" customWidth="1"/>
    <col min="6404" max="6404" width="14.8984375" style="1551" customWidth="1"/>
    <col min="6405" max="6656" width="9" style="1551"/>
    <col min="6657" max="6657" width="5.19921875" style="1551" customWidth="1"/>
    <col min="6658" max="6658" width="72.69921875" style="1551" customWidth="1"/>
    <col min="6659" max="6659" width="15.19921875" style="1551" customWidth="1"/>
    <col min="6660" max="6660" width="14.8984375" style="1551" customWidth="1"/>
    <col min="6661" max="6912" width="9" style="1551"/>
    <col min="6913" max="6913" width="5.19921875" style="1551" customWidth="1"/>
    <col min="6914" max="6914" width="72.69921875" style="1551" customWidth="1"/>
    <col min="6915" max="6915" width="15.19921875" style="1551" customWidth="1"/>
    <col min="6916" max="6916" width="14.8984375" style="1551" customWidth="1"/>
    <col min="6917" max="7168" width="9" style="1551"/>
    <col min="7169" max="7169" width="5.19921875" style="1551" customWidth="1"/>
    <col min="7170" max="7170" width="72.69921875" style="1551" customWidth="1"/>
    <col min="7171" max="7171" width="15.19921875" style="1551" customWidth="1"/>
    <col min="7172" max="7172" width="14.8984375" style="1551" customWidth="1"/>
    <col min="7173" max="7424" width="9" style="1551"/>
    <col min="7425" max="7425" width="5.19921875" style="1551" customWidth="1"/>
    <col min="7426" max="7426" width="72.69921875" style="1551" customWidth="1"/>
    <col min="7427" max="7427" width="15.19921875" style="1551" customWidth="1"/>
    <col min="7428" max="7428" width="14.8984375" style="1551" customWidth="1"/>
    <col min="7429" max="7680" width="9" style="1551"/>
    <col min="7681" max="7681" width="5.19921875" style="1551" customWidth="1"/>
    <col min="7682" max="7682" width="72.69921875" style="1551" customWidth="1"/>
    <col min="7683" max="7683" width="15.19921875" style="1551" customWidth="1"/>
    <col min="7684" max="7684" width="14.8984375" style="1551" customWidth="1"/>
    <col min="7685" max="7936" width="9" style="1551"/>
    <col min="7937" max="7937" width="5.19921875" style="1551" customWidth="1"/>
    <col min="7938" max="7938" width="72.69921875" style="1551" customWidth="1"/>
    <col min="7939" max="7939" width="15.19921875" style="1551" customWidth="1"/>
    <col min="7940" max="7940" width="14.8984375" style="1551" customWidth="1"/>
    <col min="7941" max="8192" width="9" style="1551"/>
    <col min="8193" max="8193" width="5.19921875" style="1551" customWidth="1"/>
    <col min="8194" max="8194" width="72.69921875" style="1551" customWidth="1"/>
    <col min="8195" max="8195" width="15.19921875" style="1551" customWidth="1"/>
    <col min="8196" max="8196" width="14.8984375" style="1551" customWidth="1"/>
    <col min="8197" max="8448" width="9" style="1551"/>
    <col min="8449" max="8449" width="5.19921875" style="1551" customWidth="1"/>
    <col min="8450" max="8450" width="72.69921875" style="1551" customWidth="1"/>
    <col min="8451" max="8451" width="15.19921875" style="1551" customWidth="1"/>
    <col min="8452" max="8452" width="14.8984375" style="1551" customWidth="1"/>
    <col min="8453" max="8704" width="9" style="1551"/>
    <col min="8705" max="8705" width="5.19921875" style="1551" customWidth="1"/>
    <col min="8706" max="8706" width="72.69921875" style="1551" customWidth="1"/>
    <col min="8707" max="8707" width="15.19921875" style="1551" customWidth="1"/>
    <col min="8708" max="8708" width="14.8984375" style="1551" customWidth="1"/>
    <col min="8709" max="8960" width="9" style="1551"/>
    <col min="8961" max="8961" width="5.19921875" style="1551" customWidth="1"/>
    <col min="8962" max="8962" width="72.69921875" style="1551" customWidth="1"/>
    <col min="8963" max="8963" width="15.19921875" style="1551" customWidth="1"/>
    <col min="8964" max="8964" width="14.8984375" style="1551" customWidth="1"/>
    <col min="8965" max="9216" width="9" style="1551"/>
    <col min="9217" max="9217" width="5.19921875" style="1551" customWidth="1"/>
    <col min="9218" max="9218" width="72.69921875" style="1551" customWidth="1"/>
    <col min="9219" max="9219" width="15.19921875" style="1551" customWidth="1"/>
    <col min="9220" max="9220" width="14.8984375" style="1551" customWidth="1"/>
    <col min="9221" max="9472" width="9" style="1551"/>
    <col min="9473" max="9473" width="5.19921875" style="1551" customWidth="1"/>
    <col min="9474" max="9474" width="72.69921875" style="1551" customWidth="1"/>
    <col min="9475" max="9475" width="15.19921875" style="1551" customWidth="1"/>
    <col min="9476" max="9476" width="14.8984375" style="1551" customWidth="1"/>
    <col min="9477" max="9728" width="9" style="1551"/>
    <col min="9729" max="9729" width="5.19921875" style="1551" customWidth="1"/>
    <col min="9730" max="9730" width="72.69921875" style="1551" customWidth="1"/>
    <col min="9731" max="9731" width="15.19921875" style="1551" customWidth="1"/>
    <col min="9732" max="9732" width="14.8984375" style="1551" customWidth="1"/>
    <col min="9733" max="9984" width="9" style="1551"/>
    <col min="9985" max="9985" width="5.19921875" style="1551" customWidth="1"/>
    <col min="9986" max="9986" width="72.69921875" style="1551" customWidth="1"/>
    <col min="9987" max="9987" width="15.19921875" style="1551" customWidth="1"/>
    <col min="9988" max="9988" width="14.8984375" style="1551" customWidth="1"/>
    <col min="9989" max="10240" width="9" style="1551"/>
    <col min="10241" max="10241" width="5.19921875" style="1551" customWidth="1"/>
    <col min="10242" max="10242" width="72.69921875" style="1551" customWidth="1"/>
    <col min="10243" max="10243" width="15.19921875" style="1551" customWidth="1"/>
    <col min="10244" max="10244" width="14.8984375" style="1551" customWidth="1"/>
    <col min="10245" max="10496" width="9" style="1551"/>
    <col min="10497" max="10497" width="5.19921875" style="1551" customWidth="1"/>
    <col min="10498" max="10498" width="72.69921875" style="1551" customWidth="1"/>
    <col min="10499" max="10499" width="15.19921875" style="1551" customWidth="1"/>
    <col min="10500" max="10500" width="14.8984375" style="1551" customWidth="1"/>
    <col min="10501" max="10752" width="9" style="1551"/>
    <col min="10753" max="10753" width="5.19921875" style="1551" customWidth="1"/>
    <col min="10754" max="10754" width="72.69921875" style="1551" customWidth="1"/>
    <col min="10755" max="10755" width="15.19921875" style="1551" customWidth="1"/>
    <col min="10756" max="10756" width="14.8984375" style="1551" customWidth="1"/>
    <col min="10757" max="11008" width="9" style="1551"/>
    <col min="11009" max="11009" width="5.19921875" style="1551" customWidth="1"/>
    <col min="11010" max="11010" width="72.69921875" style="1551" customWidth="1"/>
    <col min="11011" max="11011" width="15.19921875" style="1551" customWidth="1"/>
    <col min="11012" max="11012" width="14.8984375" style="1551" customWidth="1"/>
    <col min="11013" max="11264" width="9" style="1551"/>
    <col min="11265" max="11265" width="5.19921875" style="1551" customWidth="1"/>
    <col min="11266" max="11266" width="72.69921875" style="1551" customWidth="1"/>
    <col min="11267" max="11267" width="15.19921875" style="1551" customWidth="1"/>
    <col min="11268" max="11268" width="14.8984375" style="1551" customWidth="1"/>
    <col min="11269" max="11520" width="9" style="1551"/>
    <col min="11521" max="11521" width="5.19921875" style="1551" customWidth="1"/>
    <col min="11522" max="11522" width="72.69921875" style="1551" customWidth="1"/>
    <col min="11523" max="11523" width="15.19921875" style="1551" customWidth="1"/>
    <col min="11524" max="11524" width="14.8984375" style="1551" customWidth="1"/>
    <col min="11525" max="11776" width="9" style="1551"/>
    <col min="11777" max="11777" width="5.19921875" style="1551" customWidth="1"/>
    <col min="11778" max="11778" width="72.69921875" style="1551" customWidth="1"/>
    <col min="11779" max="11779" width="15.19921875" style="1551" customWidth="1"/>
    <col min="11780" max="11780" width="14.8984375" style="1551" customWidth="1"/>
    <col min="11781" max="12032" width="9" style="1551"/>
    <col min="12033" max="12033" width="5.19921875" style="1551" customWidth="1"/>
    <col min="12034" max="12034" width="72.69921875" style="1551" customWidth="1"/>
    <col min="12035" max="12035" width="15.19921875" style="1551" customWidth="1"/>
    <col min="12036" max="12036" width="14.8984375" style="1551" customWidth="1"/>
    <col min="12037" max="12288" width="9" style="1551"/>
    <col min="12289" max="12289" width="5.19921875" style="1551" customWidth="1"/>
    <col min="12290" max="12290" width="72.69921875" style="1551" customWidth="1"/>
    <col min="12291" max="12291" width="15.19921875" style="1551" customWidth="1"/>
    <col min="12292" max="12292" width="14.8984375" style="1551" customWidth="1"/>
    <col min="12293" max="12544" width="9" style="1551"/>
    <col min="12545" max="12545" width="5.19921875" style="1551" customWidth="1"/>
    <col min="12546" max="12546" width="72.69921875" style="1551" customWidth="1"/>
    <col min="12547" max="12547" width="15.19921875" style="1551" customWidth="1"/>
    <col min="12548" max="12548" width="14.8984375" style="1551" customWidth="1"/>
    <col min="12549" max="12800" width="9" style="1551"/>
    <col min="12801" max="12801" width="5.19921875" style="1551" customWidth="1"/>
    <col min="12802" max="12802" width="72.69921875" style="1551" customWidth="1"/>
    <col min="12803" max="12803" width="15.19921875" style="1551" customWidth="1"/>
    <col min="12804" max="12804" width="14.8984375" style="1551" customWidth="1"/>
    <col min="12805" max="13056" width="9" style="1551"/>
    <col min="13057" max="13057" width="5.19921875" style="1551" customWidth="1"/>
    <col min="13058" max="13058" width="72.69921875" style="1551" customWidth="1"/>
    <col min="13059" max="13059" width="15.19921875" style="1551" customWidth="1"/>
    <col min="13060" max="13060" width="14.8984375" style="1551" customWidth="1"/>
    <col min="13061" max="13312" width="9" style="1551"/>
    <col min="13313" max="13313" width="5.19921875" style="1551" customWidth="1"/>
    <col min="13314" max="13314" width="72.69921875" style="1551" customWidth="1"/>
    <col min="13315" max="13315" width="15.19921875" style="1551" customWidth="1"/>
    <col min="13316" max="13316" width="14.8984375" style="1551" customWidth="1"/>
    <col min="13317" max="13568" width="9" style="1551"/>
    <col min="13569" max="13569" width="5.19921875" style="1551" customWidth="1"/>
    <col min="13570" max="13570" width="72.69921875" style="1551" customWidth="1"/>
    <col min="13571" max="13571" width="15.19921875" style="1551" customWidth="1"/>
    <col min="13572" max="13572" width="14.8984375" style="1551" customWidth="1"/>
    <col min="13573" max="13824" width="9" style="1551"/>
    <col min="13825" max="13825" width="5.19921875" style="1551" customWidth="1"/>
    <col min="13826" max="13826" width="72.69921875" style="1551" customWidth="1"/>
    <col min="13827" max="13827" width="15.19921875" style="1551" customWidth="1"/>
    <col min="13828" max="13828" width="14.8984375" style="1551" customWidth="1"/>
    <col min="13829" max="14080" width="9" style="1551"/>
    <col min="14081" max="14081" width="5.19921875" style="1551" customWidth="1"/>
    <col min="14082" max="14082" width="72.69921875" style="1551" customWidth="1"/>
    <col min="14083" max="14083" width="15.19921875" style="1551" customWidth="1"/>
    <col min="14084" max="14084" width="14.8984375" style="1551" customWidth="1"/>
    <col min="14085" max="14336" width="9" style="1551"/>
    <col min="14337" max="14337" width="5.19921875" style="1551" customWidth="1"/>
    <col min="14338" max="14338" width="72.69921875" style="1551" customWidth="1"/>
    <col min="14339" max="14339" width="15.19921875" style="1551" customWidth="1"/>
    <col min="14340" max="14340" width="14.8984375" style="1551" customWidth="1"/>
    <col min="14341" max="14592" width="9" style="1551"/>
    <col min="14593" max="14593" width="5.19921875" style="1551" customWidth="1"/>
    <col min="14594" max="14594" width="72.69921875" style="1551" customWidth="1"/>
    <col min="14595" max="14595" width="15.19921875" style="1551" customWidth="1"/>
    <col min="14596" max="14596" width="14.8984375" style="1551" customWidth="1"/>
    <col min="14597" max="14848" width="9" style="1551"/>
    <col min="14849" max="14849" width="5.19921875" style="1551" customWidth="1"/>
    <col min="14850" max="14850" width="72.69921875" style="1551" customWidth="1"/>
    <col min="14851" max="14851" width="15.19921875" style="1551" customWidth="1"/>
    <col min="14852" max="14852" width="14.8984375" style="1551" customWidth="1"/>
    <col min="14853" max="15104" width="9" style="1551"/>
    <col min="15105" max="15105" width="5.19921875" style="1551" customWidth="1"/>
    <col min="15106" max="15106" width="72.69921875" style="1551" customWidth="1"/>
    <col min="15107" max="15107" width="15.19921875" style="1551" customWidth="1"/>
    <col min="15108" max="15108" width="14.8984375" style="1551" customWidth="1"/>
    <col min="15109" max="15360" width="9" style="1551"/>
    <col min="15361" max="15361" width="5.19921875" style="1551" customWidth="1"/>
    <col min="15362" max="15362" width="72.69921875" style="1551" customWidth="1"/>
    <col min="15363" max="15363" width="15.19921875" style="1551" customWidth="1"/>
    <col min="15364" max="15364" width="14.8984375" style="1551" customWidth="1"/>
    <col min="15365" max="15616" width="9" style="1551"/>
    <col min="15617" max="15617" width="5.19921875" style="1551" customWidth="1"/>
    <col min="15618" max="15618" width="72.69921875" style="1551" customWidth="1"/>
    <col min="15619" max="15619" width="15.19921875" style="1551" customWidth="1"/>
    <col min="15620" max="15620" width="14.8984375" style="1551" customWidth="1"/>
    <col min="15621" max="15872" width="9" style="1551"/>
    <col min="15873" max="15873" width="5.19921875" style="1551" customWidth="1"/>
    <col min="15874" max="15874" width="72.69921875" style="1551" customWidth="1"/>
    <col min="15875" max="15875" width="15.19921875" style="1551" customWidth="1"/>
    <col min="15876" max="15876" width="14.8984375" style="1551" customWidth="1"/>
    <col min="15877" max="16128" width="9" style="1551"/>
    <col min="16129" max="16129" width="5.19921875" style="1551" customWidth="1"/>
    <col min="16130" max="16130" width="72.69921875" style="1551" customWidth="1"/>
    <col min="16131" max="16131" width="15.19921875" style="1551" customWidth="1"/>
    <col min="16132" max="16132" width="14.8984375" style="1551" customWidth="1"/>
    <col min="16133" max="16384" width="9" style="1551"/>
  </cols>
  <sheetData>
    <row r="1" spans="1:4" ht="20.100000000000001" customHeight="1">
      <c r="A1" s="3400" t="s">
        <v>5276</v>
      </c>
      <c r="B1" s="3400"/>
      <c r="C1" s="3400"/>
      <c r="D1" s="1802"/>
    </row>
    <row r="2" spans="1:4" ht="25.5" customHeight="1">
      <c r="A2" s="3401" t="s">
        <v>5277</v>
      </c>
      <c r="B2" s="3401"/>
      <c r="C2" s="3401"/>
      <c r="D2" s="1833"/>
    </row>
    <row r="3" spans="1:4" s="1552" customFormat="1" ht="14.25" customHeight="1">
      <c r="A3" s="1840" t="s">
        <v>1853</v>
      </c>
      <c r="B3" s="1840" t="s">
        <v>5278</v>
      </c>
      <c r="C3" s="1840" t="s">
        <v>1864</v>
      </c>
      <c r="D3" s="1840" t="s">
        <v>1858</v>
      </c>
    </row>
    <row r="4" spans="1:4" s="1552" customFormat="1" ht="32.25" customHeight="1">
      <c r="A4" s="1840">
        <v>1</v>
      </c>
      <c r="B4" s="1809" t="s">
        <v>5279</v>
      </c>
      <c r="C4" s="2072">
        <f>广宣!J22</f>
        <v>0</v>
      </c>
      <c r="D4" s="1993" t="s">
        <v>5280</v>
      </c>
    </row>
    <row r="5" spans="1:4" s="1552" customFormat="1" ht="14.25" customHeight="1">
      <c r="A5" s="1840">
        <v>2</v>
      </c>
      <c r="B5" s="1809" t="s">
        <v>5281</v>
      </c>
      <c r="C5" s="2072">
        <f>广宣!J23</f>
        <v>0</v>
      </c>
      <c r="D5" s="1952"/>
    </row>
    <row r="6" spans="1:4" s="1552" customFormat="1" ht="14.25" customHeight="1">
      <c r="A6" s="1840">
        <v>3</v>
      </c>
      <c r="B6" s="1809" t="s">
        <v>5282</v>
      </c>
      <c r="C6" s="2072">
        <f>广宣!J24</f>
        <v>0</v>
      </c>
      <c r="D6" s="1952"/>
    </row>
    <row r="7" spans="1:4" s="1552" customFormat="1" ht="33.75" customHeight="1">
      <c r="A7" s="1840">
        <v>4</v>
      </c>
      <c r="B7" s="1809" t="s">
        <v>5283</v>
      </c>
      <c r="C7" s="2072">
        <f>广宣!J29</f>
        <v>0</v>
      </c>
      <c r="D7" s="1993" t="s">
        <v>5284</v>
      </c>
    </row>
    <row r="8" spans="1:4" s="1552" customFormat="1" ht="23.25" customHeight="1">
      <c r="A8" s="1840">
        <v>5</v>
      </c>
      <c r="B8" s="1809" t="s">
        <v>5285</v>
      </c>
      <c r="C8" s="2226">
        <v>15</v>
      </c>
      <c r="D8" s="1952"/>
    </row>
    <row r="9" spans="1:4" s="1552" customFormat="1" ht="14.25" customHeight="1">
      <c r="A9" s="1840">
        <v>6</v>
      </c>
      <c r="B9" s="1931" t="s">
        <v>5286</v>
      </c>
      <c r="C9" s="2072">
        <f>广宣!J30</f>
        <v>0</v>
      </c>
      <c r="D9" s="1952"/>
    </row>
    <row r="10" spans="1:4" s="1552" customFormat="1" ht="14.25" customHeight="1">
      <c r="A10" s="1840">
        <v>7</v>
      </c>
      <c r="B10" s="1931" t="s">
        <v>5287</v>
      </c>
      <c r="C10" s="2072">
        <f>MAX(C6-C9,0)</f>
        <v>0</v>
      </c>
      <c r="D10" s="1952"/>
    </row>
    <row r="11" spans="1:4" s="1552" customFormat="1" ht="14.25" customHeight="1">
      <c r="A11" s="1840">
        <v>8</v>
      </c>
      <c r="B11" s="1931" t="s">
        <v>5288</v>
      </c>
      <c r="C11" s="2072">
        <f>广宣!J33</f>
        <v>0</v>
      </c>
      <c r="D11" s="1952"/>
    </row>
    <row r="12" spans="1:4" s="1552" customFormat="1" ht="29.25" customHeight="1">
      <c r="A12" s="1840">
        <v>9</v>
      </c>
      <c r="B12" s="1932" t="s">
        <v>5289</v>
      </c>
      <c r="C12" s="2075">
        <f>MAX(0,MIN(C9-C6,C11))</f>
        <v>0</v>
      </c>
      <c r="D12" s="1952"/>
    </row>
    <row r="13" spans="1:4" s="1552" customFormat="1" ht="14.25" customHeight="1">
      <c r="A13" s="1840">
        <v>10</v>
      </c>
      <c r="B13" s="1932" t="s">
        <v>5290</v>
      </c>
      <c r="C13" s="2072">
        <f>广宣!J36</f>
        <v>0</v>
      </c>
      <c r="D13" s="1952"/>
    </row>
    <row r="14" spans="1:4" s="1552" customFormat="1" ht="14.25" customHeight="1">
      <c r="A14" s="1840">
        <v>11</v>
      </c>
      <c r="B14" s="1931" t="s">
        <v>5291</v>
      </c>
      <c r="C14" s="2072">
        <f>广宣!J37</f>
        <v>0</v>
      </c>
      <c r="D14" s="1952"/>
    </row>
    <row r="15" spans="1:4" s="1552" customFormat="1" ht="29.25" customHeight="1">
      <c r="A15" s="1840">
        <v>12</v>
      </c>
      <c r="B15" s="1932" t="s">
        <v>5292</v>
      </c>
      <c r="C15" s="2075">
        <f>C5+C13-C14-C12+MAX(0,C6-C9)</f>
        <v>0</v>
      </c>
      <c r="D15" s="1952"/>
    </row>
    <row r="16" spans="1:4" s="1552" customFormat="1" ht="72" customHeight="1">
      <c r="A16" s="1840">
        <v>13</v>
      </c>
      <c r="B16" s="1931" t="s">
        <v>5293</v>
      </c>
      <c r="C16" s="2075">
        <f>C10+C11-C12</f>
        <v>0</v>
      </c>
      <c r="D16" s="1994" t="s">
        <v>5294</v>
      </c>
    </row>
    <row r="17" spans="1:1">
      <c r="A17" s="1998"/>
    </row>
    <row r="18" spans="1:1">
      <c r="A18" s="1998"/>
    </row>
    <row r="19" spans="1:1">
      <c r="A19" s="1998"/>
    </row>
    <row r="20" spans="1:1">
      <c r="A20" s="1998"/>
    </row>
    <row r="21" spans="1:1">
      <c r="A21" s="1998"/>
    </row>
    <row r="22" spans="1:1">
      <c r="A22" s="1998"/>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5.6"/>
  <cols>
    <col min="1" max="1" width="5.19921875" style="1551" customWidth="1"/>
    <col min="2" max="2" width="13.3984375" style="1551" customWidth="1"/>
    <col min="3" max="3" width="13.69921875" style="1551" customWidth="1"/>
    <col min="4" max="4" width="14.09765625" style="1551" customWidth="1"/>
    <col min="5" max="5" width="13.69921875" style="1551" customWidth="1"/>
    <col min="6" max="6" width="13" style="1551" customWidth="1"/>
    <col min="7" max="7" width="13.59765625" style="1551" customWidth="1"/>
    <col min="8" max="8" width="12.69921875" style="1551" customWidth="1"/>
    <col min="9" max="9" width="17.3984375" style="1551" customWidth="1"/>
    <col min="10" max="256" width="9" style="1551"/>
    <col min="257" max="257" width="5.19921875" style="1551" customWidth="1"/>
    <col min="258" max="258" width="13.3984375" style="1551" customWidth="1"/>
    <col min="259" max="259" width="13.69921875" style="1551" customWidth="1"/>
    <col min="260" max="260" width="14.09765625" style="1551" customWidth="1"/>
    <col min="261" max="261" width="13.69921875" style="1551" customWidth="1"/>
    <col min="262" max="262" width="13" style="1551" customWidth="1"/>
    <col min="263" max="263" width="13.59765625" style="1551" customWidth="1"/>
    <col min="264" max="264" width="12.69921875" style="1551" customWidth="1"/>
    <col min="265" max="265" width="17.3984375" style="1551" customWidth="1"/>
    <col min="266" max="512" width="9" style="1551"/>
    <col min="513" max="513" width="5.19921875" style="1551" customWidth="1"/>
    <col min="514" max="514" width="13.3984375" style="1551" customWidth="1"/>
    <col min="515" max="515" width="13.69921875" style="1551" customWidth="1"/>
    <col min="516" max="516" width="14.09765625" style="1551" customWidth="1"/>
    <col min="517" max="517" width="13.69921875" style="1551" customWidth="1"/>
    <col min="518" max="518" width="13" style="1551" customWidth="1"/>
    <col min="519" max="519" width="13.59765625" style="1551" customWidth="1"/>
    <col min="520" max="520" width="12.69921875" style="1551" customWidth="1"/>
    <col min="521" max="521" width="17.3984375" style="1551" customWidth="1"/>
    <col min="522" max="768" width="9" style="1551"/>
    <col min="769" max="769" width="5.19921875" style="1551" customWidth="1"/>
    <col min="770" max="770" width="13.3984375" style="1551" customWidth="1"/>
    <col min="771" max="771" width="13.69921875" style="1551" customWidth="1"/>
    <col min="772" max="772" width="14.09765625" style="1551" customWidth="1"/>
    <col min="773" max="773" width="13.69921875" style="1551" customWidth="1"/>
    <col min="774" max="774" width="13" style="1551" customWidth="1"/>
    <col min="775" max="775" width="13.59765625" style="1551" customWidth="1"/>
    <col min="776" max="776" width="12.69921875" style="1551" customWidth="1"/>
    <col min="777" max="777" width="17.3984375" style="1551" customWidth="1"/>
    <col min="778" max="1024" width="9" style="1551"/>
    <col min="1025" max="1025" width="5.19921875" style="1551" customWidth="1"/>
    <col min="1026" max="1026" width="13.3984375" style="1551" customWidth="1"/>
    <col min="1027" max="1027" width="13.69921875" style="1551" customWidth="1"/>
    <col min="1028" max="1028" width="14.09765625" style="1551" customWidth="1"/>
    <col min="1029" max="1029" width="13.69921875" style="1551" customWidth="1"/>
    <col min="1030" max="1030" width="13" style="1551" customWidth="1"/>
    <col min="1031" max="1031" width="13.59765625" style="1551" customWidth="1"/>
    <col min="1032" max="1032" width="12.69921875" style="1551" customWidth="1"/>
    <col min="1033" max="1033" width="17.3984375" style="1551" customWidth="1"/>
    <col min="1034" max="1280" width="9" style="1551"/>
    <col min="1281" max="1281" width="5.19921875" style="1551" customWidth="1"/>
    <col min="1282" max="1282" width="13.3984375" style="1551" customWidth="1"/>
    <col min="1283" max="1283" width="13.69921875" style="1551" customWidth="1"/>
    <col min="1284" max="1284" width="14.09765625" style="1551" customWidth="1"/>
    <col min="1285" max="1285" width="13.69921875" style="1551" customWidth="1"/>
    <col min="1286" max="1286" width="13" style="1551" customWidth="1"/>
    <col min="1287" max="1287" width="13.59765625" style="1551" customWidth="1"/>
    <col min="1288" max="1288" width="12.69921875" style="1551" customWidth="1"/>
    <col min="1289" max="1289" width="17.3984375" style="1551" customWidth="1"/>
    <col min="1290" max="1536" width="9" style="1551"/>
    <col min="1537" max="1537" width="5.19921875" style="1551" customWidth="1"/>
    <col min="1538" max="1538" width="13.3984375" style="1551" customWidth="1"/>
    <col min="1539" max="1539" width="13.69921875" style="1551" customWidth="1"/>
    <col min="1540" max="1540" width="14.09765625" style="1551" customWidth="1"/>
    <col min="1541" max="1541" width="13.69921875" style="1551" customWidth="1"/>
    <col min="1542" max="1542" width="13" style="1551" customWidth="1"/>
    <col min="1543" max="1543" width="13.59765625" style="1551" customWidth="1"/>
    <col min="1544" max="1544" width="12.69921875" style="1551" customWidth="1"/>
    <col min="1545" max="1545" width="17.3984375" style="1551" customWidth="1"/>
    <col min="1546" max="1792" width="9" style="1551"/>
    <col min="1793" max="1793" width="5.19921875" style="1551" customWidth="1"/>
    <col min="1794" max="1794" width="13.3984375" style="1551" customWidth="1"/>
    <col min="1795" max="1795" width="13.69921875" style="1551" customWidth="1"/>
    <col min="1796" max="1796" width="14.09765625" style="1551" customWidth="1"/>
    <col min="1797" max="1797" width="13.69921875" style="1551" customWidth="1"/>
    <col min="1798" max="1798" width="13" style="1551" customWidth="1"/>
    <col min="1799" max="1799" width="13.59765625" style="1551" customWidth="1"/>
    <col min="1800" max="1800" width="12.69921875" style="1551" customWidth="1"/>
    <col min="1801" max="1801" width="17.3984375" style="1551" customWidth="1"/>
    <col min="1802" max="2048" width="9" style="1551"/>
    <col min="2049" max="2049" width="5.19921875" style="1551" customWidth="1"/>
    <col min="2050" max="2050" width="13.3984375" style="1551" customWidth="1"/>
    <col min="2051" max="2051" width="13.69921875" style="1551" customWidth="1"/>
    <col min="2052" max="2052" width="14.09765625" style="1551" customWidth="1"/>
    <col min="2053" max="2053" width="13.69921875" style="1551" customWidth="1"/>
    <col min="2054" max="2054" width="13" style="1551" customWidth="1"/>
    <col min="2055" max="2055" width="13.59765625" style="1551" customWidth="1"/>
    <col min="2056" max="2056" width="12.69921875" style="1551" customWidth="1"/>
    <col min="2057" max="2057" width="17.3984375" style="1551" customWidth="1"/>
    <col min="2058" max="2304" width="9" style="1551"/>
    <col min="2305" max="2305" width="5.19921875" style="1551" customWidth="1"/>
    <col min="2306" max="2306" width="13.3984375" style="1551" customWidth="1"/>
    <col min="2307" max="2307" width="13.69921875" style="1551" customWidth="1"/>
    <col min="2308" max="2308" width="14.09765625" style="1551" customWidth="1"/>
    <col min="2309" max="2309" width="13.69921875" style="1551" customWidth="1"/>
    <col min="2310" max="2310" width="13" style="1551" customWidth="1"/>
    <col min="2311" max="2311" width="13.59765625" style="1551" customWidth="1"/>
    <col min="2312" max="2312" width="12.69921875" style="1551" customWidth="1"/>
    <col min="2313" max="2313" width="17.3984375" style="1551" customWidth="1"/>
    <col min="2314" max="2560" width="9" style="1551"/>
    <col min="2561" max="2561" width="5.19921875" style="1551" customWidth="1"/>
    <col min="2562" max="2562" width="13.3984375" style="1551" customWidth="1"/>
    <col min="2563" max="2563" width="13.69921875" style="1551" customWidth="1"/>
    <col min="2564" max="2564" width="14.09765625" style="1551" customWidth="1"/>
    <col min="2565" max="2565" width="13.69921875" style="1551" customWidth="1"/>
    <col min="2566" max="2566" width="13" style="1551" customWidth="1"/>
    <col min="2567" max="2567" width="13.59765625" style="1551" customWidth="1"/>
    <col min="2568" max="2568" width="12.69921875" style="1551" customWidth="1"/>
    <col min="2569" max="2569" width="17.3984375" style="1551" customWidth="1"/>
    <col min="2570" max="2816" width="9" style="1551"/>
    <col min="2817" max="2817" width="5.19921875" style="1551" customWidth="1"/>
    <col min="2818" max="2818" width="13.3984375" style="1551" customWidth="1"/>
    <col min="2819" max="2819" width="13.69921875" style="1551" customWidth="1"/>
    <col min="2820" max="2820" width="14.09765625" style="1551" customWidth="1"/>
    <col min="2821" max="2821" width="13.69921875" style="1551" customWidth="1"/>
    <col min="2822" max="2822" width="13" style="1551" customWidth="1"/>
    <col min="2823" max="2823" width="13.59765625" style="1551" customWidth="1"/>
    <col min="2824" max="2824" width="12.69921875" style="1551" customWidth="1"/>
    <col min="2825" max="2825" width="17.3984375" style="1551" customWidth="1"/>
    <col min="2826" max="3072" width="9" style="1551"/>
    <col min="3073" max="3073" width="5.19921875" style="1551" customWidth="1"/>
    <col min="3074" max="3074" width="13.3984375" style="1551" customWidth="1"/>
    <col min="3075" max="3075" width="13.69921875" style="1551" customWidth="1"/>
    <col min="3076" max="3076" width="14.09765625" style="1551" customWidth="1"/>
    <col min="3077" max="3077" width="13.69921875" style="1551" customWidth="1"/>
    <col min="3078" max="3078" width="13" style="1551" customWidth="1"/>
    <col min="3079" max="3079" width="13.59765625" style="1551" customWidth="1"/>
    <col min="3080" max="3080" width="12.69921875" style="1551" customWidth="1"/>
    <col min="3081" max="3081" width="17.3984375" style="1551" customWidth="1"/>
    <col min="3082" max="3328" width="9" style="1551"/>
    <col min="3329" max="3329" width="5.19921875" style="1551" customWidth="1"/>
    <col min="3330" max="3330" width="13.3984375" style="1551" customWidth="1"/>
    <col min="3331" max="3331" width="13.69921875" style="1551" customWidth="1"/>
    <col min="3332" max="3332" width="14.09765625" style="1551" customWidth="1"/>
    <col min="3333" max="3333" width="13.69921875" style="1551" customWidth="1"/>
    <col min="3334" max="3334" width="13" style="1551" customWidth="1"/>
    <col min="3335" max="3335" width="13.59765625" style="1551" customWidth="1"/>
    <col min="3336" max="3336" width="12.69921875" style="1551" customWidth="1"/>
    <col min="3337" max="3337" width="17.3984375" style="1551" customWidth="1"/>
    <col min="3338" max="3584" width="9" style="1551"/>
    <col min="3585" max="3585" width="5.19921875" style="1551" customWidth="1"/>
    <col min="3586" max="3586" width="13.3984375" style="1551" customWidth="1"/>
    <col min="3587" max="3587" width="13.69921875" style="1551" customWidth="1"/>
    <col min="3588" max="3588" width="14.09765625" style="1551" customWidth="1"/>
    <col min="3589" max="3589" width="13.69921875" style="1551" customWidth="1"/>
    <col min="3590" max="3590" width="13" style="1551" customWidth="1"/>
    <col min="3591" max="3591" width="13.59765625" style="1551" customWidth="1"/>
    <col min="3592" max="3592" width="12.69921875" style="1551" customWidth="1"/>
    <col min="3593" max="3593" width="17.3984375" style="1551" customWidth="1"/>
    <col min="3594" max="3840" width="9" style="1551"/>
    <col min="3841" max="3841" width="5.19921875" style="1551" customWidth="1"/>
    <col min="3842" max="3842" width="13.3984375" style="1551" customWidth="1"/>
    <col min="3843" max="3843" width="13.69921875" style="1551" customWidth="1"/>
    <col min="3844" max="3844" width="14.09765625" style="1551" customWidth="1"/>
    <col min="3845" max="3845" width="13.69921875" style="1551" customWidth="1"/>
    <col min="3846" max="3846" width="13" style="1551" customWidth="1"/>
    <col min="3847" max="3847" width="13.59765625" style="1551" customWidth="1"/>
    <col min="3848" max="3848" width="12.69921875" style="1551" customWidth="1"/>
    <col min="3849" max="3849" width="17.3984375" style="1551" customWidth="1"/>
    <col min="3850" max="4096" width="9" style="1551"/>
    <col min="4097" max="4097" width="5.19921875" style="1551" customWidth="1"/>
    <col min="4098" max="4098" width="13.3984375" style="1551" customWidth="1"/>
    <col min="4099" max="4099" width="13.69921875" style="1551" customWidth="1"/>
    <col min="4100" max="4100" width="14.09765625" style="1551" customWidth="1"/>
    <col min="4101" max="4101" width="13.69921875" style="1551" customWidth="1"/>
    <col min="4102" max="4102" width="13" style="1551" customWidth="1"/>
    <col min="4103" max="4103" width="13.59765625" style="1551" customWidth="1"/>
    <col min="4104" max="4104" width="12.69921875" style="1551" customWidth="1"/>
    <col min="4105" max="4105" width="17.3984375" style="1551" customWidth="1"/>
    <col min="4106" max="4352" width="9" style="1551"/>
    <col min="4353" max="4353" width="5.19921875" style="1551" customWidth="1"/>
    <col min="4354" max="4354" width="13.3984375" style="1551" customWidth="1"/>
    <col min="4355" max="4355" width="13.69921875" style="1551" customWidth="1"/>
    <col min="4356" max="4356" width="14.09765625" style="1551" customWidth="1"/>
    <col min="4357" max="4357" width="13.69921875" style="1551" customWidth="1"/>
    <col min="4358" max="4358" width="13" style="1551" customWidth="1"/>
    <col min="4359" max="4359" width="13.59765625" style="1551" customWidth="1"/>
    <col min="4360" max="4360" width="12.69921875" style="1551" customWidth="1"/>
    <col min="4361" max="4361" width="17.3984375" style="1551" customWidth="1"/>
    <col min="4362" max="4608" width="9" style="1551"/>
    <col min="4609" max="4609" width="5.19921875" style="1551" customWidth="1"/>
    <col min="4610" max="4610" width="13.3984375" style="1551" customWidth="1"/>
    <col min="4611" max="4611" width="13.69921875" style="1551" customWidth="1"/>
    <col min="4612" max="4612" width="14.09765625" style="1551" customWidth="1"/>
    <col min="4613" max="4613" width="13.69921875" style="1551" customWidth="1"/>
    <col min="4614" max="4614" width="13" style="1551" customWidth="1"/>
    <col min="4615" max="4615" width="13.59765625" style="1551" customWidth="1"/>
    <col min="4616" max="4616" width="12.69921875" style="1551" customWidth="1"/>
    <col min="4617" max="4617" width="17.3984375" style="1551" customWidth="1"/>
    <col min="4618" max="4864" width="9" style="1551"/>
    <col min="4865" max="4865" width="5.19921875" style="1551" customWidth="1"/>
    <col min="4866" max="4866" width="13.3984375" style="1551" customWidth="1"/>
    <col min="4867" max="4867" width="13.69921875" style="1551" customWidth="1"/>
    <col min="4868" max="4868" width="14.09765625" style="1551" customWidth="1"/>
    <col min="4869" max="4869" width="13.69921875" style="1551" customWidth="1"/>
    <col min="4870" max="4870" width="13" style="1551" customWidth="1"/>
    <col min="4871" max="4871" width="13.59765625" style="1551" customWidth="1"/>
    <col min="4872" max="4872" width="12.69921875" style="1551" customWidth="1"/>
    <col min="4873" max="4873" width="17.3984375" style="1551" customWidth="1"/>
    <col min="4874" max="5120" width="9" style="1551"/>
    <col min="5121" max="5121" width="5.19921875" style="1551" customWidth="1"/>
    <col min="5122" max="5122" width="13.3984375" style="1551" customWidth="1"/>
    <col min="5123" max="5123" width="13.69921875" style="1551" customWidth="1"/>
    <col min="5124" max="5124" width="14.09765625" style="1551" customWidth="1"/>
    <col min="5125" max="5125" width="13.69921875" style="1551" customWidth="1"/>
    <col min="5126" max="5126" width="13" style="1551" customWidth="1"/>
    <col min="5127" max="5127" width="13.59765625" style="1551" customWidth="1"/>
    <col min="5128" max="5128" width="12.69921875" style="1551" customWidth="1"/>
    <col min="5129" max="5129" width="17.3984375" style="1551" customWidth="1"/>
    <col min="5130" max="5376" width="9" style="1551"/>
    <col min="5377" max="5377" width="5.19921875" style="1551" customWidth="1"/>
    <col min="5378" max="5378" width="13.3984375" style="1551" customWidth="1"/>
    <col min="5379" max="5379" width="13.69921875" style="1551" customWidth="1"/>
    <col min="5380" max="5380" width="14.09765625" style="1551" customWidth="1"/>
    <col min="5381" max="5381" width="13.69921875" style="1551" customWidth="1"/>
    <col min="5382" max="5382" width="13" style="1551" customWidth="1"/>
    <col min="5383" max="5383" width="13.59765625" style="1551" customWidth="1"/>
    <col min="5384" max="5384" width="12.69921875" style="1551" customWidth="1"/>
    <col min="5385" max="5385" width="17.3984375" style="1551" customWidth="1"/>
    <col min="5386" max="5632" width="9" style="1551"/>
    <col min="5633" max="5633" width="5.19921875" style="1551" customWidth="1"/>
    <col min="5634" max="5634" width="13.3984375" style="1551" customWidth="1"/>
    <col min="5635" max="5635" width="13.69921875" style="1551" customWidth="1"/>
    <col min="5636" max="5636" width="14.09765625" style="1551" customWidth="1"/>
    <col min="5637" max="5637" width="13.69921875" style="1551" customWidth="1"/>
    <col min="5638" max="5638" width="13" style="1551" customWidth="1"/>
    <col min="5639" max="5639" width="13.59765625" style="1551" customWidth="1"/>
    <col min="5640" max="5640" width="12.69921875" style="1551" customWidth="1"/>
    <col min="5641" max="5641" width="17.3984375" style="1551" customWidth="1"/>
    <col min="5642" max="5888" width="9" style="1551"/>
    <col min="5889" max="5889" width="5.19921875" style="1551" customWidth="1"/>
    <col min="5890" max="5890" width="13.3984375" style="1551" customWidth="1"/>
    <col min="5891" max="5891" width="13.69921875" style="1551" customWidth="1"/>
    <col min="5892" max="5892" width="14.09765625" style="1551" customWidth="1"/>
    <col min="5893" max="5893" width="13.69921875" style="1551" customWidth="1"/>
    <col min="5894" max="5894" width="13" style="1551" customWidth="1"/>
    <col min="5895" max="5895" width="13.59765625" style="1551" customWidth="1"/>
    <col min="5896" max="5896" width="12.69921875" style="1551" customWidth="1"/>
    <col min="5897" max="5897" width="17.3984375" style="1551" customWidth="1"/>
    <col min="5898" max="6144" width="9" style="1551"/>
    <col min="6145" max="6145" width="5.19921875" style="1551" customWidth="1"/>
    <col min="6146" max="6146" width="13.3984375" style="1551" customWidth="1"/>
    <col min="6147" max="6147" width="13.69921875" style="1551" customWidth="1"/>
    <col min="6148" max="6148" width="14.09765625" style="1551" customWidth="1"/>
    <col min="6149" max="6149" width="13.69921875" style="1551" customWidth="1"/>
    <col min="6150" max="6150" width="13" style="1551" customWidth="1"/>
    <col min="6151" max="6151" width="13.59765625" style="1551" customWidth="1"/>
    <col min="6152" max="6152" width="12.69921875" style="1551" customWidth="1"/>
    <col min="6153" max="6153" width="17.3984375" style="1551" customWidth="1"/>
    <col min="6154" max="6400" width="9" style="1551"/>
    <col min="6401" max="6401" width="5.19921875" style="1551" customWidth="1"/>
    <col min="6402" max="6402" width="13.3984375" style="1551" customWidth="1"/>
    <col min="6403" max="6403" width="13.69921875" style="1551" customWidth="1"/>
    <col min="6404" max="6404" width="14.09765625" style="1551" customWidth="1"/>
    <col min="6405" max="6405" width="13.69921875" style="1551" customWidth="1"/>
    <col min="6406" max="6406" width="13" style="1551" customWidth="1"/>
    <col min="6407" max="6407" width="13.59765625" style="1551" customWidth="1"/>
    <col min="6408" max="6408" width="12.69921875" style="1551" customWidth="1"/>
    <col min="6409" max="6409" width="17.3984375" style="1551" customWidth="1"/>
    <col min="6410" max="6656" width="9" style="1551"/>
    <col min="6657" max="6657" width="5.19921875" style="1551" customWidth="1"/>
    <col min="6658" max="6658" width="13.3984375" style="1551" customWidth="1"/>
    <col min="6659" max="6659" width="13.69921875" style="1551" customWidth="1"/>
    <col min="6660" max="6660" width="14.09765625" style="1551" customWidth="1"/>
    <col min="6661" max="6661" width="13.69921875" style="1551" customWidth="1"/>
    <col min="6662" max="6662" width="13" style="1551" customWidth="1"/>
    <col min="6663" max="6663" width="13.59765625" style="1551" customWidth="1"/>
    <col min="6664" max="6664" width="12.69921875" style="1551" customWidth="1"/>
    <col min="6665" max="6665" width="17.3984375" style="1551" customWidth="1"/>
    <col min="6666" max="6912" width="9" style="1551"/>
    <col min="6913" max="6913" width="5.19921875" style="1551" customWidth="1"/>
    <col min="6914" max="6914" width="13.3984375" style="1551" customWidth="1"/>
    <col min="6915" max="6915" width="13.69921875" style="1551" customWidth="1"/>
    <col min="6916" max="6916" width="14.09765625" style="1551" customWidth="1"/>
    <col min="6917" max="6917" width="13.69921875" style="1551" customWidth="1"/>
    <col min="6918" max="6918" width="13" style="1551" customWidth="1"/>
    <col min="6919" max="6919" width="13.59765625" style="1551" customWidth="1"/>
    <col min="6920" max="6920" width="12.69921875" style="1551" customWidth="1"/>
    <col min="6921" max="6921" width="17.3984375" style="1551" customWidth="1"/>
    <col min="6922" max="7168" width="9" style="1551"/>
    <col min="7169" max="7169" width="5.19921875" style="1551" customWidth="1"/>
    <col min="7170" max="7170" width="13.3984375" style="1551" customWidth="1"/>
    <col min="7171" max="7171" width="13.69921875" style="1551" customWidth="1"/>
    <col min="7172" max="7172" width="14.09765625" style="1551" customWidth="1"/>
    <col min="7173" max="7173" width="13.69921875" style="1551" customWidth="1"/>
    <col min="7174" max="7174" width="13" style="1551" customWidth="1"/>
    <col min="7175" max="7175" width="13.59765625" style="1551" customWidth="1"/>
    <col min="7176" max="7176" width="12.69921875" style="1551" customWidth="1"/>
    <col min="7177" max="7177" width="17.3984375" style="1551" customWidth="1"/>
    <col min="7178" max="7424" width="9" style="1551"/>
    <col min="7425" max="7425" width="5.19921875" style="1551" customWidth="1"/>
    <col min="7426" max="7426" width="13.3984375" style="1551" customWidth="1"/>
    <col min="7427" max="7427" width="13.69921875" style="1551" customWidth="1"/>
    <col min="7428" max="7428" width="14.09765625" style="1551" customWidth="1"/>
    <col min="7429" max="7429" width="13.69921875" style="1551" customWidth="1"/>
    <col min="7430" max="7430" width="13" style="1551" customWidth="1"/>
    <col min="7431" max="7431" width="13.59765625" style="1551" customWidth="1"/>
    <col min="7432" max="7432" width="12.69921875" style="1551" customWidth="1"/>
    <col min="7433" max="7433" width="17.3984375" style="1551" customWidth="1"/>
    <col min="7434" max="7680" width="9" style="1551"/>
    <col min="7681" max="7681" width="5.19921875" style="1551" customWidth="1"/>
    <col min="7682" max="7682" width="13.3984375" style="1551" customWidth="1"/>
    <col min="7683" max="7683" width="13.69921875" style="1551" customWidth="1"/>
    <col min="7684" max="7684" width="14.09765625" style="1551" customWidth="1"/>
    <col min="7685" max="7685" width="13.69921875" style="1551" customWidth="1"/>
    <col min="7686" max="7686" width="13" style="1551" customWidth="1"/>
    <col min="7687" max="7687" width="13.59765625" style="1551" customWidth="1"/>
    <col min="7688" max="7688" width="12.69921875" style="1551" customWidth="1"/>
    <col min="7689" max="7689" width="17.3984375" style="1551" customWidth="1"/>
    <col min="7690" max="7936" width="9" style="1551"/>
    <col min="7937" max="7937" width="5.19921875" style="1551" customWidth="1"/>
    <col min="7938" max="7938" width="13.3984375" style="1551" customWidth="1"/>
    <col min="7939" max="7939" width="13.69921875" style="1551" customWidth="1"/>
    <col min="7940" max="7940" width="14.09765625" style="1551" customWidth="1"/>
    <col min="7941" max="7941" width="13.69921875" style="1551" customWidth="1"/>
    <col min="7942" max="7942" width="13" style="1551" customWidth="1"/>
    <col min="7943" max="7943" width="13.59765625" style="1551" customWidth="1"/>
    <col min="7944" max="7944" width="12.69921875" style="1551" customWidth="1"/>
    <col min="7945" max="7945" width="17.3984375" style="1551" customWidth="1"/>
    <col min="7946" max="8192" width="9" style="1551"/>
    <col min="8193" max="8193" width="5.19921875" style="1551" customWidth="1"/>
    <col min="8194" max="8194" width="13.3984375" style="1551" customWidth="1"/>
    <col min="8195" max="8195" width="13.69921875" style="1551" customWidth="1"/>
    <col min="8196" max="8196" width="14.09765625" style="1551" customWidth="1"/>
    <col min="8197" max="8197" width="13.69921875" style="1551" customWidth="1"/>
    <col min="8198" max="8198" width="13" style="1551" customWidth="1"/>
    <col min="8199" max="8199" width="13.59765625" style="1551" customWidth="1"/>
    <col min="8200" max="8200" width="12.69921875" style="1551" customWidth="1"/>
    <col min="8201" max="8201" width="17.3984375" style="1551" customWidth="1"/>
    <col min="8202" max="8448" width="9" style="1551"/>
    <col min="8449" max="8449" width="5.19921875" style="1551" customWidth="1"/>
    <col min="8450" max="8450" width="13.3984375" style="1551" customWidth="1"/>
    <col min="8451" max="8451" width="13.69921875" style="1551" customWidth="1"/>
    <col min="8452" max="8452" width="14.09765625" style="1551" customWidth="1"/>
    <col min="8453" max="8453" width="13.69921875" style="1551" customWidth="1"/>
    <col min="8454" max="8454" width="13" style="1551" customWidth="1"/>
    <col min="8455" max="8455" width="13.59765625" style="1551" customWidth="1"/>
    <col min="8456" max="8456" width="12.69921875" style="1551" customWidth="1"/>
    <col min="8457" max="8457" width="17.3984375" style="1551" customWidth="1"/>
    <col min="8458" max="8704" width="9" style="1551"/>
    <col min="8705" max="8705" width="5.19921875" style="1551" customWidth="1"/>
    <col min="8706" max="8706" width="13.3984375" style="1551" customWidth="1"/>
    <col min="8707" max="8707" width="13.69921875" style="1551" customWidth="1"/>
    <col min="8708" max="8708" width="14.09765625" style="1551" customWidth="1"/>
    <col min="8709" max="8709" width="13.69921875" style="1551" customWidth="1"/>
    <col min="8710" max="8710" width="13" style="1551" customWidth="1"/>
    <col min="8711" max="8711" width="13.59765625" style="1551" customWidth="1"/>
    <col min="8712" max="8712" width="12.69921875" style="1551" customWidth="1"/>
    <col min="8713" max="8713" width="17.3984375" style="1551" customWidth="1"/>
    <col min="8714" max="8960" width="9" style="1551"/>
    <col min="8961" max="8961" width="5.19921875" style="1551" customWidth="1"/>
    <col min="8962" max="8962" width="13.3984375" style="1551" customWidth="1"/>
    <col min="8963" max="8963" width="13.69921875" style="1551" customWidth="1"/>
    <col min="8964" max="8964" width="14.09765625" style="1551" customWidth="1"/>
    <col min="8965" max="8965" width="13.69921875" style="1551" customWidth="1"/>
    <col min="8966" max="8966" width="13" style="1551" customWidth="1"/>
    <col min="8967" max="8967" width="13.59765625" style="1551" customWidth="1"/>
    <col min="8968" max="8968" width="12.69921875" style="1551" customWidth="1"/>
    <col min="8969" max="8969" width="17.3984375" style="1551" customWidth="1"/>
    <col min="8970" max="9216" width="9" style="1551"/>
    <col min="9217" max="9217" width="5.19921875" style="1551" customWidth="1"/>
    <col min="9218" max="9218" width="13.3984375" style="1551" customWidth="1"/>
    <col min="9219" max="9219" width="13.69921875" style="1551" customWidth="1"/>
    <col min="9220" max="9220" width="14.09765625" style="1551" customWidth="1"/>
    <col min="9221" max="9221" width="13.69921875" style="1551" customWidth="1"/>
    <col min="9222" max="9222" width="13" style="1551" customWidth="1"/>
    <col min="9223" max="9223" width="13.59765625" style="1551" customWidth="1"/>
    <col min="9224" max="9224" width="12.69921875" style="1551" customWidth="1"/>
    <col min="9225" max="9225" width="17.3984375" style="1551" customWidth="1"/>
    <col min="9226" max="9472" width="9" style="1551"/>
    <col min="9473" max="9473" width="5.19921875" style="1551" customWidth="1"/>
    <col min="9474" max="9474" width="13.3984375" style="1551" customWidth="1"/>
    <col min="9475" max="9475" width="13.69921875" style="1551" customWidth="1"/>
    <col min="9476" max="9476" width="14.09765625" style="1551" customWidth="1"/>
    <col min="9477" max="9477" width="13.69921875" style="1551" customWidth="1"/>
    <col min="9478" max="9478" width="13" style="1551" customWidth="1"/>
    <col min="9479" max="9479" width="13.59765625" style="1551" customWidth="1"/>
    <col min="9480" max="9480" width="12.69921875" style="1551" customWidth="1"/>
    <col min="9481" max="9481" width="17.3984375" style="1551" customWidth="1"/>
    <col min="9482" max="9728" width="9" style="1551"/>
    <col min="9729" max="9729" width="5.19921875" style="1551" customWidth="1"/>
    <col min="9730" max="9730" width="13.3984375" style="1551" customWidth="1"/>
    <col min="9731" max="9731" width="13.69921875" style="1551" customWidth="1"/>
    <col min="9732" max="9732" width="14.09765625" style="1551" customWidth="1"/>
    <col min="9733" max="9733" width="13.69921875" style="1551" customWidth="1"/>
    <col min="9734" max="9734" width="13" style="1551" customWidth="1"/>
    <col min="9735" max="9735" width="13.59765625" style="1551" customWidth="1"/>
    <col min="9736" max="9736" width="12.69921875" style="1551" customWidth="1"/>
    <col min="9737" max="9737" width="17.3984375" style="1551" customWidth="1"/>
    <col min="9738" max="9984" width="9" style="1551"/>
    <col min="9985" max="9985" width="5.19921875" style="1551" customWidth="1"/>
    <col min="9986" max="9986" width="13.3984375" style="1551" customWidth="1"/>
    <col min="9987" max="9987" width="13.69921875" style="1551" customWidth="1"/>
    <col min="9988" max="9988" width="14.09765625" style="1551" customWidth="1"/>
    <col min="9989" max="9989" width="13.69921875" style="1551" customWidth="1"/>
    <col min="9990" max="9990" width="13" style="1551" customWidth="1"/>
    <col min="9991" max="9991" width="13.59765625" style="1551" customWidth="1"/>
    <col min="9992" max="9992" width="12.69921875" style="1551" customWidth="1"/>
    <col min="9993" max="9993" width="17.3984375" style="1551" customWidth="1"/>
    <col min="9994" max="10240" width="9" style="1551"/>
    <col min="10241" max="10241" width="5.19921875" style="1551" customWidth="1"/>
    <col min="10242" max="10242" width="13.3984375" style="1551" customWidth="1"/>
    <col min="10243" max="10243" width="13.69921875" style="1551" customWidth="1"/>
    <col min="10244" max="10244" width="14.09765625" style="1551" customWidth="1"/>
    <col min="10245" max="10245" width="13.69921875" style="1551" customWidth="1"/>
    <col min="10246" max="10246" width="13" style="1551" customWidth="1"/>
    <col min="10247" max="10247" width="13.59765625" style="1551" customWidth="1"/>
    <col min="10248" max="10248" width="12.69921875" style="1551" customWidth="1"/>
    <col min="10249" max="10249" width="17.3984375" style="1551" customWidth="1"/>
    <col min="10250" max="10496" width="9" style="1551"/>
    <col min="10497" max="10497" width="5.19921875" style="1551" customWidth="1"/>
    <col min="10498" max="10498" width="13.3984375" style="1551" customWidth="1"/>
    <col min="10499" max="10499" width="13.69921875" style="1551" customWidth="1"/>
    <col min="10500" max="10500" width="14.09765625" style="1551" customWidth="1"/>
    <col min="10501" max="10501" width="13.69921875" style="1551" customWidth="1"/>
    <col min="10502" max="10502" width="13" style="1551" customWidth="1"/>
    <col min="10503" max="10503" width="13.59765625" style="1551" customWidth="1"/>
    <col min="10504" max="10504" width="12.69921875" style="1551" customWidth="1"/>
    <col min="10505" max="10505" width="17.3984375" style="1551" customWidth="1"/>
    <col min="10506" max="10752" width="9" style="1551"/>
    <col min="10753" max="10753" width="5.19921875" style="1551" customWidth="1"/>
    <col min="10754" max="10754" width="13.3984375" style="1551" customWidth="1"/>
    <col min="10755" max="10755" width="13.69921875" style="1551" customWidth="1"/>
    <col min="10756" max="10756" width="14.09765625" style="1551" customWidth="1"/>
    <col min="10757" max="10757" width="13.69921875" style="1551" customWidth="1"/>
    <col min="10758" max="10758" width="13" style="1551" customWidth="1"/>
    <col min="10759" max="10759" width="13.59765625" style="1551" customWidth="1"/>
    <col min="10760" max="10760" width="12.69921875" style="1551" customWidth="1"/>
    <col min="10761" max="10761" width="17.3984375" style="1551" customWidth="1"/>
    <col min="10762" max="11008" width="9" style="1551"/>
    <col min="11009" max="11009" width="5.19921875" style="1551" customWidth="1"/>
    <col min="11010" max="11010" width="13.3984375" style="1551" customWidth="1"/>
    <col min="11011" max="11011" width="13.69921875" style="1551" customWidth="1"/>
    <col min="11012" max="11012" width="14.09765625" style="1551" customWidth="1"/>
    <col min="11013" max="11013" width="13.69921875" style="1551" customWidth="1"/>
    <col min="11014" max="11014" width="13" style="1551" customWidth="1"/>
    <col min="11015" max="11015" width="13.59765625" style="1551" customWidth="1"/>
    <col min="11016" max="11016" width="12.69921875" style="1551" customWidth="1"/>
    <col min="11017" max="11017" width="17.3984375" style="1551" customWidth="1"/>
    <col min="11018" max="11264" width="9" style="1551"/>
    <col min="11265" max="11265" width="5.19921875" style="1551" customWidth="1"/>
    <col min="11266" max="11266" width="13.3984375" style="1551" customWidth="1"/>
    <col min="11267" max="11267" width="13.69921875" style="1551" customWidth="1"/>
    <col min="11268" max="11268" width="14.09765625" style="1551" customWidth="1"/>
    <col min="11269" max="11269" width="13.69921875" style="1551" customWidth="1"/>
    <col min="11270" max="11270" width="13" style="1551" customWidth="1"/>
    <col min="11271" max="11271" width="13.59765625" style="1551" customWidth="1"/>
    <col min="11272" max="11272" width="12.69921875" style="1551" customWidth="1"/>
    <col min="11273" max="11273" width="17.3984375" style="1551" customWidth="1"/>
    <col min="11274" max="11520" width="9" style="1551"/>
    <col min="11521" max="11521" width="5.19921875" style="1551" customWidth="1"/>
    <col min="11522" max="11522" width="13.3984375" style="1551" customWidth="1"/>
    <col min="11523" max="11523" width="13.69921875" style="1551" customWidth="1"/>
    <col min="11524" max="11524" width="14.09765625" style="1551" customWidth="1"/>
    <col min="11525" max="11525" width="13.69921875" style="1551" customWidth="1"/>
    <col min="11526" max="11526" width="13" style="1551" customWidth="1"/>
    <col min="11527" max="11527" width="13.59765625" style="1551" customWidth="1"/>
    <col min="11528" max="11528" width="12.69921875" style="1551" customWidth="1"/>
    <col min="11529" max="11529" width="17.3984375" style="1551" customWidth="1"/>
    <col min="11530" max="11776" width="9" style="1551"/>
    <col min="11777" max="11777" width="5.19921875" style="1551" customWidth="1"/>
    <col min="11778" max="11778" width="13.3984375" style="1551" customWidth="1"/>
    <col min="11779" max="11779" width="13.69921875" style="1551" customWidth="1"/>
    <col min="11780" max="11780" width="14.09765625" style="1551" customWidth="1"/>
    <col min="11781" max="11781" width="13.69921875" style="1551" customWidth="1"/>
    <col min="11782" max="11782" width="13" style="1551" customWidth="1"/>
    <col min="11783" max="11783" width="13.59765625" style="1551" customWidth="1"/>
    <col min="11784" max="11784" width="12.69921875" style="1551" customWidth="1"/>
    <col min="11785" max="11785" width="17.3984375" style="1551" customWidth="1"/>
    <col min="11786" max="12032" width="9" style="1551"/>
    <col min="12033" max="12033" width="5.19921875" style="1551" customWidth="1"/>
    <col min="12034" max="12034" width="13.3984375" style="1551" customWidth="1"/>
    <col min="12035" max="12035" width="13.69921875" style="1551" customWidth="1"/>
    <col min="12036" max="12036" width="14.09765625" style="1551" customWidth="1"/>
    <col min="12037" max="12037" width="13.69921875" style="1551" customWidth="1"/>
    <col min="12038" max="12038" width="13" style="1551" customWidth="1"/>
    <col min="12039" max="12039" width="13.59765625" style="1551" customWidth="1"/>
    <col min="12040" max="12040" width="12.69921875" style="1551" customWidth="1"/>
    <col min="12041" max="12041" width="17.3984375" style="1551" customWidth="1"/>
    <col min="12042" max="12288" width="9" style="1551"/>
    <col min="12289" max="12289" width="5.19921875" style="1551" customWidth="1"/>
    <col min="12290" max="12290" width="13.3984375" style="1551" customWidth="1"/>
    <col min="12291" max="12291" width="13.69921875" style="1551" customWidth="1"/>
    <col min="12292" max="12292" width="14.09765625" style="1551" customWidth="1"/>
    <col min="12293" max="12293" width="13.69921875" style="1551" customWidth="1"/>
    <col min="12294" max="12294" width="13" style="1551" customWidth="1"/>
    <col min="12295" max="12295" width="13.59765625" style="1551" customWidth="1"/>
    <col min="12296" max="12296" width="12.69921875" style="1551" customWidth="1"/>
    <col min="12297" max="12297" width="17.3984375" style="1551" customWidth="1"/>
    <col min="12298" max="12544" width="9" style="1551"/>
    <col min="12545" max="12545" width="5.19921875" style="1551" customWidth="1"/>
    <col min="12546" max="12546" width="13.3984375" style="1551" customWidth="1"/>
    <col min="12547" max="12547" width="13.69921875" style="1551" customWidth="1"/>
    <col min="12548" max="12548" width="14.09765625" style="1551" customWidth="1"/>
    <col min="12549" max="12549" width="13.69921875" style="1551" customWidth="1"/>
    <col min="12550" max="12550" width="13" style="1551" customWidth="1"/>
    <col min="12551" max="12551" width="13.59765625" style="1551" customWidth="1"/>
    <col min="12552" max="12552" width="12.69921875" style="1551" customWidth="1"/>
    <col min="12553" max="12553" width="17.3984375" style="1551" customWidth="1"/>
    <col min="12554" max="12800" width="9" style="1551"/>
    <col min="12801" max="12801" width="5.19921875" style="1551" customWidth="1"/>
    <col min="12802" max="12802" width="13.3984375" style="1551" customWidth="1"/>
    <col min="12803" max="12803" width="13.69921875" style="1551" customWidth="1"/>
    <col min="12804" max="12804" width="14.09765625" style="1551" customWidth="1"/>
    <col min="12805" max="12805" width="13.69921875" style="1551" customWidth="1"/>
    <col min="12806" max="12806" width="13" style="1551" customWidth="1"/>
    <col min="12807" max="12807" width="13.59765625" style="1551" customWidth="1"/>
    <col min="12808" max="12808" width="12.69921875" style="1551" customWidth="1"/>
    <col min="12809" max="12809" width="17.3984375" style="1551" customWidth="1"/>
    <col min="12810" max="13056" width="9" style="1551"/>
    <col min="13057" max="13057" width="5.19921875" style="1551" customWidth="1"/>
    <col min="13058" max="13058" width="13.3984375" style="1551" customWidth="1"/>
    <col min="13059" max="13059" width="13.69921875" style="1551" customWidth="1"/>
    <col min="13060" max="13060" width="14.09765625" style="1551" customWidth="1"/>
    <col min="13061" max="13061" width="13.69921875" style="1551" customWidth="1"/>
    <col min="13062" max="13062" width="13" style="1551" customWidth="1"/>
    <col min="13063" max="13063" width="13.59765625" style="1551" customWidth="1"/>
    <col min="13064" max="13064" width="12.69921875" style="1551" customWidth="1"/>
    <col min="13065" max="13065" width="17.3984375" style="1551" customWidth="1"/>
    <col min="13066" max="13312" width="9" style="1551"/>
    <col min="13313" max="13313" width="5.19921875" style="1551" customWidth="1"/>
    <col min="13314" max="13314" width="13.3984375" style="1551" customWidth="1"/>
    <col min="13315" max="13315" width="13.69921875" style="1551" customWidth="1"/>
    <col min="13316" max="13316" width="14.09765625" style="1551" customWidth="1"/>
    <col min="13317" max="13317" width="13.69921875" style="1551" customWidth="1"/>
    <col min="13318" max="13318" width="13" style="1551" customWidth="1"/>
    <col min="13319" max="13319" width="13.59765625" style="1551" customWidth="1"/>
    <col min="13320" max="13320" width="12.69921875" style="1551" customWidth="1"/>
    <col min="13321" max="13321" width="17.3984375" style="1551" customWidth="1"/>
    <col min="13322" max="13568" width="9" style="1551"/>
    <col min="13569" max="13569" width="5.19921875" style="1551" customWidth="1"/>
    <col min="13570" max="13570" width="13.3984375" style="1551" customWidth="1"/>
    <col min="13571" max="13571" width="13.69921875" style="1551" customWidth="1"/>
    <col min="13572" max="13572" width="14.09765625" style="1551" customWidth="1"/>
    <col min="13573" max="13573" width="13.69921875" style="1551" customWidth="1"/>
    <col min="13574" max="13574" width="13" style="1551" customWidth="1"/>
    <col min="13575" max="13575" width="13.59765625" style="1551" customWidth="1"/>
    <col min="13576" max="13576" width="12.69921875" style="1551" customWidth="1"/>
    <col min="13577" max="13577" width="17.3984375" style="1551" customWidth="1"/>
    <col min="13578" max="13824" width="9" style="1551"/>
    <col min="13825" max="13825" width="5.19921875" style="1551" customWidth="1"/>
    <col min="13826" max="13826" width="13.3984375" style="1551" customWidth="1"/>
    <col min="13827" max="13827" width="13.69921875" style="1551" customWidth="1"/>
    <col min="13828" max="13828" width="14.09765625" style="1551" customWidth="1"/>
    <col min="13829" max="13829" width="13.69921875" style="1551" customWidth="1"/>
    <col min="13830" max="13830" width="13" style="1551" customWidth="1"/>
    <col min="13831" max="13831" width="13.59765625" style="1551" customWidth="1"/>
    <col min="13832" max="13832" width="12.69921875" style="1551" customWidth="1"/>
    <col min="13833" max="13833" width="17.3984375" style="1551" customWidth="1"/>
    <col min="13834" max="14080" width="9" style="1551"/>
    <col min="14081" max="14081" width="5.19921875" style="1551" customWidth="1"/>
    <col min="14082" max="14082" width="13.3984375" style="1551" customWidth="1"/>
    <col min="14083" max="14083" width="13.69921875" style="1551" customWidth="1"/>
    <col min="14084" max="14084" width="14.09765625" style="1551" customWidth="1"/>
    <col min="14085" max="14085" width="13.69921875" style="1551" customWidth="1"/>
    <col min="14086" max="14086" width="13" style="1551" customWidth="1"/>
    <col min="14087" max="14087" width="13.59765625" style="1551" customWidth="1"/>
    <col min="14088" max="14088" width="12.69921875" style="1551" customWidth="1"/>
    <col min="14089" max="14089" width="17.3984375" style="1551" customWidth="1"/>
    <col min="14090" max="14336" width="9" style="1551"/>
    <col min="14337" max="14337" width="5.19921875" style="1551" customWidth="1"/>
    <col min="14338" max="14338" width="13.3984375" style="1551" customWidth="1"/>
    <col min="14339" max="14339" width="13.69921875" style="1551" customWidth="1"/>
    <col min="14340" max="14340" width="14.09765625" style="1551" customWidth="1"/>
    <col min="14341" max="14341" width="13.69921875" style="1551" customWidth="1"/>
    <col min="14342" max="14342" width="13" style="1551" customWidth="1"/>
    <col min="14343" max="14343" width="13.59765625" style="1551" customWidth="1"/>
    <col min="14344" max="14344" width="12.69921875" style="1551" customWidth="1"/>
    <col min="14345" max="14345" width="17.3984375" style="1551" customWidth="1"/>
    <col min="14346" max="14592" width="9" style="1551"/>
    <col min="14593" max="14593" width="5.19921875" style="1551" customWidth="1"/>
    <col min="14594" max="14594" width="13.3984375" style="1551" customWidth="1"/>
    <col min="14595" max="14595" width="13.69921875" style="1551" customWidth="1"/>
    <col min="14596" max="14596" width="14.09765625" style="1551" customWidth="1"/>
    <col min="14597" max="14597" width="13.69921875" style="1551" customWidth="1"/>
    <col min="14598" max="14598" width="13" style="1551" customWidth="1"/>
    <col min="14599" max="14599" width="13.59765625" style="1551" customWidth="1"/>
    <col min="14600" max="14600" width="12.69921875" style="1551" customWidth="1"/>
    <col min="14601" max="14601" width="17.3984375" style="1551" customWidth="1"/>
    <col min="14602" max="14848" width="9" style="1551"/>
    <col min="14849" max="14849" width="5.19921875" style="1551" customWidth="1"/>
    <col min="14850" max="14850" width="13.3984375" style="1551" customWidth="1"/>
    <col min="14851" max="14851" width="13.69921875" style="1551" customWidth="1"/>
    <col min="14852" max="14852" width="14.09765625" style="1551" customWidth="1"/>
    <col min="14853" max="14853" width="13.69921875" style="1551" customWidth="1"/>
    <col min="14854" max="14854" width="13" style="1551" customWidth="1"/>
    <col min="14855" max="14855" width="13.59765625" style="1551" customWidth="1"/>
    <col min="14856" max="14856" width="12.69921875" style="1551" customWidth="1"/>
    <col min="14857" max="14857" width="17.3984375" style="1551" customWidth="1"/>
    <col min="14858" max="15104" width="9" style="1551"/>
    <col min="15105" max="15105" width="5.19921875" style="1551" customWidth="1"/>
    <col min="15106" max="15106" width="13.3984375" style="1551" customWidth="1"/>
    <col min="15107" max="15107" width="13.69921875" style="1551" customWidth="1"/>
    <col min="15108" max="15108" width="14.09765625" style="1551" customWidth="1"/>
    <col min="15109" max="15109" width="13.69921875" style="1551" customWidth="1"/>
    <col min="15110" max="15110" width="13" style="1551" customWidth="1"/>
    <col min="15111" max="15111" width="13.59765625" style="1551" customWidth="1"/>
    <col min="15112" max="15112" width="12.69921875" style="1551" customWidth="1"/>
    <col min="15113" max="15113" width="17.3984375" style="1551" customWidth="1"/>
    <col min="15114" max="15360" width="9" style="1551"/>
    <col min="15361" max="15361" width="5.19921875" style="1551" customWidth="1"/>
    <col min="15362" max="15362" width="13.3984375" style="1551" customWidth="1"/>
    <col min="15363" max="15363" width="13.69921875" style="1551" customWidth="1"/>
    <col min="15364" max="15364" width="14.09765625" style="1551" customWidth="1"/>
    <col min="15365" max="15365" width="13.69921875" style="1551" customWidth="1"/>
    <col min="15366" max="15366" width="13" style="1551" customWidth="1"/>
    <col min="15367" max="15367" width="13.59765625" style="1551" customWidth="1"/>
    <col min="15368" max="15368" width="12.69921875" style="1551" customWidth="1"/>
    <col min="15369" max="15369" width="17.3984375" style="1551" customWidth="1"/>
    <col min="15370" max="15616" width="9" style="1551"/>
    <col min="15617" max="15617" width="5.19921875" style="1551" customWidth="1"/>
    <col min="15618" max="15618" width="13.3984375" style="1551" customWidth="1"/>
    <col min="15619" max="15619" width="13.69921875" style="1551" customWidth="1"/>
    <col min="15620" max="15620" width="14.09765625" style="1551" customWidth="1"/>
    <col min="15621" max="15621" width="13.69921875" style="1551" customWidth="1"/>
    <col min="15622" max="15622" width="13" style="1551" customWidth="1"/>
    <col min="15623" max="15623" width="13.59765625" style="1551" customWidth="1"/>
    <col min="15624" max="15624" width="12.69921875" style="1551" customWidth="1"/>
    <col min="15625" max="15625" width="17.3984375" style="1551" customWidth="1"/>
    <col min="15626" max="15872" width="9" style="1551"/>
    <col min="15873" max="15873" width="5.19921875" style="1551" customWidth="1"/>
    <col min="15874" max="15874" width="13.3984375" style="1551" customWidth="1"/>
    <col min="15875" max="15875" width="13.69921875" style="1551" customWidth="1"/>
    <col min="15876" max="15876" width="14.09765625" style="1551" customWidth="1"/>
    <col min="15877" max="15877" width="13.69921875" style="1551" customWidth="1"/>
    <col min="15878" max="15878" width="13" style="1551" customWidth="1"/>
    <col min="15879" max="15879" width="13.59765625" style="1551" customWidth="1"/>
    <col min="15880" max="15880" width="12.69921875" style="1551" customWidth="1"/>
    <col min="15881" max="15881" width="17.3984375" style="1551" customWidth="1"/>
    <col min="15882" max="16128" width="9" style="1551"/>
    <col min="16129" max="16129" width="5.19921875" style="1551" customWidth="1"/>
    <col min="16130" max="16130" width="13.3984375" style="1551" customWidth="1"/>
    <col min="16131" max="16131" width="13.69921875" style="1551" customWidth="1"/>
    <col min="16132" max="16132" width="14.09765625" style="1551" customWidth="1"/>
    <col min="16133" max="16133" width="13.69921875" style="1551" customWidth="1"/>
    <col min="16134" max="16134" width="13" style="1551" customWidth="1"/>
    <col min="16135" max="16135" width="13.59765625" style="1551" customWidth="1"/>
    <col min="16136" max="16136" width="12.69921875" style="1551" customWidth="1"/>
    <col min="16137" max="16137" width="17.3984375" style="1551" customWidth="1"/>
    <col min="16138" max="16384" width="9" style="1551"/>
  </cols>
  <sheetData>
    <row r="1" spans="1:15" ht="20.100000000000001" customHeight="1">
      <c r="A1" s="3400" t="s">
        <v>5295</v>
      </c>
      <c r="B1" s="3400"/>
      <c r="C1" s="3400"/>
      <c r="D1" s="3400"/>
      <c r="E1" s="3400"/>
      <c r="F1" s="3400"/>
      <c r="G1" s="3400"/>
      <c r="H1" s="3400"/>
      <c r="I1" s="1802"/>
    </row>
    <row r="2" spans="1:15" ht="19.5" customHeight="1">
      <c r="A2" s="3401" t="s">
        <v>5296</v>
      </c>
      <c r="B2" s="3401"/>
      <c r="C2" s="3401"/>
      <c r="D2" s="3401"/>
      <c r="E2" s="3401"/>
      <c r="F2" s="3401"/>
      <c r="G2" s="3401"/>
      <c r="H2" s="3401"/>
      <c r="I2" s="1833"/>
    </row>
    <row r="3" spans="1:15" s="1552" customFormat="1" ht="14.25" customHeight="1">
      <c r="A3" s="3402" t="s">
        <v>1853</v>
      </c>
      <c r="B3" s="3402" t="s">
        <v>5297</v>
      </c>
      <c r="C3" s="3399" t="s">
        <v>5298</v>
      </c>
      <c r="D3" s="3399"/>
      <c r="E3" s="3399"/>
      <c r="F3" s="3399"/>
      <c r="G3" s="1840" t="s">
        <v>5299</v>
      </c>
      <c r="H3" s="3405" t="s">
        <v>5259</v>
      </c>
      <c r="I3" s="3405" t="s">
        <v>1855</v>
      </c>
    </row>
    <row r="4" spans="1:15" s="1552" customFormat="1" ht="30.75" customHeight="1">
      <c r="A4" s="3403"/>
      <c r="B4" s="3403"/>
      <c r="C4" s="1840" t="s">
        <v>1850</v>
      </c>
      <c r="D4" s="1844" t="s">
        <v>5300</v>
      </c>
      <c r="E4" s="1840" t="s">
        <v>5301</v>
      </c>
      <c r="F4" s="1844" t="s">
        <v>5259</v>
      </c>
      <c r="G4" s="1840" t="s">
        <v>1850</v>
      </c>
      <c r="H4" s="3406"/>
      <c r="I4" s="3406" t="s">
        <v>1855</v>
      </c>
    </row>
    <row r="5" spans="1:15" s="1552" customFormat="1" ht="14.25" customHeight="1">
      <c r="A5" s="3404"/>
      <c r="B5" s="1840">
        <v>1</v>
      </c>
      <c r="C5" s="1840">
        <v>2</v>
      </c>
      <c r="D5" s="1844">
        <v>3</v>
      </c>
      <c r="E5" s="1840">
        <v>4</v>
      </c>
      <c r="F5" s="1840" t="s">
        <v>5302</v>
      </c>
      <c r="G5" s="1840">
        <v>6</v>
      </c>
      <c r="H5" s="1840" t="s">
        <v>5303</v>
      </c>
      <c r="I5" s="1809"/>
    </row>
    <row r="6" spans="1:15" s="1552" customFormat="1" ht="14.25" customHeight="1">
      <c r="A6" s="1840">
        <v>1</v>
      </c>
      <c r="B6" s="1929" t="str">
        <f>捐赠!B7&amp;""</f>
        <v/>
      </c>
      <c r="C6" s="2075">
        <f>捐赠!D7+捐赠!J7</f>
        <v>0</v>
      </c>
      <c r="D6" s="1952" t="s">
        <v>1859</v>
      </c>
      <c r="E6" s="1952" t="s">
        <v>1859</v>
      </c>
      <c r="F6" s="1952" t="s">
        <v>1859</v>
      </c>
      <c r="G6" s="2072">
        <f>捐赠!C7</f>
        <v>0</v>
      </c>
      <c r="H6" s="1952" t="s">
        <v>1859</v>
      </c>
      <c r="I6" s="1809"/>
    </row>
    <row r="7" spans="1:15" s="1552" customFormat="1" ht="14.25" customHeight="1">
      <c r="A7" s="1840">
        <v>2</v>
      </c>
      <c r="B7" s="1929" t="str">
        <f>捐赠!B8&amp;""</f>
        <v/>
      </c>
      <c r="C7" s="2075">
        <f>捐赠!D8+捐赠!J8</f>
        <v>0</v>
      </c>
      <c r="D7" s="1952" t="s">
        <v>1859</v>
      </c>
      <c r="E7" s="1952" t="s">
        <v>1859</v>
      </c>
      <c r="F7" s="1952" t="s">
        <v>1859</v>
      </c>
      <c r="G7" s="2072">
        <f>捐赠!C8</f>
        <v>0</v>
      </c>
      <c r="H7" s="1952" t="s">
        <v>1859</v>
      </c>
      <c r="I7" s="1809"/>
    </row>
    <row r="8" spans="1:15" s="1552" customFormat="1" ht="14.25" customHeight="1">
      <c r="A8" s="1840">
        <v>3</v>
      </c>
      <c r="B8" s="1929" t="str">
        <f>捐赠!B9&amp;""</f>
        <v/>
      </c>
      <c r="C8" s="2075">
        <f>捐赠!D9+捐赠!J9</f>
        <v>0</v>
      </c>
      <c r="D8" s="1952" t="s">
        <v>1859</v>
      </c>
      <c r="E8" s="1952" t="s">
        <v>1859</v>
      </c>
      <c r="F8" s="1952" t="s">
        <v>1859</v>
      </c>
      <c r="G8" s="2072">
        <f>捐赠!C9</f>
        <v>0</v>
      </c>
      <c r="H8" s="1952" t="s">
        <v>1859</v>
      </c>
      <c r="I8" s="1809"/>
    </row>
    <row r="9" spans="1:15" s="1552" customFormat="1" ht="14.25" customHeight="1">
      <c r="A9" s="1840">
        <v>4</v>
      </c>
      <c r="B9" s="1929" t="str">
        <f>捐赠!B10&amp;""</f>
        <v/>
      </c>
      <c r="C9" s="2075">
        <f>捐赠!D10+捐赠!J10</f>
        <v>0</v>
      </c>
      <c r="D9" s="1952" t="s">
        <v>1859</v>
      </c>
      <c r="E9" s="1952" t="s">
        <v>1859</v>
      </c>
      <c r="F9" s="1952" t="s">
        <v>1859</v>
      </c>
      <c r="G9" s="2072">
        <f>捐赠!C10</f>
        <v>0</v>
      </c>
      <c r="H9" s="1952" t="s">
        <v>1859</v>
      </c>
      <c r="I9" s="1809"/>
    </row>
    <row r="10" spans="1:15" s="1552" customFormat="1" ht="14.25" customHeight="1">
      <c r="A10" s="1840">
        <v>5</v>
      </c>
      <c r="B10" s="1929" t="str">
        <f>捐赠!B11&amp;""</f>
        <v/>
      </c>
      <c r="C10" s="2075">
        <f>捐赠!D11+捐赠!J11</f>
        <v>0</v>
      </c>
      <c r="D10" s="1952" t="s">
        <v>1859</v>
      </c>
      <c r="E10" s="1952" t="s">
        <v>1859</v>
      </c>
      <c r="F10" s="1952" t="s">
        <v>1859</v>
      </c>
      <c r="G10" s="2072">
        <f>捐赠!C11</f>
        <v>0</v>
      </c>
      <c r="H10" s="1952" t="s">
        <v>1859</v>
      </c>
      <c r="I10" s="1809"/>
    </row>
    <row r="11" spans="1:15" s="1552" customFormat="1" ht="14.25" customHeight="1">
      <c r="A11" s="1840">
        <v>6</v>
      </c>
      <c r="B11" s="1929" t="str">
        <f>捐赠!B12&amp;""</f>
        <v/>
      </c>
      <c r="C11" s="2075">
        <f>捐赠!D12+捐赠!J12</f>
        <v>0</v>
      </c>
      <c r="D11" s="1952" t="s">
        <v>1859</v>
      </c>
      <c r="E11" s="1952" t="s">
        <v>1859</v>
      </c>
      <c r="F11" s="1952" t="s">
        <v>1859</v>
      </c>
      <c r="G11" s="2072">
        <f>捐赠!C12</f>
        <v>0</v>
      </c>
      <c r="H11" s="1952" t="s">
        <v>1859</v>
      </c>
      <c r="I11" s="1809"/>
    </row>
    <row r="12" spans="1:15" s="1552" customFormat="1" ht="14.25" customHeight="1">
      <c r="A12" s="1840">
        <v>7</v>
      </c>
      <c r="B12" s="1929" t="str">
        <f>捐赠!B13&amp;""</f>
        <v/>
      </c>
      <c r="C12" s="2075">
        <f>捐赠!D13+捐赠!J13</f>
        <v>0</v>
      </c>
      <c r="D12" s="1952" t="s">
        <v>1859</v>
      </c>
      <c r="E12" s="1952" t="s">
        <v>1859</v>
      </c>
      <c r="F12" s="1952" t="s">
        <v>1859</v>
      </c>
      <c r="G12" s="2072">
        <f>捐赠!C13</f>
        <v>0</v>
      </c>
      <c r="H12" s="1952" t="s">
        <v>1859</v>
      </c>
      <c r="I12" s="1809"/>
    </row>
    <row r="13" spans="1:15" s="1552" customFormat="1" ht="14.25" customHeight="1">
      <c r="A13" s="1840">
        <v>8</v>
      </c>
      <c r="B13" s="1929" t="str">
        <f>捐赠!B14&amp;""</f>
        <v/>
      </c>
      <c r="C13" s="2075">
        <f>捐赠!D14+捐赠!J14</f>
        <v>0</v>
      </c>
      <c r="D13" s="1952" t="s">
        <v>1859</v>
      </c>
      <c r="E13" s="1952" t="s">
        <v>1859</v>
      </c>
      <c r="F13" s="1952" t="s">
        <v>1859</v>
      </c>
      <c r="G13" s="2072">
        <f>捐赠!C14</f>
        <v>0</v>
      </c>
      <c r="H13" s="1952" t="s">
        <v>1859</v>
      </c>
      <c r="I13" s="1809"/>
    </row>
    <row r="14" spans="1:15" s="1552" customFormat="1" ht="14.25" customHeight="1">
      <c r="A14" s="1840">
        <v>9</v>
      </c>
      <c r="B14" s="1553"/>
      <c r="C14" s="2076"/>
      <c r="D14" s="1952" t="s">
        <v>1859</v>
      </c>
      <c r="E14" s="1952" t="s">
        <v>1859</v>
      </c>
      <c r="F14" s="1952" t="s">
        <v>1859</v>
      </c>
      <c r="G14" s="2076"/>
      <c r="H14" s="1952" t="s">
        <v>1859</v>
      </c>
      <c r="I14" s="1809"/>
    </row>
    <row r="15" spans="1:15" s="1552" customFormat="1" ht="14.25" customHeight="1">
      <c r="A15" s="1840">
        <v>10</v>
      </c>
      <c r="B15" s="1553"/>
      <c r="C15" s="2076"/>
      <c r="D15" s="1952" t="s">
        <v>1859</v>
      </c>
      <c r="E15" s="1952" t="s">
        <v>1859</v>
      </c>
      <c r="F15" s="1952" t="s">
        <v>1859</v>
      </c>
      <c r="G15" s="2076"/>
      <c r="H15" s="1952" t="s">
        <v>1859</v>
      </c>
      <c r="I15" s="1809"/>
      <c r="J15" s="1541"/>
      <c r="K15" s="1541"/>
      <c r="L15" s="1551"/>
      <c r="M15" s="1551"/>
      <c r="N15" s="1551"/>
      <c r="O15" s="1551"/>
    </row>
    <row r="16" spans="1:15" ht="14.25" customHeight="1">
      <c r="A16" s="1840">
        <v>11</v>
      </c>
      <c r="B16" s="1553"/>
      <c r="C16" s="2076"/>
      <c r="D16" s="1952" t="s">
        <v>1859</v>
      </c>
      <c r="E16" s="1952" t="s">
        <v>1859</v>
      </c>
      <c r="F16" s="1952" t="s">
        <v>1859</v>
      </c>
      <c r="G16" s="2076"/>
      <c r="H16" s="1952" t="s">
        <v>1859</v>
      </c>
      <c r="I16" s="1968"/>
    </row>
    <row r="17" spans="1:10" ht="14.25" customHeight="1">
      <c r="A17" s="1840">
        <v>12</v>
      </c>
      <c r="B17" s="1553"/>
      <c r="C17" s="2076"/>
      <c r="D17" s="1952" t="s">
        <v>1859</v>
      </c>
      <c r="E17" s="1952" t="s">
        <v>1859</v>
      </c>
      <c r="F17" s="1952" t="s">
        <v>1859</v>
      </c>
      <c r="G17" s="2076"/>
      <c r="H17" s="1952" t="s">
        <v>1859</v>
      </c>
      <c r="I17" s="1968"/>
    </row>
    <row r="18" spans="1:10" ht="14.25" customHeight="1">
      <c r="A18" s="1840">
        <v>13</v>
      </c>
      <c r="B18" s="1553"/>
      <c r="C18" s="2076"/>
      <c r="D18" s="1952" t="s">
        <v>1859</v>
      </c>
      <c r="E18" s="1952" t="s">
        <v>1859</v>
      </c>
      <c r="F18" s="1952" t="s">
        <v>1859</v>
      </c>
      <c r="G18" s="2076"/>
      <c r="H18" s="1952" t="s">
        <v>1859</v>
      </c>
      <c r="I18" s="1968"/>
    </row>
    <row r="19" spans="1:10" ht="14.25" customHeight="1">
      <c r="A19" s="1840">
        <v>14</v>
      </c>
      <c r="B19" s="1553"/>
      <c r="C19" s="2076"/>
      <c r="D19" s="1952" t="s">
        <v>1859</v>
      </c>
      <c r="E19" s="1952" t="s">
        <v>1859</v>
      </c>
      <c r="F19" s="1952" t="s">
        <v>1859</v>
      </c>
      <c r="G19" s="2076"/>
      <c r="H19" s="1952" t="s">
        <v>1859</v>
      </c>
      <c r="I19" s="1968"/>
    </row>
    <row r="20" spans="1:10" ht="14.25" customHeight="1">
      <c r="A20" s="1840">
        <v>15</v>
      </c>
      <c r="B20" s="1553"/>
      <c r="C20" s="2076"/>
      <c r="D20" s="1952" t="s">
        <v>1859</v>
      </c>
      <c r="E20" s="1952" t="s">
        <v>1859</v>
      </c>
      <c r="F20" s="1952" t="s">
        <v>1859</v>
      </c>
      <c r="G20" s="2076"/>
      <c r="H20" s="1952" t="s">
        <v>1859</v>
      </c>
      <c r="I20" s="1968"/>
    </row>
    <row r="21" spans="1:10" ht="14.25" customHeight="1">
      <c r="A21" s="1840">
        <v>16</v>
      </c>
      <c r="B21" s="1553"/>
      <c r="C21" s="2076"/>
      <c r="D21" s="1952" t="s">
        <v>1859</v>
      </c>
      <c r="E21" s="1952" t="s">
        <v>1859</v>
      </c>
      <c r="F21" s="1952" t="s">
        <v>1859</v>
      </c>
      <c r="G21" s="2076"/>
      <c r="H21" s="1952" t="s">
        <v>1859</v>
      </c>
      <c r="I21" s="1968"/>
    </row>
    <row r="22" spans="1:10" ht="14.25" customHeight="1">
      <c r="A22" s="1840">
        <v>17</v>
      </c>
      <c r="B22" s="1553"/>
      <c r="C22" s="2076"/>
      <c r="D22" s="1952" t="s">
        <v>1859</v>
      </c>
      <c r="E22" s="1952" t="s">
        <v>1859</v>
      </c>
      <c r="F22" s="1952" t="s">
        <v>5304</v>
      </c>
      <c r="G22" s="2076"/>
      <c r="H22" s="1952" t="s">
        <v>1859</v>
      </c>
      <c r="I22" s="1968"/>
    </row>
    <row r="23" spans="1:10" ht="14.25" customHeight="1">
      <c r="A23" s="1840">
        <v>18</v>
      </c>
      <c r="B23" s="1553"/>
      <c r="C23" s="2076"/>
      <c r="D23" s="1952" t="s">
        <v>1859</v>
      </c>
      <c r="E23" s="1952" t="s">
        <v>1859</v>
      </c>
      <c r="F23" s="1952" t="s">
        <v>1859</v>
      </c>
      <c r="G23" s="2076"/>
      <c r="H23" s="1952" t="s">
        <v>1859</v>
      </c>
      <c r="I23" s="1968"/>
    </row>
    <row r="24" spans="1:10" ht="14.25" customHeight="1">
      <c r="A24" s="1840">
        <v>19</v>
      </c>
      <c r="B24" s="2004"/>
      <c r="C24" s="2076"/>
      <c r="D24" s="1952" t="s">
        <v>1859</v>
      </c>
      <c r="E24" s="1952" t="s">
        <v>1859</v>
      </c>
      <c r="F24" s="1952" t="s">
        <v>1859</v>
      </c>
      <c r="G24" s="2076"/>
      <c r="H24" s="1952" t="s">
        <v>1859</v>
      </c>
      <c r="I24" s="1968"/>
    </row>
    <row r="25" spans="1:10" s="1552" customFormat="1" ht="31.5" customHeight="1">
      <c r="A25" s="1841">
        <v>20</v>
      </c>
      <c r="B25" s="1843" t="s">
        <v>5305</v>
      </c>
      <c r="C25" s="2078">
        <f>SUM(C6:C24)</f>
        <v>0</v>
      </c>
      <c r="D25" s="2078">
        <f>MAX(0,ROUND('A100000中华人民共和国企业所得税年度纳税申报表（A类）'!D16*0.12,2))</f>
        <v>0</v>
      </c>
      <c r="E25" s="2078">
        <f>MIN(N(D25),N(C25))</f>
        <v>0</v>
      </c>
      <c r="F25" s="2078">
        <f>C25-E25</f>
        <v>0</v>
      </c>
      <c r="G25" s="2078">
        <f>SUM(G6:G24)</f>
        <v>0</v>
      </c>
      <c r="H25" s="2078">
        <f>F25+G25</f>
        <v>0</v>
      </c>
      <c r="I25" s="1810" t="s">
        <v>5306</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5.6"/>
  <cols>
    <col min="1" max="1" width="5.19921875" style="1551" customWidth="1"/>
    <col min="2" max="2" width="26" style="1551" customWidth="1"/>
    <col min="3" max="11" width="11.09765625" style="1551" customWidth="1"/>
    <col min="12" max="12" width="6.3984375" style="1551" customWidth="1"/>
    <col min="13" max="13" width="18.3984375" style="1552" customWidth="1"/>
    <col min="14" max="14" width="48.09765625" style="1551" customWidth="1"/>
    <col min="15" max="256" width="9" style="1551"/>
    <col min="257" max="257" width="5.19921875" style="1551" customWidth="1"/>
    <col min="258" max="258" width="30.8984375" style="1551" customWidth="1"/>
    <col min="259" max="259" width="6.3984375" style="1551" customWidth="1"/>
    <col min="260" max="260" width="6.5" style="1551" customWidth="1"/>
    <col min="261" max="261" width="6.09765625" style="1551" customWidth="1"/>
    <col min="262" max="262" width="6" style="1551" customWidth="1"/>
    <col min="263" max="264" width="7" style="1551" customWidth="1"/>
    <col min="265" max="265" width="8.69921875" style="1551" customWidth="1"/>
    <col min="266" max="266" width="6.5" style="1551" customWidth="1"/>
    <col min="267" max="267" width="6.8984375" style="1551" customWidth="1"/>
    <col min="268" max="268" width="6.3984375" style="1551" customWidth="1"/>
    <col min="269" max="269" width="18.3984375" style="1551" customWidth="1"/>
    <col min="270" max="270" width="48.09765625" style="1551" customWidth="1"/>
    <col min="271" max="512" width="9" style="1551"/>
    <col min="513" max="513" width="5.19921875" style="1551" customWidth="1"/>
    <col min="514" max="514" width="30.8984375" style="1551" customWidth="1"/>
    <col min="515" max="515" width="6.3984375" style="1551" customWidth="1"/>
    <col min="516" max="516" width="6.5" style="1551" customWidth="1"/>
    <col min="517" max="517" width="6.09765625" style="1551" customWidth="1"/>
    <col min="518" max="518" width="6" style="1551" customWidth="1"/>
    <col min="519" max="520" width="7" style="1551" customWidth="1"/>
    <col min="521" max="521" width="8.69921875" style="1551" customWidth="1"/>
    <col min="522" max="522" width="6.5" style="1551" customWidth="1"/>
    <col min="523" max="523" width="6.8984375" style="1551" customWidth="1"/>
    <col min="524" max="524" width="6.3984375" style="1551" customWidth="1"/>
    <col min="525" max="525" width="18.3984375" style="1551" customWidth="1"/>
    <col min="526" max="526" width="48.09765625" style="1551" customWidth="1"/>
    <col min="527" max="768" width="9" style="1551"/>
    <col min="769" max="769" width="5.19921875" style="1551" customWidth="1"/>
    <col min="770" max="770" width="30.8984375" style="1551" customWidth="1"/>
    <col min="771" max="771" width="6.3984375" style="1551" customWidth="1"/>
    <col min="772" max="772" width="6.5" style="1551" customWidth="1"/>
    <col min="773" max="773" width="6.09765625" style="1551" customWidth="1"/>
    <col min="774" max="774" width="6" style="1551" customWidth="1"/>
    <col min="775" max="776" width="7" style="1551" customWidth="1"/>
    <col min="777" max="777" width="8.69921875" style="1551" customWidth="1"/>
    <col min="778" max="778" width="6.5" style="1551" customWidth="1"/>
    <col min="779" max="779" width="6.8984375" style="1551" customWidth="1"/>
    <col min="780" max="780" width="6.3984375" style="1551" customWidth="1"/>
    <col min="781" max="781" width="18.3984375" style="1551" customWidth="1"/>
    <col min="782" max="782" width="48.09765625" style="1551" customWidth="1"/>
    <col min="783" max="1024" width="9" style="1551"/>
    <col min="1025" max="1025" width="5.19921875" style="1551" customWidth="1"/>
    <col min="1026" max="1026" width="30.8984375" style="1551" customWidth="1"/>
    <col min="1027" max="1027" width="6.3984375" style="1551" customWidth="1"/>
    <col min="1028" max="1028" width="6.5" style="1551" customWidth="1"/>
    <col min="1029" max="1029" width="6.09765625" style="1551" customWidth="1"/>
    <col min="1030" max="1030" width="6" style="1551" customWidth="1"/>
    <col min="1031" max="1032" width="7" style="1551" customWidth="1"/>
    <col min="1033" max="1033" width="8.69921875" style="1551" customWidth="1"/>
    <col min="1034" max="1034" width="6.5" style="1551" customWidth="1"/>
    <col min="1035" max="1035" width="6.8984375" style="1551" customWidth="1"/>
    <col min="1036" max="1036" width="6.3984375" style="1551" customWidth="1"/>
    <col min="1037" max="1037" width="18.3984375" style="1551" customWidth="1"/>
    <col min="1038" max="1038" width="48.09765625" style="1551" customWidth="1"/>
    <col min="1039" max="1280" width="9" style="1551"/>
    <col min="1281" max="1281" width="5.19921875" style="1551" customWidth="1"/>
    <col min="1282" max="1282" width="30.8984375" style="1551" customWidth="1"/>
    <col min="1283" max="1283" width="6.3984375" style="1551" customWidth="1"/>
    <col min="1284" max="1284" width="6.5" style="1551" customWidth="1"/>
    <col min="1285" max="1285" width="6.09765625" style="1551" customWidth="1"/>
    <col min="1286" max="1286" width="6" style="1551" customWidth="1"/>
    <col min="1287" max="1288" width="7" style="1551" customWidth="1"/>
    <col min="1289" max="1289" width="8.69921875" style="1551" customWidth="1"/>
    <col min="1290" max="1290" width="6.5" style="1551" customWidth="1"/>
    <col min="1291" max="1291" width="6.8984375" style="1551" customWidth="1"/>
    <col min="1292" max="1292" width="6.3984375" style="1551" customWidth="1"/>
    <col min="1293" max="1293" width="18.3984375" style="1551" customWidth="1"/>
    <col min="1294" max="1294" width="48.09765625" style="1551" customWidth="1"/>
    <col min="1295" max="1536" width="9" style="1551"/>
    <col min="1537" max="1537" width="5.19921875" style="1551" customWidth="1"/>
    <col min="1538" max="1538" width="30.8984375" style="1551" customWidth="1"/>
    <col min="1539" max="1539" width="6.3984375" style="1551" customWidth="1"/>
    <col min="1540" max="1540" width="6.5" style="1551" customWidth="1"/>
    <col min="1541" max="1541" width="6.09765625" style="1551" customWidth="1"/>
    <col min="1542" max="1542" width="6" style="1551" customWidth="1"/>
    <col min="1543" max="1544" width="7" style="1551" customWidth="1"/>
    <col min="1545" max="1545" width="8.69921875" style="1551" customWidth="1"/>
    <col min="1546" max="1546" width="6.5" style="1551" customWidth="1"/>
    <col min="1547" max="1547" width="6.8984375" style="1551" customWidth="1"/>
    <col min="1548" max="1548" width="6.3984375" style="1551" customWidth="1"/>
    <col min="1549" max="1549" width="18.3984375" style="1551" customWidth="1"/>
    <col min="1550" max="1550" width="48.09765625" style="1551" customWidth="1"/>
    <col min="1551" max="1792" width="9" style="1551"/>
    <col min="1793" max="1793" width="5.19921875" style="1551" customWidth="1"/>
    <col min="1794" max="1794" width="30.8984375" style="1551" customWidth="1"/>
    <col min="1795" max="1795" width="6.3984375" style="1551" customWidth="1"/>
    <col min="1796" max="1796" width="6.5" style="1551" customWidth="1"/>
    <col min="1797" max="1797" width="6.09765625" style="1551" customWidth="1"/>
    <col min="1798" max="1798" width="6" style="1551" customWidth="1"/>
    <col min="1799" max="1800" width="7" style="1551" customWidth="1"/>
    <col min="1801" max="1801" width="8.69921875" style="1551" customWidth="1"/>
    <col min="1802" max="1802" width="6.5" style="1551" customWidth="1"/>
    <col min="1803" max="1803" width="6.8984375" style="1551" customWidth="1"/>
    <col min="1804" max="1804" width="6.3984375" style="1551" customWidth="1"/>
    <col min="1805" max="1805" width="18.3984375" style="1551" customWidth="1"/>
    <col min="1806" max="1806" width="48.09765625" style="1551" customWidth="1"/>
    <col min="1807" max="2048" width="9" style="1551"/>
    <col min="2049" max="2049" width="5.19921875" style="1551" customWidth="1"/>
    <col min="2050" max="2050" width="30.8984375" style="1551" customWidth="1"/>
    <col min="2051" max="2051" width="6.3984375" style="1551" customWidth="1"/>
    <col min="2052" max="2052" width="6.5" style="1551" customWidth="1"/>
    <col min="2053" max="2053" width="6.09765625" style="1551" customWidth="1"/>
    <col min="2054" max="2054" width="6" style="1551" customWidth="1"/>
    <col min="2055" max="2056" width="7" style="1551" customWidth="1"/>
    <col min="2057" max="2057" width="8.69921875" style="1551" customWidth="1"/>
    <col min="2058" max="2058" width="6.5" style="1551" customWidth="1"/>
    <col min="2059" max="2059" width="6.8984375" style="1551" customWidth="1"/>
    <col min="2060" max="2060" width="6.3984375" style="1551" customWidth="1"/>
    <col min="2061" max="2061" width="18.3984375" style="1551" customWidth="1"/>
    <col min="2062" max="2062" width="48.09765625" style="1551" customWidth="1"/>
    <col min="2063" max="2304" width="9" style="1551"/>
    <col min="2305" max="2305" width="5.19921875" style="1551" customWidth="1"/>
    <col min="2306" max="2306" width="30.8984375" style="1551" customWidth="1"/>
    <col min="2307" max="2307" width="6.3984375" style="1551" customWidth="1"/>
    <col min="2308" max="2308" width="6.5" style="1551" customWidth="1"/>
    <col min="2309" max="2309" width="6.09765625" style="1551" customWidth="1"/>
    <col min="2310" max="2310" width="6" style="1551" customWidth="1"/>
    <col min="2311" max="2312" width="7" style="1551" customWidth="1"/>
    <col min="2313" max="2313" width="8.69921875" style="1551" customWidth="1"/>
    <col min="2314" max="2314" width="6.5" style="1551" customWidth="1"/>
    <col min="2315" max="2315" width="6.8984375" style="1551" customWidth="1"/>
    <col min="2316" max="2316" width="6.3984375" style="1551" customWidth="1"/>
    <col min="2317" max="2317" width="18.3984375" style="1551" customWidth="1"/>
    <col min="2318" max="2318" width="48.09765625" style="1551" customWidth="1"/>
    <col min="2319" max="2560" width="9" style="1551"/>
    <col min="2561" max="2561" width="5.19921875" style="1551" customWidth="1"/>
    <col min="2562" max="2562" width="30.8984375" style="1551" customWidth="1"/>
    <col min="2563" max="2563" width="6.3984375" style="1551" customWidth="1"/>
    <col min="2564" max="2564" width="6.5" style="1551" customWidth="1"/>
    <col min="2565" max="2565" width="6.09765625" style="1551" customWidth="1"/>
    <col min="2566" max="2566" width="6" style="1551" customWidth="1"/>
    <col min="2567" max="2568" width="7" style="1551" customWidth="1"/>
    <col min="2569" max="2569" width="8.69921875" style="1551" customWidth="1"/>
    <col min="2570" max="2570" width="6.5" style="1551" customWidth="1"/>
    <col min="2571" max="2571" width="6.8984375" style="1551" customWidth="1"/>
    <col min="2572" max="2572" width="6.3984375" style="1551" customWidth="1"/>
    <col min="2573" max="2573" width="18.3984375" style="1551" customWidth="1"/>
    <col min="2574" max="2574" width="48.09765625" style="1551" customWidth="1"/>
    <col min="2575" max="2816" width="9" style="1551"/>
    <col min="2817" max="2817" width="5.19921875" style="1551" customWidth="1"/>
    <col min="2818" max="2818" width="30.8984375" style="1551" customWidth="1"/>
    <col min="2819" max="2819" width="6.3984375" style="1551" customWidth="1"/>
    <col min="2820" max="2820" width="6.5" style="1551" customWidth="1"/>
    <col min="2821" max="2821" width="6.09765625" style="1551" customWidth="1"/>
    <col min="2822" max="2822" width="6" style="1551" customWidth="1"/>
    <col min="2823" max="2824" width="7" style="1551" customWidth="1"/>
    <col min="2825" max="2825" width="8.69921875" style="1551" customWidth="1"/>
    <col min="2826" max="2826" width="6.5" style="1551" customWidth="1"/>
    <col min="2827" max="2827" width="6.8984375" style="1551" customWidth="1"/>
    <col min="2828" max="2828" width="6.3984375" style="1551" customWidth="1"/>
    <col min="2829" max="2829" width="18.3984375" style="1551" customWidth="1"/>
    <col min="2830" max="2830" width="48.09765625" style="1551" customWidth="1"/>
    <col min="2831" max="3072" width="9" style="1551"/>
    <col min="3073" max="3073" width="5.19921875" style="1551" customWidth="1"/>
    <col min="3074" max="3074" width="30.8984375" style="1551" customWidth="1"/>
    <col min="3075" max="3075" width="6.3984375" style="1551" customWidth="1"/>
    <col min="3076" max="3076" width="6.5" style="1551" customWidth="1"/>
    <col min="3077" max="3077" width="6.09765625" style="1551" customWidth="1"/>
    <col min="3078" max="3078" width="6" style="1551" customWidth="1"/>
    <col min="3079" max="3080" width="7" style="1551" customWidth="1"/>
    <col min="3081" max="3081" width="8.69921875" style="1551" customWidth="1"/>
    <col min="3082" max="3082" width="6.5" style="1551" customWidth="1"/>
    <col min="3083" max="3083" width="6.8984375" style="1551" customWidth="1"/>
    <col min="3084" max="3084" width="6.3984375" style="1551" customWidth="1"/>
    <col min="3085" max="3085" width="18.3984375" style="1551" customWidth="1"/>
    <col min="3086" max="3086" width="48.09765625" style="1551" customWidth="1"/>
    <col min="3087" max="3328" width="9" style="1551"/>
    <col min="3329" max="3329" width="5.19921875" style="1551" customWidth="1"/>
    <col min="3330" max="3330" width="30.8984375" style="1551" customWidth="1"/>
    <col min="3331" max="3331" width="6.3984375" style="1551" customWidth="1"/>
    <col min="3332" max="3332" width="6.5" style="1551" customWidth="1"/>
    <col min="3333" max="3333" width="6.09765625" style="1551" customWidth="1"/>
    <col min="3334" max="3334" width="6" style="1551" customWidth="1"/>
    <col min="3335" max="3336" width="7" style="1551" customWidth="1"/>
    <col min="3337" max="3337" width="8.69921875" style="1551" customWidth="1"/>
    <col min="3338" max="3338" width="6.5" style="1551" customWidth="1"/>
    <col min="3339" max="3339" width="6.8984375" style="1551" customWidth="1"/>
    <col min="3340" max="3340" width="6.3984375" style="1551" customWidth="1"/>
    <col min="3341" max="3341" width="18.3984375" style="1551" customWidth="1"/>
    <col min="3342" max="3342" width="48.09765625" style="1551" customWidth="1"/>
    <col min="3343" max="3584" width="9" style="1551"/>
    <col min="3585" max="3585" width="5.19921875" style="1551" customWidth="1"/>
    <col min="3586" max="3586" width="30.8984375" style="1551" customWidth="1"/>
    <col min="3587" max="3587" width="6.3984375" style="1551" customWidth="1"/>
    <col min="3588" max="3588" width="6.5" style="1551" customWidth="1"/>
    <col min="3589" max="3589" width="6.09765625" style="1551" customWidth="1"/>
    <col min="3590" max="3590" width="6" style="1551" customWidth="1"/>
    <col min="3591" max="3592" width="7" style="1551" customWidth="1"/>
    <col min="3593" max="3593" width="8.69921875" style="1551" customWidth="1"/>
    <col min="3594" max="3594" width="6.5" style="1551" customWidth="1"/>
    <col min="3595" max="3595" width="6.8984375" style="1551" customWidth="1"/>
    <col min="3596" max="3596" width="6.3984375" style="1551" customWidth="1"/>
    <col min="3597" max="3597" width="18.3984375" style="1551" customWidth="1"/>
    <col min="3598" max="3598" width="48.09765625" style="1551" customWidth="1"/>
    <col min="3599" max="3840" width="9" style="1551"/>
    <col min="3841" max="3841" width="5.19921875" style="1551" customWidth="1"/>
    <col min="3842" max="3842" width="30.8984375" style="1551" customWidth="1"/>
    <col min="3843" max="3843" width="6.3984375" style="1551" customWidth="1"/>
    <col min="3844" max="3844" width="6.5" style="1551" customWidth="1"/>
    <col min="3845" max="3845" width="6.09765625" style="1551" customWidth="1"/>
    <col min="3846" max="3846" width="6" style="1551" customWidth="1"/>
    <col min="3847" max="3848" width="7" style="1551" customWidth="1"/>
    <col min="3849" max="3849" width="8.69921875" style="1551" customWidth="1"/>
    <col min="3850" max="3850" width="6.5" style="1551" customWidth="1"/>
    <col min="3851" max="3851" width="6.8984375" style="1551" customWidth="1"/>
    <col min="3852" max="3852" width="6.3984375" style="1551" customWidth="1"/>
    <col min="3853" max="3853" width="18.3984375" style="1551" customWidth="1"/>
    <col min="3854" max="3854" width="48.09765625" style="1551" customWidth="1"/>
    <col min="3855" max="4096" width="9" style="1551"/>
    <col min="4097" max="4097" width="5.19921875" style="1551" customWidth="1"/>
    <col min="4098" max="4098" width="30.8984375" style="1551" customWidth="1"/>
    <col min="4099" max="4099" width="6.3984375" style="1551" customWidth="1"/>
    <col min="4100" max="4100" width="6.5" style="1551" customWidth="1"/>
    <col min="4101" max="4101" width="6.09765625" style="1551" customWidth="1"/>
    <col min="4102" max="4102" width="6" style="1551" customWidth="1"/>
    <col min="4103" max="4104" width="7" style="1551" customWidth="1"/>
    <col min="4105" max="4105" width="8.69921875" style="1551" customWidth="1"/>
    <col min="4106" max="4106" width="6.5" style="1551" customWidth="1"/>
    <col min="4107" max="4107" width="6.8984375" style="1551" customWidth="1"/>
    <col min="4108" max="4108" width="6.3984375" style="1551" customWidth="1"/>
    <col min="4109" max="4109" width="18.3984375" style="1551" customWidth="1"/>
    <col min="4110" max="4110" width="48.09765625" style="1551" customWidth="1"/>
    <col min="4111" max="4352" width="9" style="1551"/>
    <col min="4353" max="4353" width="5.19921875" style="1551" customWidth="1"/>
    <col min="4354" max="4354" width="30.8984375" style="1551" customWidth="1"/>
    <col min="4355" max="4355" width="6.3984375" style="1551" customWidth="1"/>
    <col min="4356" max="4356" width="6.5" style="1551" customWidth="1"/>
    <col min="4357" max="4357" width="6.09765625" style="1551" customWidth="1"/>
    <col min="4358" max="4358" width="6" style="1551" customWidth="1"/>
    <col min="4359" max="4360" width="7" style="1551" customWidth="1"/>
    <col min="4361" max="4361" width="8.69921875" style="1551" customWidth="1"/>
    <col min="4362" max="4362" width="6.5" style="1551" customWidth="1"/>
    <col min="4363" max="4363" width="6.8984375" style="1551" customWidth="1"/>
    <col min="4364" max="4364" width="6.3984375" style="1551" customWidth="1"/>
    <col min="4365" max="4365" width="18.3984375" style="1551" customWidth="1"/>
    <col min="4366" max="4366" width="48.09765625" style="1551" customWidth="1"/>
    <col min="4367" max="4608" width="9" style="1551"/>
    <col min="4609" max="4609" width="5.19921875" style="1551" customWidth="1"/>
    <col min="4610" max="4610" width="30.8984375" style="1551" customWidth="1"/>
    <col min="4611" max="4611" width="6.3984375" style="1551" customWidth="1"/>
    <col min="4612" max="4612" width="6.5" style="1551" customWidth="1"/>
    <col min="4613" max="4613" width="6.09765625" style="1551" customWidth="1"/>
    <col min="4614" max="4614" width="6" style="1551" customWidth="1"/>
    <col min="4615" max="4616" width="7" style="1551" customWidth="1"/>
    <col min="4617" max="4617" width="8.69921875" style="1551" customWidth="1"/>
    <col min="4618" max="4618" width="6.5" style="1551" customWidth="1"/>
    <col min="4619" max="4619" width="6.8984375" style="1551" customWidth="1"/>
    <col min="4620" max="4620" width="6.3984375" style="1551" customWidth="1"/>
    <col min="4621" max="4621" width="18.3984375" style="1551" customWidth="1"/>
    <col min="4622" max="4622" width="48.09765625" style="1551" customWidth="1"/>
    <col min="4623" max="4864" width="9" style="1551"/>
    <col min="4865" max="4865" width="5.19921875" style="1551" customWidth="1"/>
    <col min="4866" max="4866" width="30.8984375" style="1551" customWidth="1"/>
    <col min="4867" max="4867" width="6.3984375" style="1551" customWidth="1"/>
    <col min="4868" max="4868" width="6.5" style="1551" customWidth="1"/>
    <col min="4869" max="4869" width="6.09765625" style="1551" customWidth="1"/>
    <col min="4870" max="4870" width="6" style="1551" customWidth="1"/>
    <col min="4871" max="4872" width="7" style="1551" customWidth="1"/>
    <col min="4873" max="4873" width="8.69921875" style="1551" customWidth="1"/>
    <col min="4874" max="4874" width="6.5" style="1551" customWidth="1"/>
    <col min="4875" max="4875" width="6.8984375" style="1551" customWidth="1"/>
    <col min="4876" max="4876" width="6.3984375" style="1551" customWidth="1"/>
    <col min="4877" max="4877" width="18.3984375" style="1551" customWidth="1"/>
    <col min="4878" max="4878" width="48.09765625" style="1551" customWidth="1"/>
    <col min="4879" max="5120" width="9" style="1551"/>
    <col min="5121" max="5121" width="5.19921875" style="1551" customWidth="1"/>
    <col min="5122" max="5122" width="30.8984375" style="1551" customWidth="1"/>
    <col min="5123" max="5123" width="6.3984375" style="1551" customWidth="1"/>
    <col min="5124" max="5124" width="6.5" style="1551" customWidth="1"/>
    <col min="5125" max="5125" width="6.09765625" style="1551" customWidth="1"/>
    <col min="5126" max="5126" width="6" style="1551" customWidth="1"/>
    <col min="5127" max="5128" width="7" style="1551" customWidth="1"/>
    <col min="5129" max="5129" width="8.69921875" style="1551" customWidth="1"/>
    <col min="5130" max="5130" width="6.5" style="1551" customWidth="1"/>
    <col min="5131" max="5131" width="6.8984375" style="1551" customWidth="1"/>
    <col min="5132" max="5132" width="6.3984375" style="1551" customWidth="1"/>
    <col min="5133" max="5133" width="18.3984375" style="1551" customWidth="1"/>
    <col min="5134" max="5134" width="48.09765625" style="1551" customWidth="1"/>
    <col min="5135" max="5376" width="9" style="1551"/>
    <col min="5377" max="5377" width="5.19921875" style="1551" customWidth="1"/>
    <col min="5378" max="5378" width="30.8984375" style="1551" customWidth="1"/>
    <col min="5379" max="5379" width="6.3984375" style="1551" customWidth="1"/>
    <col min="5380" max="5380" width="6.5" style="1551" customWidth="1"/>
    <col min="5381" max="5381" width="6.09765625" style="1551" customWidth="1"/>
    <col min="5382" max="5382" width="6" style="1551" customWidth="1"/>
    <col min="5383" max="5384" width="7" style="1551" customWidth="1"/>
    <col min="5385" max="5385" width="8.69921875" style="1551" customWidth="1"/>
    <col min="5386" max="5386" width="6.5" style="1551" customWidth="1"/>
    <col min="5387" max="5387" width="6.8984375" style="1551" customWidth="1"/>
    <col min="5388" max="5388" width="6.3984375" style="1551" customWidth="1"/>
    <col min="5389" max="5389" width="18.3984375" style="1551" customWidth="1"/>
    <col min="5390" max="5390" width="48.09765625" style="1551" customWidth="1"/>
    <col min="5391" max="5632" width="9" style="1551"/>
    <col min="5633" max="5633" width="5.19921875" style="1551" customWidth="1"/>
    <col min="5634" max="5634" width="30.8984375" style="1551" customWidth="1"/>
    <col min="5635" max="5635" width="6.3984375" style="1551" customWidth="1"/>
    <col min="5636" max="5636" width="6.5" style="1551" customWidth="1"/>
    <col min="5637" max="5637" width="6.09765625" style="1551" customWidth="1"/>
    <col min="5638" max="5638" width="6" style="1551" customWidth="1"/>
    <col min="5639" max="5640" width="7" style="1551" customWidth="1"/>
    <col min="5641" max="5641" width="8.69921875" style="1551" customWidth="1"/>
    <col min="5642" max="5642" width="6.5" style="1551" customWidth="1"/>
    <col min="5643" max="5643" width="6.8984375" style="1551" customWidth="1"/>
    <col min="5644" max="5644" width="6.3984375" style="1551" customWidth="1"/>
    <col min="5645" max="5645" width="18.3984375" style="1551" customWidth="1"/>
    <col min="5646" max="5646" width="48.09765625" style="1551" customWidth="1"/>
    <col min="5647" max="5888" width="9" style="1551"/>
    <col min="5889" max="5889" width="5.19921875" style="1551" customWidth="1"/>
    <col min="5890" max="5890" width="30.8984375" style="1551" customWidth="1"/>
    <col min="5891" max="5891" width="6.3984375" style="1551" customWidth="1"/>
    <col min="5892" max="5892" width="6.5" style="1551" customWidth="1"/>
    <col min="5893" max="5893" width="6.09765625" style="1551" customWidth="1"/>
    <col min="5894" max="5894" width="6" style="1551" customWidth="1"/>
    <col min="5895" max="5896" width="7" style="1551" customWidth="1"/>
    <col min="5897" max="5897" width="8.69921875" style="1551" customWidth="1"/>
    <col min="5898" max="5898" width="6.5" style="1551" customWidth="1"/>
    <col min="5899" max="5899" width="6.8984375" style="1551" customWidth="1"/>
    <col min="5900" max="5900" width="6.3984375" style="1551" customWidth="1"/>
    <col min="5901" max="5901" width="18.3984375" style="1551" customWidth="1"/>
    <col min="5902" max="5902" width="48.09765625" style="1551" customWidth="1"/>
    <col min="5903" max="6144" width="9" style="1551"/>
    <col min="6145" max="6145" width="5.19921875" style="1551" customWidth="1"/>
    <col min="6146" max="6146" width="30.8984375" style="1551" customWidth="1"/>
    <col min="6147" max="6147" width="6.3984375" style="1551" customWidth="1"/>
    <col min="6148" max="6148" width="6.5" style="1551" customWidth="1"/>
    <col min="6149" max="6149" width="6.09765625" style="1551" customWidth="1"/>
    <col min="6150" max="6150" width="6" style="1551" customWidth="1"/>
    <col min="6151" max="6152" width="7" style="1551" customWidth="1"/>
    <col min="6153" max="6153" width="8.69921875" style="1551" customWidth="1"/>
    <col min="6154" max="6154" width="6.5" style="1551" customWidth="1"/>
    <col min="6155" max="6155" width="6.8984375" style="1551" customWidth="1"/>
    <col min="6156" max="6156" width="6.3984375" style="1551" customWidth="1"/>
    <col min="6157" max="6157" width="18.3984375" style="1551" customWidth="1"/>
    <col min="6158" max="6158" width="48.09765625" style="1551" customWidth="1"/>
    <col min="6159" max="6400" width="9" style="1551"/>
    <col min="6401" max="6401" width="5.19921875" style="1551" customWidth="1"/>
    <col min="6402" max="6402" width="30.8984375" style="1551" customWidth="1"/>
    <col min="6403" max="6403" width="6.3984375" style="1551" customWidth="1"/>
    <col min="6404" max="6404" width="6.5" style="1551" customWidth="1"/>
    <col min="6405" max="6405" width="6.09765625" style="1551" customWidth="1"/>
    <col min="6406" max="6406" width="6" style="1551" customWidth="1"/>
    <col min="6407" max="6408" width="7" style="1551" customWidth="1"/>
    <col min="6409" max="6409" width="8.69921875" style="1551" customWidth="1"/>
    <col min="6410" max="6410" width="6.5" style="1551" customWidth="1"/>
    <col min="6411" max="6411" width="6.8984375" style="1551" customWidth="1"/>
    <col min="6412" max="6412" width="6.3984375" style="1551" customWidth="1"/>
    <col min="6413" max="6413" width="18.3984375" style="1551" customWidth="1"/>
    <col min="6414" max="6414" width="48.09765625" style="1551" customWidth="1"/>
    <col min="6415" max="6656" width="9" style="1551"/>
    <col min="6657" max="6657" width="5.19921875" style="1551" customWidth="1"/>
    <col min="6658" max="6658" width="30.8984375" style="1551" customWidth="1"/>
    <col min="6659" max="6659" width="6.3984375" style="1551" customWidth="1"/>
    <col min="6660" max="6660" width="6.5" style="1551" customWidth="1"/>
    <col min="6661" max="6661" width="6.09765625" style="1551" customWidth="1"/>
    <col min="6662" max="6662" width="6" style="1551" customWidth="1"/>
    <col min="6663" max="6664" width="7" style="1551" customWidth="1"/>
    <col min="6665" max="6665" width="8.69921875" style="1551" customWidth="1"/>
    <col min="6666" max="6666" width="6.5" style="1551" customWidth="1"/>
    <col min="6667" max="6667" width="6.8984375" style="1551" customWidth="1"/>
    <col min="6668" max="6668" width="6.3984375" style="1551" customWidth="1"/>
    <col min="6669" max="6669" width="18.3984375" style="1551" customWidth="1"/>
    <col min="6670" max="6670" width="48.09765625" style="1551" customWidth="1"/>
    <col min="6671" max="6912" width="9" style="1551"/>
    <col min="6913" max="6913" width="5.19921875" style="1551" customWidth="1"/>
    <col min="6914" max="6914" width="30.8984375" style="1551" customWidth="1"/>
    <col min="6915" max="6915" width="6.3984375" style="1551" customWidth="1"/>
    <col min="6916" max="6916" width="6.5" style="1551" customWidth="1"/>
    <col min="6917" max="6917" width="6.09765625" style="1551" customWidth="1"/>
    <col min="6918" max="6918" width="6" style="1551" customWidth="1"/>
    <col min="6919" max="6920" width="7" style="1551" customWidth="1"/>
    <col min="6921" max="6921" width="8.69921875" style="1551" customWidth="1"/>
    <col min="6922" max="6922" width="6.5" style="1551" customWidth="1"/>
    <col min="6923" max="6923" width="6.8984375" style="1551" customWidth="1"/>
    <col min="6924" max="6924" width="6.3984375" style="1551" customWidth="1"/>
    <col min="6925" max="6925" width="18.3984375" style="1551" customWidth="1"/>
    <col min="6926" max="6926" width="48.09765625" style="1551" customWidth="1"/>
    <col min="6927" max="7168" width="9" style="1551"/>
    <col min="7169" max="7169" width="5.19921875" style="1551" customWidth="1"/>
    <col min="7170" max="7170" width="30.8984375" style="1551" customWidth="1"/>
    <col min="7171" max="7171" width="6.3984375" style="1551" customWidth="1"/>
    <col min="7172" max="7172" width="6.5" style="1551" customWidth="1"/>
    <col min="7173" max="7173" width="6.09765625" style="1551" customWidth="1"/>
    <col min="7174" max="7174" width="6" style="1551" customWidth="1"/>
    <col min="7175" max="7176" width="7" style="1551" customWidth="1"/>
    <col min="7177" max="7177" width="8.69921875" style="1551" customWidth="1"/>
    <col min="7178" max="7178" width="6.5" style="1551" customWidth="1"/>
    <col min="7179" max="7179" width="6.8984375" style="1551" customWidth="1"/>
    <col min="7180" max="7180" width="6.3984375" style="1551" customWidth="1"/>
    <col min="7181" max="7181" width="18.3984375" style="1551" customWidth="1"/>
    <col min="7182" max="7182" width="48.09765625" style="1551" customWidth="1"/>
    <col min="7183" max="7424" width="9" style="1551"/>
    <col min="7425" max="7425" width="5.19921875" style="1551" customWidth="1"/>
    <col min="7426" max="7426" width="30.8984375" style="1551" customWidth="1"/>
    <col min="7427" max="7427" width="6.3984375" style="1551" customWidth="1"/>
    <col min="7428" max="7428" width="6.5" style="1551" customWidth="1"/>
    <col min="7429" max="7429" width="6.09765625" style="1551" customWidth="1"/>
    <col min="7430" max="7430" width="6" style="1551" customWidth="1"/>
    <col min="7431" max="7432" width="7" style="1551" customWidth="1"/>
    <col min="7433" max="7433" width="8.69921875" style="1551" customWidth="1"/>
    <col min="7434" max="7434" width="6.5" style="1551" customWidth="1"/>
    <col min="7435" max="7435" width="6.8984375" style="1551" customWidth="1"/>
    <col min="7436" max="7436" width="6.3984375" style="1551" customWidth="1"/>
    <col min="7437" max="7437" width="18.3984375" style="1551" customWidth="1"/>
    <col min="7438" max="7438" width="48.09765625" style="1551" customWidth="1"/>
    <col min="7439" max="7680" width="9" style="1551"/>
    <col min="7681" max="7681" width="5.19921875" style="1551" customWidth="1"/>
    <col min="7682" max="7682" width="30.8984375" style="1551" customWidth="1"/>
    <col min="7683" max="7683" width="6.3984375" style="1551" customWidth="1"/>
    <col min="7684" max="7684" width="6.5" style="1551" customWidth="1"/>
    <col min="7685" max="7685" width="6.09765625" style="1551" customWidth="1"/>
    <col min="7686" max="7686" width="6" style="1551" customWidth="1"/>
    <col min="7687" max="7688" width="7" style="1551" customWidth="1"/>
    <col min="7689" max="7689" width="8.69921875" style="1551" customWidth="1"/>
    <col min="7690" max="7690" width="6.5" style="1551" customWidth="1"/>
    <col min="7691" max="7691" width="6.8984375" style="1551" customWidth="1"/>
    <col min="7692" max="7692" width="6.3984375" style="1551" customWidth="1"/>
    <col min="7693" max="7693" width="18.3984375" style="1551" customWidth="1"/>
    <col min="7694" max="7694" width="48.09765625" style="1551" customWidth="1"/>
    <col min="7695" max="7936" width="9" style="1551"/>
    <col min="7937" max="7937" width="5.19921875" style="1551" customWidth="1"/>
    <col min="7938" max="7938" width="30.8984375" style="1551" customWidth="1"/>
    <col min="7939" max="7939" width="6.3984375" style="1551" customWidth="1"/>
    <col min="7940" max="7940" width="6.5" style="1551" customWidth="1"/>
    <col min="7941" max="7941" width="6.09765625" style="1551" customWidth="1"/>
    <col min="7942" max="7942" width="6" style="1551" customWidth="1"/>
    <col min="7943" max="7944" width="7" style="1551" customWidth="1"/>
    <col min="7945" max="7945" width="8.69921875" style="1551" customWidth="1"/>
    <col min="7946" max="7946" width="6.5" style="1551" customWidth="1"/>
    <col min="7947" max="7947" width="6.8984375" style="1551" customWidth="1"/>
    <col min="7948" max="7948" width="6.3984375" style="1551" customWidth="1"/>
    <col min="7949" max="7949" width="18.3984375" style="1551" customWidth="1"/>
    <col min="7950" max="7950" width="48.09765625" style="1551" customWidth="1"/>
    <col min="7951" max="8192" width="9" style="1551"/>
    <col min="8193" max="8193" width="5.19921875" style="1551" customWidth="1"/>
    <col min="8194" max="8194" width="30.8984375" style="1551" customWidth="1"/>
    <col min="8195" max="8195" width="6.3984375" style="1551" customWidth="1"/>
    <col min="8196" max="8196" width="6.5" style="1551" customWidth="1"/>
    <col min="8197" max="8197" width="6.09765625" style="1551" customWidth="1"/>
    <col min="8198" max="8198" width="6" style="1551" customWidth="1"/>
    <col min="8199" max="8200" width="7" style="1551" customWidth="1"/>
    <col min="8201" max="8201" width="8.69921875" style="1551" customWidth="1"/>
    <col min="8202" max="8202" width="6.5" style="1551" customWidth="1"/>
    <col min="8203" max="8203" width="6.8984375" style="1551" customWidth="1"/>
    <col min="8204" max="8204" width="6.3984375" style="1551" customWidth="1"/>
    <col min="8205" max="8205" width="18.3984375" style="1551" customWidth="1"/>
    <col min="8206" max="8206" width="48.09765625" style="1551" customWidth="1"/>
    <col min="8207" max="8448" width="9" style="1551"/>
    <col min="8449" max="8449" width="5.19921875" style="1551" customWidth="1"/>
    <col min="8450" max="8450" width="30.8984375" style="1551" customWidth="1"/>
    <col min="8451" max="8451" width="6.3984375" style="1551" customWidth="1"/>
    <col min="8452" max="8452" width="6.5" style="1551" customWidth="1"/>
    <col min="8453" max="8453" width="6.09765625" style="1551" customWidth="1"/>
    <col min="8454" max="8454" width="6" style="1551" customWidth="1"/>
    <col min="8455" max="8456" width="7" style="1551" customWidth="1"/>
    <col min="8457" max="8457" width="8.69921875" style="1551" customWidth="1"/>
    <col min="8458" max="8458" width="6.5" style="1551" customWidth="1"/>
    <col min="8459" max="8459" width="6.8984375" style="1551" customWidth="1"/>
    <col min="8460" max="8460" width="6.3984375" style="1551" customWidth="1"/>
    <col min="8461" max="8461" width="18.3984375" style="1551" customWidth="1"/>
    <col min="8462" max="8462" width="48.09765625" style="1551" customWidth="1"/>
    <col min="8463" max="8704" width="9" style="1551"/>
    <col min="8705" max="8705" width="5.19921875" style="1551" customWidth="1"/>
    <col min="8706" max="8706" width="30.8984375" style="1551" customWidth="1"/>
    <col min="8707" max="8707" width="6.3984375" style="1551" customWidth="1"/>
    <col min="8708" max="8708" width="6.5" style="1551" customWidth="1"/>
    <col min="8709" max="8709" width="6.09765625" style="1551" customWidth="1"/>
    <col min="8710" max="8710" width="6" style="1551" customWidth="1"/>
    <col min="8711" max="8712" width="7" style="1551" customWidth="1"/>
    <col min="8713" max="8713" width="8.69921875" style="1551" customWidth="1"/>
    <col min="8714" max="8714" width="6.5" style="1551" customWidth="1"/>
    <col min="8715" max="8715" width="6.8984375" style="1551" customWidth="1"/>
    <col min="8716" max="8716" width="6.3984375" style="1551" customWidth="1"/>
    <col min="8717" max="8717" width="18.3984375" style="1551" customWidth="1"/>
    <col min="8718" max="8718" width="48.09765625" style="1551" customWidth="1"/>
    <col min="8719" max="8960" width="9" style="1551"/>
    <col min="8961" max="8961" width="5.19921875" style="1551" customWidth="1"/>
    <col min="8962" max="8962" width="30.8984375" style="1551" customWidth="1"/>
    <col min="8963" max="8963" width="6.3984375" style="1551" customWidth="1"/>
    <col min="8964" max="8964" width="6.5" style="1551" customWidth="1"/>
    <col min="8965" max="8965" width="6.09765625" style="1551" customWidth="1"/>
    <col min="8966" max="8966" width="6" style="1551" customWidth="1"/>
    <col min="8967" max="8968" width="7" style="1551" customWidth="1"/>
    <col min="8969" max="8969" width="8.69921875" style="1551" customWidth="1"/>
    <col min="8970" max="8970" width="6.5" style="1551" customWidth="1"/>
    <col min="8971" max="8971" width="6.8984375" style="1551" customWidth="1"/>
    <col min="8972" max="8972" width="6.3984375" style="1551" customWidth="1"/>
    <col min="8973" max="8973" width="18.3984375" style="1551" customWidth="1"/>
    <col min="8974" max="8974" width="48.09765625" style="1551" customWidth="1"/>
    <col min="8975" max="9216" width="9" style="1551"/>
    <col min="9217" max="9217" width="5.19921875" style="1551" customWidth="1"/>
    <col min="9218" max="9218" width="30.8984375" style="1551" customWidth="1"/>
    <col min="9219" max="9219" width="6.3984375" style="1551" customWidth="1"/>
    <col min="9220" max="9220" width="6.5" style="1551" customWidth="1"/>
    <col min="9221" max="9221" width="6.09765625" style="1551" customWidth="1"/>
    <col min="9222" max="9222" width="6" style="1551" customWidth="1"/>
    <col min="9223" max="9224" width="7" style="1551" customWidth="1"/>
    <col min="9225" max="9225" width="8.69921875" style="1551" customWidth="1"/>
    <col min="9226" max="9226" width="6.5" style="1551" customWidth="1"/>
    <col min="9227" max="9227" width="6.8984375" style="1551" customWidth="1"/>
    <col min="9228" max="9228" width="6.3984375" style="1551" customWidth="1"/>
    <col min="9229" max="9229" width="18.3984375" style="1551" customWidth="1"/>
    <col min="9230" max="9230" width="48.09765625" style="1551" customWidth="1"/>
    <col min="9231" max="9472" width="9" style="1551"/>
    <col min="9473" max="9473" width="5.19921875" style="1551" customWidth="1"/>
    <col min="9474" max="9474" width="30.8984375" style="1551" customWidth="1"/>
    <col min="9475" max="9475" width="6.3984375" style="1551" customWidth="1"/>
    <col min="9476" max="9476" width="6.5" style="1551" customWidth="1"/>
    <col min="9477" max="9477" width="6.09765625" style="1551" customWidth="1"/>
    <col min="9478" max="9478" width="6" style="1551" customWidth="1"/>
    <col min="9479" max="9480" width="7" style="1551" customWidth="1"/>
    <col min="9481" max="9481" width="8.69921875" style="1551" customWidth="1"/>
    <col min="9482" max="9482" width="6.5" style="1551" customWidth="1"/>
    <col min="9483" max="9483" width="6.8984375" style="1551" customWidth="1"/>
    <col min="9484" max="9484" width="6.3984375" style="1551" customWidth="1"/>
    <col min="9485" max="9485" width="18.3984375" style="1551" customWidth="1"/>
    <col min="9486" max="9486" width="48.09765625" style="1551" customWidth="1"/>
    <col min="9487" max="9728" width="9" style="1551"/>
    <col min="9729" max="9729" width="5.19921875" style="1551" customWidth="1"/>
    <col min="9730" max="9730" width="30.8984375" style="1551" customWidth="1"/>
    <col min="9731" max="9731" width="6.3984375" style="1551" customWidth="1"/>
    <col min="9732" max="9732" width="6.5" style="1551" customWidth="1"/>
    <col min="9733" max="9733" width="6.09765625" style="1551" customWidth="1"/>
    <col min="9734" max="9734" width="6" style="1551" customWidth="1"/>
    <col min="9735" max="9736" width="7" style="1551" customWidth="1"/>
    <col min="9737" max="9737" width="8.69921875" style="1551" customWidth="1"/>
    <col min="9738" max="9738" width="6.5" style="1551" customWidth="1"/>
    <col min="9739" max="9739" width="6.8984375" style="1551" customWidth="1"/>
    <col min="9740" max="9740" width="6.3984375" style="1551" customWidth="1"/>
    <col min="9741" max="9741" width="18.3984375" style="1551" customWidth="1"/>
    <col min="9742" max="9742" width="48.09765625" style="1551" customWidth="1"/>
    <col min="9743" max="9984" width="9" style="1551"/>
    <col min="9985" max="9985" width="5.19921875" style="1551" customWidth="1"/>
    <col min="9986" max="9986" width="30.8984375" style="1551" customWidth="1"/>
    <col min="9987" max="9987" width="6.3984375" style="1551" customWidth="1"/>
    <col min="9988" max="9988" width="6.5" style="1551" customWidth="1"/>
    <col min="9989" max="9989" width="6.09765625" style="1551" customWidth="1"/>
    <col min="9990" max="9990" width="6" style="1551" customWidth="1"/>
    <col min="9991" max="9992" width="7" style="1551" customWidth="1"/>
    <col min="9993" max="9993" width="8.69921875" style="1551" customWidth="1"/>
    <col min="9994" max="9994" width="6.5" style="1551" customWidth="1"/>
    <col min="9995" max="9995" width="6.8984375" style="1551" customWidth="1"/>
    <col min="9996" max="9996" width="6.3984375" style="1551" customWidth="1"/>
    <col min="9997" max="9997" width="18.3984375" style="1551" customWidth="1"/>
    <col min="9998" max="9998" width="48.09765625" style="1551" customWidth="1"/>
    <col min="9999" max="10240" width="9" style="1551"/>
    <col min="10241" max="10241" width="5.19921875" style="1551" customWidth="1"/>
    <col min="10242" max="10242" width="30.8984375" style="1551" customWidth="1"/>
    <col min="10243" max="10243" width="6.3984375" style="1551" customWidth="1"/>
    <col min="10244" max="10244" width="6.5" style="1551" customWidth="1"/>
    <col min="10245" max="10245" width="6.09765625" style="1551" customWidth="1"/>
    <col min="10246" max="10246" width="6" style="1551" customWidth="1"/>
    <col min="10247" max="10248" width="7" style="1551" customWidth="1"/>
    <col min="10249" max="10249" width="8.69921875" style="1551" customWidth="1"/>
    <col min="10250" max="10250" width="6.5" style="1551" customWidth="1"/>
    <col min="10251" max="10251" width="6.8984375" style="1551" customWidth="1"/>
    <col min="10252" max="10252" width="6.3984375" style="1551" customWidth="1"/>
    <col min="10253" max="10253" width="18.3984375" style="1551" customWidth="1"/>
    <col min="10254" max="10254" width="48.09765625" style="1551" customWidth="1"/>
    <col min="10255" max="10496" width="9" style="1551"/>
    <col min="10497" max="10497" width="5.19921875" style="1551" customWidth="1"/>
    <col min="10498" max="10498" width="30.8984375" style="1551" customWidth="1"/>
    <col min="10499" max="10499" width="6.3984375" style="1551" customWidth="1"/>
    <col min="10500" max="10500" width="6.5" style="1551" customWidth="1"/>
    <col min="10501" max="10501" width="6.09765625" style="1551" customWidth="1"/>
    <col min="10502" max="10502" width="6" style="1551" customWidth="1"/>
    <col min="10503" max="10504" width="7" style="1551" customWidth="1"/>
    <col min="10505" max="10505" width="8.69921875" style="1551" customWidth="1"/>
    <col min="10506" max="10506" width="6.5" style="1551" customWidth="1"/>
    <col min="10507" max="10507" width="6.8984375" style="1551" customWidth="1"/>
    <col min="10508" max="10508" width="6.3984375" style="1551" customWidth="1"/>
    <col min="10509" max="10509" width="18.3984375" style="1551" customWidth="1"/>
    <col min="10510" max="10510" width="48.09765625" style="1551" customWidth="1"/>
    <col min="10511" max="10752" width="9" style="1551"/>
    <col min="10753" max="10753" width="5.19921875" style="1551" customWidth="1"/>
    <col min="10754" max="10754" width="30.8984375" style="1551" customWidth="1"/>
    <col min="10755" max="10755" width="6.3984375" style="1551" customWidth="1"/>
    <col min="10756" max="10756" width="6.5" style="1551" customWidth="1"/>
    <col min="10757" max="10757" width="6.09765625" style="1551" customWidth="1"/>
    <col min="10758" max="10758" width="6" style="1551" customWidth="1"/>
    <col min="10759" max="10760" width="7" style="1551" customWidth="1"/>
    <col min="10761" max="10761" width="8.69921875" style="1551" customWidth="1"/>
    <col min="10762" max="10762" width="6.5" style="1551" customWidth="1"/>
    <col min="10763" max="10763" width="6.8984375" style="1551" customWidth="1"/>
    <col min="10764" max="10764" width="6.3984375" style="1551" customWidth="1"/>
    <col min="10765" max="10765" width="18.3984375" style="1551" customWidth="1"/>
    <col min="10766" max="10766" width="48.09765625" style="1551" customWidth="1"/>
    <col min="10767" max="11008" width="9" style="1551"/>
    <col min="11009" max="11009" width="5.19921875" style="1551" customWidth="1"/>
    <col min="11010" max="11010" width="30.8984375" style="1551" customWidth="1"/>
    <col min="11011" max="11011" width="6.3984375" style="1551" customWidth="1"/>
    <col min="11012" max="11012" width="6.5" style="1551" customWidth="1"/>
    <col min="11013" max="11013" width="6.09765625" style="1551" customWidth="1"/>
    <col min="11014" max="11014" width="6" style="1551" customWidth="1"/>
    <col min="11015" max="11016" width="7" style="1551" customWidth="1"/>
    <col min="11017" max="11017" width="8.69921875" style="1551" customWidth="1"/>
    <col min="11018" max="11018" width="6.5" style="1551" customWidth="1"/>
    <col min="11019" max="11019" width="6.8984375" style="1551" customWidth="1"/>
    <col min="11020" max="11020" width="6.3984375" style="1551" customWidth="1"/>
    <col min="11021" max="11021" width="18.3984375" style="1551" customWidth="1"/>
    <col min="11022" max="11022" width="48.09765625" style="1551" customWidth="1"/>
    <col min="11023" max="11264" width="9" style="1551"/>
    <col min="11265" max="11265" width="5.19921875" style="1551" customWidth="1"/>
    <col min="11266" max="11266" width="30.8984375" style="1551" customWidth="1"/>
    <col min="11267" max="11267" width="6.3984375" style="1551" customWidth="1"/>
    <col min="11268" max="11268" width="6.5" style="1551" customWidth="1"/>
    <col min="11269" max="11269" width="6.09765625" style="1551" customWidth="1"/>
    <col min="11270" max="11270" width="6" style="1551" customWidth="1"/>
    <col min="11271" max="11272" width="7" style="1551" customWidth="1"/>
    <col min="11273" max="11273" width="8.69921875" style="1551" customWidth="1"/>
    <col min="11274" max="11274" width="6.5" style="1551" customWidth="1"/>
    <col min="11275" max="11275" width="6.8984375" style="1551" customWidth="1"/>
    <col min="11276" max="11276" width="6.3984375" style="1551" customWidth="1"/>
    <col min="11277" max="11277" width="18.3984375" style="1551" customWidth="1"/>
    <col min="11278" max="11278" width="48.09765625" style="1551" customWidth="1"/>
    <col min="11279" max="11520" width="9" style="1551"/>
    <col min="11521" max="11521" width="5.19921875" style="1551" customWidth="1"/>
    <col min="11522" max="11522" width="30.8984375" style="1551" customWidth="1"/>
    <col min="11523" max="11523" width="6.3984375" style="1551" customWidth="1"/>
    <col min="11524" max="11524" width="6.5" style="1551" customWidth="1"/>
    <col min="11525" max="11525" width="6.09765625" style="1551" customWidth="1"/>
    <col min="11526" max="11526" width="6" style="1551" customWidth="1"/>
    <col min="11527" max="11528" width="7" style="1551" customWidth="1"/>
    <col min="11529" max="11529" width="8.69921875" style="1551" customWidth="1"/>
    <col min="11530" max="11530" width="6.5" style="1551" customWidth="1"/>
    <col min="11531" max="11531" width="6.8984375" style="1551" customWidth="1"/>
    <col min="11532" max="11532" width="6.3984375" style="1551" customWidth="1"/>
    <col min="11533" max="11533" width="18.3984375" style="1551" customWidth="1"/>
    <col min="11534" max="11534" width="48.09765625" style="1551" customWidth="1"/>
    <col min="11535" max="11776" width="9" style="1551"/>
    <col min="11777" max="11777" width="5.19921875" style="1551" customWidth="1"/>
    <col min="11778" max="11778" width="30.8984375" style="1551" customWidth="1"/>
    <col min="11779" max="11779" width="6.3984375" style="1551" customWidth="1"/>
    <col min="11780" max="11780" width="6.5" style="1551" customWidth="1"/>
    <col min="11781" max="11781" width="6.09765625" style="1551" customWidth="1"/>
    <col min="11782" max="11782" width="6" style="1551" customWidth="1"/>
    <col min="11783" max="11784" width="7" style="1551" customWidth="1"/>
    <col min="11785" max="11785" width="8.69921875" style="1551" customWidth="1"/>
    <col min="11786" max="11786" width="6.5" style="1551" customWidth="1"/>
    <col min="11787" max="11787" width="6.8984375" style="1551" customWidth="1"/>
    <col min="11788" max="11788" width="6.3984375" style="1551" customWidth="1"/>
    <col min="11789" max="11789" width="18.3984375" style="1551" customWidth="1"/>
    <col min="11790" max="11790" width="48.09765625" style="1551" customWidth="1"/>
    <col min="11791" max="12032" width="9" style="1551"/>
    <col min="12033" max="12033" width="5.19921875" style="1551" customWidth="1"/>
    <col min="12034" max="12034" width="30.8984375" style="1551" customWidth="1"/>
    <col min="12035" max="12035" width="6.3984375" style="1551" customWidth="1"/>
    <col min="12036" max="12036" width="6.5" style="1551" customWidth="1"/>
    <col min="12037" max="12037" width="6.09765625" style="1551" customWidth="1"/>
    <col min="12038" max="12038" width="6" style="1551" customWidth="1"/>
    <col min="12039" max="12040" width="7" style="1551" customWidth="1"/>
    <col min="12041" max="12041" width="8.69921875" style="1551" customWidth="1"/>
    <col min="12042" max="12042" width="6.5" style="1551" customWidth="1"/>
    <col min="12043" max="12043" width="6.8984375" style="1551" customWidth="1"/>
    <col min="12044" max="12044" width="6.3984375" style="1551" customWidth="1"/>
    <col min="12045" max="12045" width="18.3984375" style="1551" customWidth="1"/>
    <col min="12046" max="12046" width="48.09765625" style="1551" customWidth="1"/>
    <col min="12047" max="12288" width="9" style="1551"/>
    <col min="12289" max="12289" width="5.19921875" style="1551" customWidth="1"/>
    <col min="12290" max="12290" width="30.8984375" style="1551" customWidth="1"/>
    <col min="12291" max="12291" width="6.3984375" style="1551" customWidth="1"/>
    <col min="12292" max="12292" width="6.5" style="1551" customWidth="1"/>
    <col min="12293" max="12293" width="6.09765625" style="1551" customWidth="1"/>
    <col min="12294" max="12294" width="6" style="1551" customWidth="1"/>
    <col min="12295" max="12296" width="7" style="1551" customWidth="1"/>
    <col min="12297" max="12297" width="8.69921875" style="1551" customWidth="1"/>
    <col min="12298" max="12298" width="6.5" style="1551" customWidth="1"/>
    <col min="12299" max="12299" width="6.8984375" style="1551" customWidth="1"/>
    <col min="12300" max="12300" width="6.3984375" style="1551" customWidth="1"/>
    <col min="12301" max="12301" width="18.3984375" style="1551" customWidth="1"/>
    <col min="12302" max="12302" width="48.09765625" style="1551" customWidth="1"/>
    <col min="12303" max="12544" width="9" style="1551"/>
    <col min="12545" max="12545" width="5.19921875" style="1551" customWidth="1"/>
    <col min="12546" max="12546" width="30.8984375" style="1551" customWidth="1"/>
    <col min="12547" max="12547" width="6.3984375" style="1551" customWidth="1"/>
    <col min="12548" max="12548" width="6.5" style="1551" customWidth="1"/>
    <col min="12549" max="12549" width="6.09765625" style="1551" customWidth="1"/>
    <col min="12550" max="12550" width="6" style="1551" customWidth="1"/>
    <col min="12551" max="12552" width="7" style="1551" customWidth="1"/>
    <col min="12553" max="12553" width="8.69921875" style="1551" customWidth="1"/>
    <col min="12554" max="12554" width="6.5" style="1551" customWidth="1"/>
    <col min="12555" max="12555" width="6.8984375" style="1551" customWidth="1"/>
    <col min="12556" max="12556" width="6.3984375" style="1551" customWidth="1"/>
    <col min="12557" max="12557" width="18.3984375" style="1551" customWidth="1"/>
    <col min="12558" max="12558" width="48.09765625" style="1551" customWidth="1"/>
    <col min="12559" max="12800" width="9" style="1551"/>
    <col min="12801" max="12801" width="5.19921875" style="1551" customWidth="1"/>
    <col min="12802" max="12802" width="30.8984375" style="1551" customWidth="1"/>
    <col min="12803" max="12803" width="6.3984375" style="1551" customWidth="1"/>
    <col min="12804" max="12804" width="6.5" style="1551" customWidth="1"/>
    <col min="12805" max="12805" width="6.09765625" style="1551" customWidth="1"/>
    <col min="12806" max="12806" width="6" style="1551" customWidth="1"/>
    <col min="12807" max="12808" width="7" style="1551" customWidth="1"/>
    <col min="12809" max="12809" width="8.69921875" style="1551" customWidth="1"/>
    <col min="12810" max="12810" width="6.5" style="1551" customWidth="1"/>
    <col min="12811" max="12811" width="6.8984375" style="1551" customWidth="1"/>
    <col min="12812" max="12812" width="6.3984375" style="1551" customWidth="1"/>
    <col min="12813" max="12813" width="18.3984375" style="1551" customWidth="1"/>
    <col min="12814" max="12814" width="48.09765625" style="1551" customWidth="1"/>
    <col min="12815" max="13056" width="9" style="1551"/>
    <col min="13057" max="13057" width="5.19921875" style="1551" customWidth="1"/>
    <col min="13058" max="13058" width="30.8984375" style="1551" customWidth="1"/>
    <col min="13059" max="13059" width="6.3984375" style="1551" customWidth="1"/>
    <col min="13060" max="13060" width="6.5" style="1551" customWidth="1"/>
    <col min="13061" max="13061" width="6.09765625" style="1551" customWidth="1"/>
    <col min="13062" max="13062" width="6" style="1551" customWidth="1"/>
    <col min="13063" max="13064" width="7" style="1551" customWidth="1"/>
    <col min="13065" max="13065" width="8.69921875" style="1551" customWidth="1"/>
    <col min="13066" max="13066" width="6.5" style="1551" customWidth="1"/>
    <col min="13067" max="13067" width="6.8984375" style="1551" customWidth="1"/>
    <col min="13068" max="13068" width="6.3984375" style="1551" customWidth="1"/>
    <col min="13069" max="13069" width="18.3984375" style="1551" customWidth="1"/>
    <col min="13070" max="13070" width="48.09765625" style="1551" customWidth="1"/>
    <col min="13071" max="13312" width="9" style="1551"/>
    <col min="13313" max="13313" width="5.19921875" style="1551" customWidth="1"/>
    <col min="13314" max="13314" width="30.8984375" style="1551" customWidth="1"/>
    <col min="13315" max="13315" width="6.3984375" style="1551" customWidth="1"/>
    <col min="13316" max="13316" width="6.5" style="1551" customWidth="1"/>
    <col min="13317" max="13317" width="6.09765625" style="1551" customWidth="1"/>
    <col min="13318" max="13318" width="6" style="1551" customWidth="1"/>
    <col min="13319" max="13320" width="7" style="1551" customWidth="1"/>
    <col min="13321" max="13321" width="8.69921875" style="1551" customWidth="1"/>
    <col min="13322" max="13322" width="6.5" style="1551" customWidth="1"/>
    <col min="13323" max="13323" width="6.8984375" style="1551" customWidth="1"/>
    <col min="13324" max="13324" width="6.3984375" style="1551" customWidth="1"/>
    <col min="13325" max="13325" width="18.3984375" style="1551" customWidth="1"/>
    <col min="13326" max="13326" width="48.09765625" style="1551" customWidth="1"/>
    <col min="13327" max="13568" width="9" style="1551"/>
    <col min="13569" max="13569" width="5.19921875" style="1551" customWidth="1"/>
    <col min="13570" max="13570" width="30.8984375" style="1551" customWidth="1"/>
    <col min="13571" max="13571" width="6.3984375" style="1551" customWidth="1"/>
    <col min="13572" max="13572" width="6.5" style="1551" customWidth="1"/>
    <col min="13573" max="13573" width="6.09765625" style="1551" customWidth="1"/>
    <col min="13574" max="13574" width="6" style="1551" customWidth="1"/>
    <col min="13575" max="13576" width="7" style="1551" customWidth="1"/>
    <col min="13577" max="13577" width="8.69921875" style="1551" customWidth="1"/>
    <col min="13578" max="13578" width="6.5" style="1551" customWidth="1"/>
    <col min="13579" max="13579" width="6.8984375" style="1551" customWidth="1"/>
    <col min="13580" max="13580" width="6.3984375" style="1551" customWidth="1"/>
    <col min="13581" max="13581" width="18.3984375" style="1551" customWidth="1"/>
    <col min="13582" max="13582" width="48.09765625" style="1551" customWidth="1"/>
    <col min="13583" max="13824" width="9" style="1551"/>
    <col min="13825" max="13825" width="5.19921875" style="1551" customWidth="1"/>
    <col min="13826" max="13826" width="30.8984375" style="1551" customWidth="1"/>
    <col min="13827" max="13827" width="6.3984375" style="1551" customWidth="1"/>
    <col min="13828" max="13828" width="6.5" style="1551" customWidth="1"/>
    <col min="13829" max="13829" width="6.09765625" style="1551" customWidth="1"/>
    <col min="13830" max="13830" width="6" style="1551" customWidth="1"/>
    <col min="13831" max="13832" width="7" style="1551" customWidth="1"/>
    <col min="13833" max="13833" width="8.69921875" style="1551" customWidth="1"/>
    <col min="13834" max="13834" width="6.5" style="1551" customWidth="1"/>
    <col min="13835" max="13835" width="6.8984375" style="1551" customWidth="1"/>
    <col min="13836" max="13836" width="6.3984375" style="1551" customWidth="1"/>
    <col min="13837" max="13837" width="18.3984375" style="1551" customWidth="1"/>
    <col min="13838" max="13838" width="48.09765625" style="1551" customWidth="1"/>
    <col min="13839" max="14080" width="9" style="1551"/>
    <col min="14081" max="14081" width="5.19921875" style="1551" customWidth="1"/>
    <col min="14082" max="14082" width="30.8984375" style="1551" customWidth="1"/>
    <col min="14083" max="14083" width="6.3984375" style="1551" customWidth="1"/>
    <col min="14084" max="14084" width="6.5" style="1551" customWidth="1"/>
    <col min="14085" max="14085" width="6.09765625" style="1551" customWidth="1"/>
    <col min="14086" max="14086" width="6" style="1551" customWidth="1"/>
    <col min="14087" max="14088" width="7" style="1551" customWidth="1"/>
    <col min="14089" max="14089" width="8.69921875" style="1551" customWidth="1"/>
    <col min="14090" max="14090" width="6.5" style="1551" customWidth="1"/>
    <col min="14091" max="14091" width="6.8984375" style="1551" customWidth="1"/>
    <col min="14092" max="14092" width="6.3984375" style="1551" customWidth="1"/>
    <col min="14093" max="14093" width="18.3984375" style="1551" customWidth="1"/>
    <col min="14094" max="14094" width="48.09765625" style="1551" customWidth="1"/>
    <col min="14095" max="14336" width="9" style="1551"/>
    <col min="14337" max="14337" width="5.19921875" style="1551" customWidth="1"/>
    <col min="14338" max="14338" width="30.8984375" style="1551" customWidth="1"/>
    <col min="14339" max="14339" width="6.3984375" style="1551" customWidth="1"/>
    <col min="14340" max="14340" width="6.5" style="1551" customWidth="1"/>
    <col min="14341" max="14341" width="6.09765625" style="1551" customWidth="1"/>
    <col min="14342" max="14342" width="6" style="1551" customWidth="1"/>
    <col min="14343" max="14344" width="7" style="1551" customWidth="1"/>
    <col min="14345" max="14345" width="8.69921875" style="1551" customWidth="1"/>
    <col min="14346" max="14346" width="6.5" style="1551" customWidth="1"/>
    <col min="14347" max="14347" width="6.8984375" style="1551" customWidth="1"/>
    <col min="14348" max="14348" width="6.3984375" style="1551" customWidth="1"/>
    <col min="14349" max="14349" width="18.3984375" style="1551" customWidth="1"/>
    <col min="14350" max="14350" width="48.09765625" style="1551" customWidth="1"/>
    <col min="14351" max="14592" width="9" style="1551"/>
    <col min="14593" max="14593" width="5.19921875" style="1551" customWidth="1"/>
    <col min="14594" max="14594" width="30.8984375" style="1551" customWidth="1"/>
    <col min="14595" max="14595" width="6.3984375" style="1551" customWidth="1"/>
    <col min="14596" max="14596" width="6.5" style="1551" customWidth="1"/>
    <col min="14597" max="14597" width="6.09765625" style="1551" customWidth="1"/>
    <col min="14598" max="14598" width="6" style="1551" customWidth="1"/>
    <col min="14599" max="14600" width="7" style="1551" customWidth="1"/>
    <col min="14601" max="14601" width="8.69921875" style="1551" customWidth="1"/>
    <col min="14602" max="14602" width="6.5" style="1551" customWidth="1"/>
    <col min="14603" max="14603" width="6.8984375" style="1551" customWidth="1"/>
    <col min="14604" max="14604" width="6.3984375" style="1551" customWidth="1"/>
    <col min="14605" max="14605" width="18.3984375" style="1551" customWidth="1"/>
    <col min="14606" max="14606" width="48.09765625" style="1551" customWidth="1"/>
    <col min="14607" max="14848" width="9" style="1551"/>
    <col min="14849" max="14849" width="5.19921875" style="1551" customWidth="1"/>
    <col min="14850" max="14850" width="30.8984375" style="1551" customWidth="1"/>
    <col min="14851" max="14851" width="6.3984375" style="1551" customWidth="1"/>
    <col min="14852" max="14852" width="6.5" style="1551" customWidth="1"/>
    <col min="14853" max="14853" width="6.09765625" style="1551" customWidth="1"/>
    <col min="14854" max="14854" width="6" style="1551" customWidth="1"/>
    <col min="14855" max="14856" width="7" style="1551" customWidth="1"/>
    <col min="14857" max="14857" width="8.69921875" style="1551" customWidth="1"/>
    <col min="14858" max="14858" width="6.5" style="1551" customWidth="1"/>
    <col min="14859" max="14859" width="6.8984375" style="1551" customWidth="1"/>
    <col min="14860" max="14860" width="6.3984375" style="1551" customWidth="1"/>
    <col min="14861" max="14861" width="18.3984375" style="1551" customWidth="1"/>
    <col min="14862" max="14862" width="48.09765625" style="1551" customWidth="1"/>
    <col min="14863" max="15104" width="9" style="1551"/>
    <col min="15105" max="15105" width="5.19921875" style="1551" customWidth="1"/>
    <col min="15106" max="15106" width="30.8984375" style="1551" customWidth="1"/>
    <col min="15107" max="15107" width="6.3984375" style="1551" customWidth="1"/>
    <col min="15108" max="15108" width="6.5" style="1551" customWidth="1"/>
    <col min="15109" max="15109" width="6.09765625" style="1551" customWidth="1"/>
    <col min="15110" max="15110" width="6" style="1551" customWidth="1"/>
    <col min="15111" max="15112" width="7" style="1551" customWidth="1"/>
    <col min="15113" max="15113" width="8.69921875" style="1551" customWidth="1"/>
    <col min="15114" max="15114" width="6.5" style="1551" customWidth="1"/>
    <col min="15115" max="15115" width="6.8984375" style="1551" customWidth="1"/>
    <col min="15116" max="15116" width="6.3984375" style="1551" customWidth="1"/>
    <col min="15117" max="15117" width="18.3984375" style="1551" customWidth="1"/>
    <col min="15118" max="15118" width="48.09765625" style="1551" customWidth="1"/>
    <col min="15119" max="15360" width="9" style="1551"/>
    <col min="15361" max="15361" width="5.19921875" style="1551" customWidth="1"/>
    <col min="15362" max="15362" width="30.8984375" style="1551" customWidth="1"/>
    <col min="15363" max="15363" width="6.3984375" style="1551" customWidth="1"/>
    <col min="15364" max="15364" width="6.5" style="1551" customWidth="1"/>
    <col min="15365" max="15365" width="6.09765625" style="1551" customWidth="1"/>
    <col min="15366" max="15366" width="6" style="1551" customWidth="1"/>
    <col min="15367" max="15368" width="7" style="1551" customWidth="1"/>
    <col min="15369" max="15369" width="8.69921875" style="1551" customWidth="1"/>
    <col min="15370" max="15370" width="6.5" style="1551" customWidth="1"/>
    <col min="15371" max="15371" width="6.8984375" style="1551" customWidth="1"/>
    <col min="15372" max="15372" width="6.3984375" style="1551" customWidth="1"/>
    <col min="15373" max="15373" width="18.3984375" style="1551" customWidth="1"/>
    <col min="15374" max="15374" width="48.09765625" style="1551" customWidth="1"/>
    <col min="15375" max="15616" width="9" style="1551"/>
    <col min="15617" max="15617" width="5.19921875" style="1551" customWidth="1"/>
    <col min="15618" max="15618" width="30.8984375" style="1551" customWidth="1"/>
    <col min="15619" max="15619" width="6.3984375" style="1551" customWidth="1"/>
    <col min="15620" max="15620" width="6.5" style="1551" customWidth="1"/>
    <col min="15621" max="15621" width="6.09765625" style="1551" customWidth="1"/>
    <col min="15622" max="15622" width="6" style="1551" customWidth="1"/>
    <col min="15623" max="15624" width="7" style="1551" customWidth="1"/>
    <col min="15625" max="15625" width="8.69921875" style="1551" customWidth="1"/>
    <col min="15626" max="15626" width="6.5" style="1551" customWidth="1"/>
    <col min="15627" max="15627" width="6.8984375" style="1551" customWidth="1"/>
    <col min="15628" max="15628" width="6.3984375" style="1551" customWidth="1"/>
    <col min="15629" max="15629" width="18.3984375" style="1551" customWidth="1"/>
    <col min="15630" max="15630" width="48.09765625" style="1551" customWidth="1"/>
    <col min="15631" max="15872" width="9" style="1551"/>
    <col min="15873" max="15873" width="5.19921875" style="1551" customWidth="1"/>
    <col min="15874" max="15874" width="30.8984375" style="1551" customWidth="1"/>
    <col min="15875" max="15875" width="6.3984375" style="1551" customWidth="1"/>
    <col min="15876" max="15876" width="6.5" style="1551" customWidth="1"/>
    <col min="15877" max="15877" width="6.09765625" style="1551" customWidth="1"/>
    <col min="15878" max="15878" width="6" style="1551" customWidth="1"/>
    <col min="15879" max="15880" width="7" style="1551" customWidth="1"/>
    <col min="15881" max="15881" width="8.69921875" style="1551" customWidth="1"/>
    <col min="15882" max="15882" width="6.5" style="1551" customWidth="1"/>
    <col min="15883" max="15883" width="6.8984375" style="1551" customWidth="1"/>
    <col min="15884" max="15884" width="6.3984375" style="1551" customWidth="1"/>
    <col min="15885" max="15885" width="18.3984375" style="1551" customWidth="1"/>
    <col min="15886" max="15886" width="48.09765625" style="1551" customWidth="1"/>
    <col min="15887" max="16128" width="9" style="1551"/>
    <col min="16129" max="16129" width="5.19921875" style="1551" customWidth="1"/>
    <col min="16130" max="16130" width="30.8984375" style="1551" customWidth="1"/>
    <col min="16131" max="16131" width="6.3984375" style="1551" customWidth="1"/>
    <col min="16132" max="16132" width="6.5" style="1551" customWidth="1"/>
    <col min="16133" max="16133" width="6.09765625" style="1551" customWidth="1"/>
    <col min="16134" max="16134" width="6" style="1551" customWidth="1"/>
    <col min="16135" max="16136" width="7" style="1551" customWidth="1"/>
    <col min="16137" max="16137" width="8.69921875" style="1551" customWidth="1"/>
    <col min="16138" max="16138" width="6.5" style="1551" customWidth="1"/>
    <col min="16139" max="16139" width="6.8984375" style="1551" customWidth="1"/>
    <col min="16140" max="16140" width="6.3984375" style="1551" customWidth="1"/>
    <col min="16141" max="16141" width="18.3984375" style="1551" customWidth="1"/>
    <col min="16142" max="16142" width="48.09765625" style="1551" customWidth="1"/>
    <col min="16143" max="16384" width="9" style="1551"/>
  </cols>
  <sheetData>
    <row r="1" spans="1:14" ht="20.100000000000001" customHeight="1">
      <c r="A1" s="3462" t="s">
        <v>5307</v>
      </c>
      <c r="B1" s="3462"/>
      <c r="C1" s="3462"/>
      <c r="D1" s="3462"/>
      <c r="E1" s="3462"/>
      <c r="F1" s="3462"/>
      <c r="G1" s="3462"/>
      <c r="H1" s="3462"/>
      <c r="I1" s="3462"/>
      <c r="J1" s="3462"/>
      <c r="K1" s="3462"/>
      <c r="L1" s="3462"/>
      <c r="M1" s="1803"/>
    </row>
    <row r="2" spans="1:14" s="1563" customFormat="1" ht="25.5" customHeight="1">
      <c r="A2" s="3401" t="s">
        <v>5308</v>
      </c>
      <c r="B2" s="3401"/>
      <c r="C2" s="3401"/>
      <c r="D2" s="3401"/>
      <c r="E2" s="3401"/>
      <c r="F2" s="3401"/>
      <c r="G2" s="3401"/>
      <c r="H2" s="3401"/>
      <c r="I2" s="3401"/>
      <c r="J2" s="3401"/>
      <c r="K2" s="3401"/>
      <c r="L2" s="3401"/>
      <c r="M2" s="1845"/>
    </row>
    <row r="3" spans="1:14" s="1552" customFormat="1" ht="12.75" customHeight="1">
      <c r="A3" s="3402" t="s">
        <v>1853</v>
      </c>
      <c r="B3" s="3402" t="s">
        <v>5309</v>
      </c>
      <c r="C3" s="3399" t="s">
        <v>1850</v>
      </c>
      <c r="D3" s="3399"/>
      <c r="E3" s="3399"/>
      <c r="F3" s="3399" t="s">
        <v>1851</v>
      </c>
      <c r="G3" s="3399"/>
      <c r="H3" s="3399"/>
      <c r="I3" s="3399"/>
      <c r="J3" s="3399"/>
      <c r="K3" s="3407" t="s">
        <v>5310</v>
      </c>
      <c r="L3" s="3407"/>
      <c r="M3" s="3399" t="s">
        <v>1863</v>
      </c>
    </row>
    <row r="4" spans="1:14" s="1552" customFormat="1" ht="90.75" customHeight="1">
      <c r="A4" s="3403"/>
      <c r="B4" s="3403"/>
      <c r="C4" s="1843" t="s">
        <v>5311</v>
      </c>
      <c r="D4" s="1843" t="s">
        <v>5312</v>
      </c>
      <c r="E4" s="2187" t="s">
        <v>5313</v>
      </c>
      <c r="F4" s="1843" t="s">
        <v>5314</v>
      </c>
      <c r="G4" s="1843" t="s">
        <v>5315</v>
      </c>
      <c r="H4" s="1843" t="s">
        <v>5316</v>
      </c>
      <c r="I4" s="2282" t="s">
        <v>5317</v>
      </c>
      <c r="J4" s="1843" t="s">
        <v>5313</v>
      </c>
      <c r="K4" s="1843" t="s">
        <v>2353</v>
      </c>
      <c r="L4" s="1843" t="s">
        <v>1308</v>
      </c>
      <c r="M4" s="3943"/>
    </row>
    <row r="5" spans="1:14" s="1552" customFormat="1" ht="12.75" customHeight="1">
      <c r="A5" s="3404"/>
      <c r="B5" s="3404"/>
      <c r="C5" s="1840">
        <v>1</v>
      </c>
      <c r="D5" s="1840">
        <v>2</v>
      </c>
      <c r="E5" s="1840">
        <v>3</v>
      </c>
      <c r="F5" s="1840">
        <v>4</v>
      </c>
      <c r="G5" s="1840">
        <v>5</v>
      </c>
      <c r="H5" s="1840">
        <v>6</v>
      </c>
      <c r="I5" s="1840">
        <v>7</v>
      </c>
      <c r="J5" s="1840">
        <v>8</v>
      </c>
      <c r="K5" s="1840" t="s">
        <v>5318</v>
      </c>
      <c r="L5" s="1840">
        <v>10</v>
      </c>
      <c r="M5" s="3943"/>
    </row>
    <row r="6" spans="1:14" s="1552" customFormat="1" ht="48" customHeight="1">
      <c r="A6" s="1840">
        <v>1</v>
      </c>
      <c r="B6" s="1809" t="s">
        <v>5319</v>
      </c>
      <c r="C6" s="2075">
        <f>SUM(C7:C11)</f>
        <v>0</v>
      </c>
      <c r="D6" s="2075">
        <f t="shared" ref="D6:K6" si="0">SUM(D7:D11)</f>
        <v>0</v>
      </c>
      <c r="E6" s="2075">
        <f t="shared" si="0"/>
        <v>0</v>
      </c>
      <c r="F6" s="2075">
        <f t="shared" si="0"/>
        <v>0</v>
      </c>
      <c r="G6" s="2075">
        <f t="shared" ca="1" si="0"/>
        <v>0</v>
      </c>
      <c r="H6" s="2075">
        <f t="shared" si="0"/>
        <v>0</v>
      </c>
      <c r="I6" s="2465"/>
      <c r="J6" s="2075">
        <f t="shared" ca="1" si="0"/>
        <v>0</v>
      </c>
      <c r="K6" s="2075">
        <f t="shared" ca="1" si="0"/>
        <v>0</v>
      </c>
      <c r="L6" s="2027"/>
      <c r="M6" s="1810" t="s">
        <v>5320</v>
      </c>
      <c r="N6" s="1556"/>
    </row>
    <row r="7" spans="1:14" s="1552" customFormat="1" ht="25.5" customHeight="1">
      <c r="A7" s="1840">
        <v>2</v>
      </c>
      <c r="B7" s="1809" t="s">
        <v>5321</v>
      </c>
      <c r="C7" s="2072">
        <f>固资折旧!F8</f>
        <v>0</v>
      </c>
      <c r="D7" s="2072">
        <f>固资折旧!D18</f>
        <v>0</v>
      </c>
      <c r="E7" s="2072">
        <f>固资折旧!F18</f>
        <v>0</v>
      </c>
      <c r="F7" s="2072">
        <f>固资折旧!G8</f>
        <v>0</v>
      </c>
      <c r="G7" s="2230">
        <f ca="1">固资折旧!G18-固资折旧!A18</f>
        <v>0</v>
      </c>
      <c r="H7" s="2072">
        <f>固资折旧!A18</f>
        <v>0</v>
      </c>
      <c r="I7" s="2465"/>
      <c r="J7" s="2072">
        <f ca="1">固资折旧!A8</f>
        <v>0</v>
      </c>
      <c r="K7" s="2075">
        <f ca="1">D7-G7-H7</f>
        <v>0</v>
      </c>
      <c r="L7" s="2027"/>
      <c r="M7" s="1810" t="s">
        <v>5322</v>
      </c>
    </row>
    <row r="8" spans="1:14" s="1552" customFormat="1" ht="25.5" customHeight="1">
      <c r="A8" s="1841">
        <v>3</v>
      </c>
      <c r="B8" s="1813" t="s">
        <v>5323</v>
      </c>
      <c r="C8" s="2189">
        <f>固资折旧!F9</f>
        <v>0</v>
      </c>
      <c r="D8" s="2073">
        <f>固资折旧!D19</f>
        <v>0</v>
      </c>
      <c r="E8" s="2073">
        <f>固资折旧!F19</f>
        <v>0</v>
      </c>
      <c r="F8" s="2072">
        <f>固资折旧!G9</f>
        <v>0</v>
      </c>
      <c r="G8" s="2230">
        <f ca="1">固资折旧!G19-固资折旧!A19</f>
        <v>0</v>
      </c>
      <c r="H8" s="2072">
        <f>固资折旧!A19</f>
        <v>0</v>
      </c>
      <c r="I8" s="2082"/>
      <c r="J8" s="2072">
        <f ca="1">固资折旧!A9</f>
        <v>0</v>
      </c>
      <c r="K8" s="2075">
        <f t="shared" ref="K8:K11" ca="1" si="1">D8-G8-H8</f>
        <v>0</v>
      </c>
      <c r="L8" s="2028"/>
      <c r="M8" s="1810" t="s">
        <v>5324</v>
      </c>
    </row>
    <row r="9" spans="1:14" s="1552" customFormat="1" ht="29.25" customHeight="1">
      <c r="A9" s="1840">
        <v>4</v>
      </c>
      <c r="B9" s="1810" t="s">
        <v>5325</v>
      </c>
      <c r="C9" s="2189">
        <f>固资折旧!F10</f>
        <v>0</v>
      </c>
      <c r="D9" s="2072">
        <f>固资折旧!D20</f>
        <v>0</v>
      </c>
      <c r="E9" s="2072">
        <f>固资折旧!F20</f>
        <v>0</v>
      </c>
      <c r="F9" s="2072">
        <f>固资折旧!G10</f>
        <v>0</v>
      </c>
      <c r="G9" s="2230">
        <f ca="1">固资折旧!G20-固资折旧!A20</f>
        <v>0</v>
      </c>
      <c r="H9" s="2072">
        <f>固资折旧!A20</f>
        <v>0</v>
      </c>
      <c r="I9" s="2465"/>
      <c r="J9" s="2072">
        <f ca="1">固资折旧!A10</f>
        <v>0</v>
      </c>
      <c r="K9" s="2075">
        <f t="shared" ca="1" si="1"/>
        <v>0</v>
      </c>
      <c r="L9" s="2027"/>
      <c r="M9" s="1810" t="s">
        <v>5326</v>
      </c>
    </row>
    <row r="10" spans="1:14" s="1552" customFormat="1" ht="24">
      <c r="A10" s="1840">
        <v>5</v>
      </c>
      <c r="B10" s="1810" t="s">
        <v>5327</v>
      </c>
      <c r="C10" s="2189">
        <f>固资折旧!F11</f>
        <v>0</v>
      </c>
      <c r="D10" s="2072">
        <f>固资折旧!D21</f>
        <v>0</v>
      </c>
      <c r="E10" s="2072">
        <f>固资折旧!F21</f>
        <v>0</v>
      </c>
      <c r="F10" s="2072">
        <f>固资折旧!G11</f>
        <v>0</v>
      </c>
      <c r="G10" s="2230">
        <f ca="1">固资折旧!G21-固资折旧!A21</f>
        <v>0</v>
      </c>
      <c r="H10" s="2072">
        <f>固资折旧!A21</f>
        <v>0</v>
      </c>
      <c r="I10" s="2465"/>
      <c r="J10" s="2072">
        <f ca="1">固资折旧!A11</f>
        <v>0</v>
      </c>
      <c r="K10" s="2075">
        <f t="shared" ca="1" si="1"/>
        <v>0</v>
      </c>
      <c r="L10" s="2027"/>
      <c r="M10" s="1810" t="s">
        <v>5328</v>
      </c>
    </row>
    <row r="11" spans="1:14" s="1552" customFormat="1" ht="16.5" customHeight="1">
      <c r="A11" s="1840">
        <v>6</v>
      </c>
      <c r="B11" s="1809" t="s">
        <v>5329</v>
      </c>
      <c r="C11" s="2189">
        <f>固资折旧!F12</f>
        <v>0</v>
      </c>
      <c r="D11" s="2072">
        <f>固资折旧!D22</f>
        <v>0</v>
      </c>
      <c r="E11" s="2072">
        <f>固资折旧!F22</f>
        <v>0</v>
      </c>
      <c r="F11" s="2072">
        <f>固资折旧!G12</f>
        <v>0</v>
      </c>
      <c r="G11" s="2188">
        <f ca="1">固资折旧!G22-固资折旧!A22</f>
        <v>0</v>
      </c>
      <c r="H11" s="2072">
        <f>固资折旧!A22</f>
        <v>0</v>
      </c>
      <c r="I11" s="2465"/>
      <c r="J11" s="2072">
        <f ca="1">固资折旧!A12</f>
        <v>0</v>
      </c>
      <c r="K11" s="2075">
        <f t="shared" ca="1" si="1"/>
        <v>0</v>
      </c>
      <c r="L11" s="2027"/>
      <c r="M11" s="1810" t="s">
        <v>5330</v>
      </c>
    </row>
    <row r="12" spans="1:14" s="1552" customFormat="1" ht="13.8">
      <c r="A12" s="1840">
        <v>7</v>
      </c>
      <c r="B12" s="1809" t="s">
        <v>267</v>
      </c>
      <c r="C12" s="2076"/>
      <c r="D12" s="2076"/>
      <c r="E12" s="2076"/>
      <c r="F12" s="2076"/>
      <c r="G12" s="2076"/>
      <c r="H12" s="2076"/>
      <c r="I12" s="2076"/>
      <c r="J12" s="2077"/>
      <c r="K12" s="2077"/>
      <c r="L12" s="2027"/>
      <c r="M12" s="1810"/>
    </row>
    <row r="13" spans="1:14" s="1552" customFormat="1" ht="12.75" customHeight="1">
      <c r="A13" s="1840">
        <v>8</v>
      </c>
      <c r="B13" s="1809" t="s">
        <v>5331</v>
      </c>
      <c r="C13" s="2075">
        <f>C14+C15</f>
        <v>0</v>
      </c>
      <c r="D13" s="2075">
        <f t="shared" ref="D13:K13" si="2">D14+D15</f>
        <v>0</v>
      </c>
      <c r="E13" s="2075">
        <f t="shared" si="2"/>
        <v>0</v>
      </c>
      <c r="F13" s="2075">
        <f t="shared" si="2"/>
        <v>0</v>
      </c>
      <c r="G13" s="2075">
        <f t="shared" si="2"/>
        <v>0</v>
      </c>
      <c r="H13" s="2075">
        <f t="shared" si="2"/>
        <v>0</v>
      </c>
      <c r="I13" s="1952" t="s">
        <v>509</v>
      </c>
      <c r="J13" s="2075">
        <f t="shared" si="2"/>
        <v>0</v>
      </c>
      <c r="K13" s="2075">
        <f t="shared" si="2"/>
        <v>0</v>
      </c>
      <c r="L13" s="2027"/>
      <c r="M13" s="1810"/>
      <c r="N13" s="1675" t="s">
        <v>561</v>
      </c>
    </row>
    <row r="14" spans="1:14" s="1552" customFormat="1" ht="12.75" customHeight="1">
      <c r="A14" s="1840">
        <v>9</v>
      </c>
      <c r="B14" s="1809" t="s">
        <v>5332</v>
      </c>
      <c r="C14" s="2072">
        <f>固资折旧!F14</f>
        <v>0</v>
      </c>
      <c r="D14" s="2072">
        <f>固资折旧!D24</f>
        <v>0</v>
      </c>
      <c r="E14" s="2072">
        <f>固资折旧!F24</f>
        <v>0</v>
      </c>
      <c r="F14" s="2072">
        <f>固资折旧!G14</f>
        <v>0</v>
      </c>
      <c r="G14" s="2072">
        <f>固资折旧!G24</f>
        <v>0</v>
      </c>
      <c r="H14" s="2072">
        <f>固资折旧!A24</f>
        <v>0</v>
      </c>
      <c r="I14" s="1952" t="s">
        <v>509</v>
      </c>
      <c r="J14" s="2072">
        <f>固资折旧!A14</f>
        <v>0</v>
      </c>
      <c r="K14" s="2075">
        <f t="shared" ref="K14:K15" si="3">D14-G14-H14</f>
        <v>0</v>
      </c>
      <c r="L14" s="2027"/>
      <c r="M14" s="1810"/>
    </row>
    <row r="15" spans="1:14" s="1552" customFormat="1" ht="12.75" customHeight="1">
      <c r="A15" s="1840">
        <v>10</v>
      </c>
      <c r="B15" s="1809" t="s">
        <v>5333</v>
      </c>
      <c r="C15" s="2072">
        <f>固资折旧!F15</f>
        <v>0</v>
      </c>
      <c r="D15" s="2072">
        <f>固资折旧!D25</f>
        <v>0</v>
      </c>
      <c r="E15" s="2072">
        <f>固资折旧!F25</f>
        <v>0</v>
      </c>
      <c r="F15" s="2072">
        <f>固资折旧!G15</f>
        <v>0</v>
      </c>
      <c r="G15" s="2072">
        <f>固资折旧!G25</f>
        <v>0</v>
      </c>
      <c r="H15" s="2072">
        <f>固资折旧!A25</f>
        <v>0</v>
      </c>
      <c r="I15" s="1952" t="s">
        <v>509</v>
      </c>
      <c r="J15" s="2072">
        <f>固资折旧!A15</f>
        <v>0</v>
      </c>
      <c r="K15" s="2075">
        <f t="shared" si="3"/>
        <v>0</v>
      </c>
      <c r="L15" s="2027"/>
      <c r="M15" s="1810"/>
      <c r="N15" s="1675" t="s">
        <v>6443</v>
      </c>
    </row>
    <row r="16" spans="1:14" s="1552" customFormat="1" ht="12.75" customHeight="1">
      <c r="A16" s="1840">
        <v>11</v>
      </c>
      <c r="B16" s="1809" t="s">
        <v>5334</v>
      </c>
      <c r="C16" s="2075">
        <f>SUM(C17:C23)</f>
        <v>0</v>
      </c>
      <c r="D16" s="2075">
        <f>SUM(D17:D23)</f>
        <v>0</v>
      </c>
      <c r="E16" s="2075">
        <f>SUM(E17:E23)</f>
        <v>0</v>
      </c>
      <c r="F16" s="2075">
        <f>SUM(F17:F23)</f>
        <v>0</v>
      </c>
      <c r="G16" s="2075">
        <f>SUM(G17:G23)</f>
        <v>0</v>
      </c>
      <c r="H16" s="1952" t="s">
        <v>509</v>
      </c>
      <c r="I16" s="1952" t="s">
        <v>509</v>
      </c>
      <c r="J16" s="2075">
        <f>SUM(J17:J23)</f>
        <v>0</v>
      </c>
      <c r="K16" s="2075">
        <f>SUM(K17:K23)</f>
        <v>0</v>
      </c>
      <c r="L16" s="2027"/>
      <c r="M16" s="1810"/>
    </row>
    <row r="17" spans="1:14" s="1552" customFormat="1" ht="12.75" customHeight="1">
      <c r="A17" s="1840">
        <v>12</v>
      </c>
      <c r="B17" s="1810" t="s">
        <v>5335</v>
      </c>
      <c r="C17" s="2072">
        <f>无形长摊!C18</f>
        <v>0</v>
      </c>
      <c r="D17" s="2072">
        <f>无形长摊!I18</f>
        <v>0</v>
      </c>
      <c r="E17" s="2072">
        <f>无形长摊!C18-无形长摊!K18</f>
        <v>0</v>
      </c>
      <c r="F17" s="2072">
        <f>无形长摊!E18</f>
        <v>0</v>
      </c>
      <c r="G17" s="2072">
        <f>无形长摊!M18</f>
        <v>0</v>
      </c>
      <c r="H17" s="1952" t="s">
        <v>509</v>
      </c>
      <c r="I17" s="1952" t="s">
        <v>509</v>
      </c>
      <c r="J17" s="2072">
        <f>无形长摊!N18</f>
        <v>0</v>
      </c>
      <c r="K17" s="2075">
        <f>D17-G17</f>
        <v>0</v>
      </c>
      <c r="L17" s="2027"/>
      <c r="M17" s="1810"/>
      <c r="N17" s="1675" t="s">
        <v>6442</v>
      </c>
    </row>
    <row r="18" spans="1:14" s="1552" customFormat="1" ht="12.75" customHeight="1">
      <c r="A18" s="1840">
        <v>13</v>
      </c>
      <c r="B18" s="1810" t="s">
        <v>5336</v>
      </c>
      <c r="C18" s="2072">
        <f>无形长摊!C19</f>
        <v>0</v>
      </c>
      <c r="D18" s="2072">
        <f>无形长摊!I19</f>
        <v>0</v>
      </c>
      <c r="E18" s="2072">
        <f>无形长摊!C19-无形长摊!K19</f>
        <v>0</v>
      </c>
      <c r="F18" s="2072">
        <f>无形长摊!E19</f>
        <v>0</v>
      </c>
      <c r="G18" s="2072">
        <f>无形长摊!M19</f>
        <v>0</v>
      </c>
      <c r="H18" s="1952" t="s">
        <v>509</v>
      </c>
      <c r="I18" s="1952" t="s">
        <v>509</v>
      </c>
      <c r="J18" s="2072">
        <f>无形长摊!N19</f>
        <v>0</v>
      </c>
      <c r="K18" s="2075">
        <f t="shared" ref="K18:K23" si="4">D18-G18</f>
        <v>0</v>
      </c>
      <c r="L18" s="2027"/>
      <c r="M18" s="1810"/>
    </row>
    <row r="19" spans="1:14" s="1552" customFormat="1" ht="12.75" customHeight="1">
      <c r="A19" s="1840">
        <v>14</v>
      </c>
      <c r="B19" s="1810" t="s">
        <v>5337</v>
      </c>
      <c r="C19" s="2072">
        <f>无形长摊!C20</f>
        <v>0</v>
      </c>
      <c r="D19" s="2072">
        <f>无形长摊!I20</f>
        <v>0</v>
      </c>
      <c r="E19" s="2072">
        <f>无形长摊!C20-无形长摊!K20</f>
        <v>0</v>
      </c>
      <c r="F19" s="2072">
        <f>无形长摊!E20</f>
        <v>0</v>
      </c>
      <c r="G19" s="2072">
        <f>无形长摊!M20</f>
        <v>0</v>
      </c>
      <c r="H19" s="1952" t="s">
        <v>509</v>
      </c>
      <c r="I19" s="1952" t="s">
        <v>509</v>
      </c>
      <c r="J19" s="2072">
        <f>无形长摊!N20</f>
        <v>0</v>
      </c>
      <c r="K19" s="2075">
        <f t="shared" si="4"/>
        <v>0</v>
      </c>
      <c r="L19" s="2027"/>
      <c r="M19" s="1810"/>
    </row>
    <row r="20" spans="1:14" s="1552" customFormat="1" ht="12.75" customHeight="1">
      <c r="A20" s="1840">
        <v>15</v>
      </c>
      <c r="B20" s="1810" t="s">
        <v>5338</v>
      </c>
      <c r="C20" s="2072">
        <f>无形长摊!C21</f>
        <v>0</v>
      </c>
      <c r="D20" s="2072">
        <f>无形长摊!I21</f>
        <v>0</v>
      </c>
      <c r="E20" s="2072">
        <f>无形长摊!C21-无形长摊!K21</f>
        <v>0</v>
      </c>
      <c r="F20" s="2072">
        <f>无形长摊!E21</f>
        <v>0</v>
      </c>
      <c r="G20" s="2072">
        <f>无形长摊!M21</f>
        <v>0</v>
      </c>
      <c r="H20" s="1952" t="s">
        <v>509</v>
      </c>
      <c r="I20" s="1952" t="s">
        <v>509</v>
      </c>
      <c r="J20" s="2072">
        <f>无形长摊!N21</f>
        <v>0</v>
      </c>
      <c r="K20" s="2075">
        <f t="shared" si="4"/>
        <v>0</v>
      </c>
      <c r="L20" s="2027"/>
      <c r="M20" s="1810"/>
    </row>
    <row r="21" spans="1:14" s="1552" customFormat="1" ht="12.75" customHeight="1">
      <c r="A21" s="1840">
        <v>16</v>
      </c>
      <c r="B21" s="1810" t="s">
        <v>5339</v>
      </c>
      <c r="C21" s="2072">
        <f>无形长摊!C22</f>
        <v>0</v>
      </c>
      <c r="D21" s="2072">
        <f>无形长摊!I22</f>
        <v>0</v>
      </c>
      <c r="E21" s="2072">
        <f>无形长摊!C22-无形长摊!K22</f>
        <v>0</v>
      </c>
      <c r="F21" s="2072">
        <f>无形长摊!E22</f>
        <v>0</v>
      </c>
      <c r="G21" s="2072">
        <f>无形长摊!M22</f>
        <v>0</v>
      </c>
      <c r="H21" s="1952" t="s">
        <v>509</v>
      </c>
      <c r="I21" s="1952" t="s">
        <v>509</v>
      </c>
      <c r="J21" s="2072">
        <f>无形长摊!N22</f>
        <v>0</v>
      </c>
      <c r="K21" s="2075">
        <f t="shared" si="4"/>
        <v>0</v>
      </c>
      <c r="L21" s="2027"/>
      <c r="M21" s="1810"/>
    </row>
    <row r="22" spans="1:14" s="1552" customFormat="1" ht="12.75" customHeight="1">
      <c r="A22" s="1840">
        <v>17</v>
      </c>
      <c r="B22" s="1810" t="s">
        <v>5340</v>
      </c>
      <c r="C22" s="2072">
        <f>无形长摊!C23</f>
        <v>0</v>
      </c>
      <c r="D22" s="2072">
        <f>无形长摊!I23</f>
        <v>0</v>
      </c>
      <c r="E22" s="2072">
        <f>无形长摊!C23-无形长摊!K23</f>
        <v>0</v>
      </c>
      <c r="F22" s="2072">
        <f>无形长摊!E23</f>
        <v>0</v>
      </c>
      <c r="G22" s="2072">
        <f>无形长摊!M23</f>
        <v>0</v>
      </c>
      <c r="H22" s="1952" t="s">
        <v>509</v>
      </c>
      <c r="I22" s="1952" t="s">
        <v>509</v>
      </c>
      <c r="J22" s="2072">
        <f>无形长摊!N23</f>
        <v>0</v>
      </c>
      <c r="K22" s="2075">
        <f t="shared" si="4"/>
        <v>0</v>
      </c>
      <c r="L22" s="2027"/>
      <c r="M22" s="1810"/>
    </row>
    <row r="23" spans="1:14" s="1552" customFormat="1" ht="12.75" customHeight="1">
      <c r="A23" s="1840">
        <v>18</v>
      </c>
      <c r="B23" s="1810" t="s">
        <v>5341</v>
      </c>
      <c r="C23" s="2072">
        <f>无形长摊!C24</f>
        <v>0</v>
      </c>
      <c r="D23" s="2072">
        <f>无形长摊!I24</f>
        <v>0</v>
      </c>
      <c r="E23" s="2072">
        <f>无形长摊!C24-无形长摊!K24</f>
        <v>0</v>
      </c>
      <c r="F23" s="2072">
        <f>无形长摊!E24</f>
        <v>0</v>
      </c>
      <c r="G23" s="2072">
        <f>无形长摊!M24</f>
        <v>0</v>
      </c>
      <c r="H23" s="1952" t="s">
        <v>509</v>
      </c>
      <c r="I23" s="1952" t="s">
        <v>509</v>
      </c>
      <c r="J23" s="2072">
        <f>无形长摊!N24</f>
        <v>0</v>
      </c>
      <c r="K23" s="2075">
        <f t="shared" si="4"/>
        <v>0</v>
      </c>
      <c r="L23" s="2027"/>
      <c r="M23" s="1810"/>
    </row>
    <row r="24" spans="1:14" s="1552" customFormat="1" ht="12.75" customHeight="1">
      <c r="A24" s="1840">
        <v>19</v>
      </c>
      <c r="B24" s="1809" t="s">
        <v>5342</v>
      </c>
      <c r="C24" s="2075">
        <f>SUM(C25:C29)</f>
        <v>0</v>
      </c>
      <c r="D24" s="2075">
        <f t="shared" ref="D24:G24" si="5">SUM(D25:D29)</f>
        <v>0</v>
      </c>
      <c r="E24" s="2075">
        <f t="shared" si="5"/>
        <v>0</v>
      </c>
      <c r="F24" s="2075">
        <f t="shared" si="5"/>
        <v>0</v>
      </c>
      <c r="G24" s="2075">
        <f t="shared" si="5"/>
        <v>0</v>
      </c>
      <c r="H24" s="1952" t="s">
        <v>509</v>
      </c>
      <c r="I24" s="1952" t="s">
        <v>509</v>
      </c>
      <c r="J24" s="2075">
        <f t="shared" ref="J24:K24" si="6">SUM(J25:J29)</f>
        <v>0</v>
      </c>
      <c r="K24" s="2075">
        <f t="shared" si="6"/>
        <v>0</v>
      </c>
      <c r="L24" s="2027"/>
      <c r="M24" s="1810"/>
    </row>
    <row r="25" spans="1:14" s="1552" customFormat="1" ht="25.5" customHeight="1">
      <c r="A25" s="1840">
        <v>20</v>
      </c>
      <c r="B25" s="1810" t="s">
        <v>5343</v>
      </c>
      <c r="C25" s="2072">
        <f>无形长摊!C8</f>
        <v>0</v>
      </c>
      <c r="D25" s="2072">
        <f>无形长摊!I8</f>
        <v>0</v>
      </c>
      <c r="E25" s="2188">
        <f>无形长摊!C8-无形长摊!K8</f>
        <v>0</v>
      </c>
      <c r="F25" s="2072">
        <f>无形长摊!E8</f>
        <v>0</v>
      </c>
      <c r="G25" s="2072">
        <f>无形长摊!M8</f>
        <v>0</v>
      </c>
      <c r="H25" s="1952" t="s">
        <v>509</v>
      </c>
      <c r="I25" s="1952" t="s">
        <v>509</v>
      </c>
      <c r="J25" s="2072">
        <f>无形长摊!N8</f>
        <v>0</v>
      </c>
      <c r="K25" s="2075">
        <f>D25-G25</f>
        <v>0</v>
      </c>
      <c r="L25" s="2027"/>
      <c r="M25" s="1810"/>
    </row>
    <row r="26" spans="1:14" s="1552" customFormat="1" ht="12.75" customHeight="1">
      <c r="A26" s="1840">
        <v>21</v>
      </c>
      <c r="B26" s="1810" t="s">
        <v>5344</v>
      </c>
      <c r="C26" s="2072">
        <f>无形长摊!C9</f>
        <v>0</v>
      </c>
      <c r="D26" s="2072">
        <f>无形长摊!I9</f>
        <v>0</v>
      </c>
      <c r="E26" s="2188">
        <f>无形长摊!C9-无形长摊!K9</f>
        <v>0</v>
      </c>
      <c r="F26" s="2072">
        <f>无形长摊!E9</f>
        <v>0</v>
      </c>
      <c r="G26" s="2072">
        <f>无形长摊!M9</f>
        <v>0</v>
      </c>
      <c r="H26" s="1952" t="s">
        <v>509</v>
      </c>
      <c r="I26" s="1952" t="s">
        <v>509</v>
      </c>
      <c r="J26" s="2072">
        <f>无形长摊!N9</f>
        <v>0</v>
      </c>
      <c r="K26" s="2075">
        <f t="shared" ref="K26:K31" si="7">D26-G26</f>
        <v>0</v>
      </c>
      <c r="L26" s="2027"/>
      <c r="M26" s="1810"/>
    </row>
    <row r="27" spans="1:14" s="1552" customFormat="1" ht="12.75" customHeight="1">
      <c r="A27" s="1840">
        <v>22</v>
      </c>
      <c r="B27" s="1810" t="s">
        <v>5345</v>
      </c>
      <c r="C27" s="2072">
        <f>无形长摊!C10</f>
        <v>0</v>
      </c>
      <c r="D27" s="2072">
        <f>无形长摊!I10</f>
        <v>0</v>
      </c>
      <c r="E27" s="2188">
        <f>无形长摊!C10-无形长摊!K10</f>
        <v>0</v>
      </c>
      <c r="F27" s="2072">
        <f>无形长摊!E10</f>
        <v>0</v>
      </c>
      <c r="G27" s="2072">
        <f>无形长摊!M10</f>
        <v>0</v>
      </c>
      <c r="H27" s="1952" t="s">
        <v>509</v>
      </c>
      <c r="I27" s="1952" t="s">
        <v>509</v>
      </c>
      <c r="J27" s="2072">
        <f>无形长摊!N10</f>
        <v>0</v>
      </c>
      <c r="K27" s="2075">
        <f t="shared" si="7"/>
        <v>0</v>
      </c>
      <c r="L27" s="2027"/>
      <c r="M27" s="1810"/>
    </row>
    <row r="28" spans="1:14" s="1552" customFormat="1" ht="12.75" customHeight="1">
      <c r="A28" s="1840">
        <v>23</v>
      </c>
      <c r="B28" s="1810" t="s">
        <v>5346</v>
      </c>
      <c r="C28" s="2072">
        <f>无形长摊!C11</f>
        <v>0</v>
      </c>
      <c r="D28" s="2072">
        <f>无形长摊!I11</f>
        <v>0</v>
      </c>
      <c r="E28" s="2188">
        <f>无形长摊!C11-无形长摊!K11</f>
        <v>0</v>
      </c>
      <c r="F28" s="2072">
        <f>无形长摊!E11</f>
        <v>0</v>
      </c>
      <c r="G28" s="2072">
        <f>无形长摊!M11</f>
        <v>0</v>
      </c>
      <c r="H28" s="1952" t="s">
        <v>509</v>
      </c>
      <c r="I28" s="1952" t="s">
        <v>509</v>
      </c>
      <c r="J28" s="2072">
        <f>无形长摊!N11</f>
        <v>0</v>
      </c>
      <c r="K28" s="2075">
        <f t="shared" si="7"/>
        <v>0</v>
      </c>
      <c r="L28" s="2027"/>
      <c r="M28" s="1810"/>
    </row>
    <row r="29" spans="1:14" s="1552" customFormat="1" ht="12.75" customHeight="1">
      <c r="A29" s="1840">
        <v>24</v>
      </c>
      <c r="B29" s="1810" t="s">
        <v>268</v>
      </c>
      <c r="C29" s="2072">
        <f>无形长摊!C12</f>
        <v>0</v>
      </c>
      <c r="D29" s="2072">
        <f>无形长摊!I12</f>
        <v>0</v>
      </c>
      <c r="E29" s="2188">
        <f>无形长摊!C12-无形长摊!K12</f>
        <v>0</v>
      </c>
      <c r="F29" s="2072">
        <f>无形长摊!E12</f>
        <v>0</v>
      </c>
      <c r="G29" s="2072">
        <f>无形长摊!M12</f>
        <v>0</v>
      </c>
      <c r="H29" s="1952" t="s">
        <v>509</v>
      </c>
      <c r="I29" s="1952" t="s">
        <v>509</v>
      </c>
      <c r="J29" s="2072">
        <f>无形长摊!N12</f>
        <v>0</v>
      </c>
      <c r="K29" s="2075">
        <f t="shared" si="7"/>
        <v>0</v>
      </c>
      <c r="L29" s="2027"/>
      <c r="M29" s="1810"/>
    </row>
    <row r="30" spans="1:14" s="1552" customFormat="1" ht="12.75" customHeight="1">
      <c r="A30" s="1840">
        <v>25</v>
      </c>
      <c r="B30" s="1809" t="s">
        <v>500</v>
      </c>
      <c r="C30" s="2072">
        <f>无形长摊!C26</f>
        <v>0</v>
      </c>
      <c r="D30" s="2072">
        <f>无形长摊!I26</f>
        <v>0</v>
      </c>
      <c r="E30" s="2188">
        <f>无形长摊!C26-无形长摊!K26</f>
        <v>0</v>
      </c>
      <c r="F30" s="2072">
        <f>无形长摊!E26</f>
        <v>0</v>
      </c>
      <c r="G30" s="2072">
        <f>无形长摊!M26</f>
        <v>0</v>
      </c>
      <c r="H30" s="1952" t="s">
        <v>509</v>
      </c>
      <c r="I30" s="1952" t="s">
        <v>509</v>
      </c>
      <c r="J30" s="2072">
        <f>无形长摊!N26</f>
        <v>0</v>
      </c>
      <c r="K30" s="2075">
        <f t="shared" si="7"/>
        <v>0</v>
      </c>
      <c r="L30" s="2027"/>
      <c r="M30" s="1810"/>
    </row>
    <row r="31" spans="1:14" s="1552" customFormat="1" ht="12.75" customHeight="1">
      <c r="A31" s="1840">
        <v>26</v>
      </c>
      <c r="B31" s="1809" t="s">
        <v>501</v>
      </c>
      <c r="C31" s="2072">
        <f>无形长摊!C27</f>
        <v>0</v>
      </c>
      <c r="D31" s="2072">
        <f>无形长摊!I27</f>
        <v>0</v>
      </c>
      <c r="E31" s="2188">
        <f>无形长摊!C27-无形长摊!K27</f>
        <v>0</v>
      </c>
      <c r="F31" s="2072">
        <f>无形长摊!E27</f>
        <v>0</v>
      </c>
      <c r="G31" s="2072">
        <f>无形长摊!M27</f>
        <v>0</v>
      </c>
      <c r="H31" s="1952" t="s">
        <v>509</v>
      </c>
      <c r="I31" s="1952" t="s">
        <v>509</v>
      </c>
      <c r="J31" s="2072">
        <f>无形长摊!N27</f>
        <v>0</v>
      </c>
      <c r="K31" s="2075">
        <f t="shared" si="7"/>
        <v>0</v>
      </c>
      <c r="L31" s="2027"/>
      <c r="M31" s="1810"/>
    </row>
    <row r="32" spans="1:14" s="1552" customFormat="1" ht="117.75" customHeight="1">
      <c r="A32" s="1840">
        <v>27</v>
      </c>
      <c r="B32" s="1809" t="s">
        <v>5347</v>
      </c>
      <c r="C32" s="2075">
        <f>C6+C13+C16+C24+C30+C31</f>
        <v>0</v>
      </c>
      <c r="D32" s="2075">
        <f>D6+D13+D16+D24+D30+D31</f>
        <v>0</v>
      </c>
      <c r="E32" s="2075">
        <f>E6+E13+E16+E24+E30+E31</f>
        <v>0</v>
      </c>
      <c r="F32" s="2075">
        <f>F6+F13+F16+F24+F30+F31</f>
        <v>0</v>
      </c>
      <c r="G32" s="2075">
        <f ca="1">G6+G13+G16+G24+G30+G31</f>
        <v>0</v>
      </c>
      <c r="H32" s="2075">
        <f>H6+H13</f>
        <v>0</v>
      </c>
      <c r="I32" s="2075">
        <f>I6+I1</f>
        <v>0</v>
      </c>
      <c r="J32" s="2075">
        <f ca="1">J6+J13+J16+J24+J30+J31</f>
        <v>0</v>
      </c>
      <c r="K32" s="2075">
        <f ca="1">K6+K13+K16+K24+K30+K31</f>
        <v>0</v>
      </c>
      <c r="L32" s="1952" t="s">
        <v>509</v>
      </c>
      <c r="M32" s="1810" t="s">
        <v>5348</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5.6"/>
  <cols>
    <col min="1" max="1" width="4.19921875" style="1532" customWidth="1"/>
    <col min="2" max="2" width="9.8984375" style="1532" customWidth="1"/>
    <col min="3" max="3" width="13.5" style="1532" customWidth="1"/>
    <col min="4" max="9" width="9.09765625" style="1532" customWidth="1"/>
    <col min="10" max="10" width="9.09765625" style="1537" customWidth="1"/>
    <col min="11" max="17" width="9.09765625" style="1532" customWidth="1"/>
    <col min="18" max="19" width="9.09765625" style="2000" customWidth="1"/>
    <col min="20" max="21" width="9.09765625" style="1532" customWidth="1"/>
    <col min="22" max="22" width="19.8984375" style="1532" customWidth="1"/>
    <col min="23" max="254" width="9" style="1532"/>
    <col min="255" max="255" width="4.19921875" style="1532" customWidth="1"/>
    <col min="256" max="256" width="29.5" style="1532" customWidth="1"/>
    <col min="257" max="271" width="4.5" style="1532" customWidth="1"/>
    <col min="272" max="272" width="3.8984375" style="1532" customWidth="1"/>
    <col min="273" max="273" width="4" style="1532" customWidth="1"/>
    <col min="274" max="274" width="4.3984375" style="1532" customWidth="1"/>
    <col min="275" max="275" width="4.5" style="1532" customWidth="1"/>
    <col min="276" max="276" width="3.8984375" style="1532" customWidth="1"/>
    <col min="277" max="277" width="16.09765625" style="1532" customWidth="1"/>
    <col min="278" max="278" width="19.8984375" style="1532" customWidth="1"/>
    <col min="279" max="510" width="9" style="1532"/>
    <col min="511" max="511" width="4.19921875" style="1532" customWidth="1"/>
    <col min="512" max="512" width="29.5" style="1532" customWidth="1"/>
    <col min="513" max="527" width="4.5" style="1532" customWidth="1"/>
    <col min="528" max="528" width="3.8984375" style="1532" customWidth="1"/>
    <col min="529" max="529" width="4" style="1532" customWidth="1"/>
    <col min="530" max="530" width="4.3984375" style="1532" customWidth="1"/>
    <col min="531" max="531" width="4.5" style="1532" customWidth="1"/>
    <col min="532" max="532" width="3.8984375" style="1532" customWidth="1"/>
    <col min="533" max="533" width="16.09765625" style="1532" customWidth="1"/>
    <col min="534" max="534" width="19.8984375" style="1532" customWidth="1"/>
    <col min="535" max="766" width="9" style="1532"/>
    <col min="767" max="767" width="4.19921875" style="1532" customWidth="1"/>
    <col min="768" max="768" width="29.5" style="1532" customWidth="1"/>
    <col min="769" max="783" width="4.5" style="1532" customWidth="1"/>
    <col min="784" max="784" width="3.8984375" style="1532" customWidth="1"/>
    <col min="785" max="785" width="4" style="1532" customWidth="1"/>
    <col min="786" max="786" width="4.3984375" style="1532" customWidth="1"/>
    <col min="787" max="787" width="4.5" style="1532" customWidth="1"/>
    <col min="788" max="788" width="3.8984375" style="1532" customWidth="1"/>
    <col min="789" max="789" width="16.09765625" style="1532" customWidth="1"/>
    <col min="790" max="790" width="19.8984375" style="1532" customWidth="1"/>
    <col min="791" max="1022" width="9" style="1532"/>
    <col min="1023" max="1023" width="4.19921875" style="1532" customWidth="1"/>
    <col min="1024" max="1024" width="29.5" style="1532" customWidth="1"/>
    <col min="1025" max="1039" width="4.5" style="1532" customWidth="1"/>
    <col min="1040" max="1040" width="3.8984375" style="1532" customWidth="1"/>
    <col min="1041" max="1041" width="4" style="1532" customWidth="1"/>
    <col min="1042" max="1042" width="4.3984375" style="1532" customWidth="1"/>
    <col min="1043" max="1043" width="4.5" style="1532" customWidth="1"/>
    <col min="1044" max="1044" width="3.8984375" style="1532" customWidth="1"/>
    <col min="1045" max="1045" width="16.09765625" style="1532" customWidth="1"/>
    <col min="1046" max="1046" width="19.8984375" style="1532" customWidth="1"/>
    <col min="1047" max="1278" width="9" style="1532"/>
    <col min="1279" max="1279" width="4.19921875" style="1532" customWidth="1"/>
    <col min="1280" max="1280" width="29.5" style="1532" customWidth="1"/>
    <col min="1281" max="1295" width="4.5" style="1532" customWidth="1"/>
    <col min="1296" max="1296" width="3.8984375" style="1532" customWidth="1"/>
    <col min="1297" max="1297" width="4" style="1532" customWidth="1"/>
    <col min="1298" max="1298" width="4.3984375" style="1532" customWidth="1"/>
    <col min="1299" max="1299" width="4.5" style="1532" customWidth="1"/>
    <col min="1300" max="1300" width="3.8984375" style="1532" customWidth="1"/>
    <col min="1301" max="1301" width="16.09765625" style="1532" customWidth="1"/>
    <col min="1302" max="1302" width="19.8984375" style="1532" customWidth="1"/>
    <col min="1303" max="1534" width="9" style="1532"/>
    <col min="1535" max="1535" width="4.19921875" style="1532" customWidth="1"/>
    <col min="1536" max="1536" width="29.5" style="1532" customWidth="1"/>
    <col min="1537" max="1551" width="4.5" style="1532" customWidth="1"/>
    <col min="1552" max="1552" width="3.8984375" style="1532" customWidth="1"/>
    <col min="1553" max="1553" width="4" style="1532" customWidth="1"/>
    <col min="1554" max="1554" width="4.3984375" style="1532" customWidth="1"/>
    <col min="1555" max="1555" width="4.5" style="1532" customWidth="1"/>
    <col min="1556" max="1556" width="3.8984375" style="1532" customWidth="1"/>
    <col min="1557" max="1557" width="16.09765625" style="1532" customWidth="1"/>
    <col min="1558" max="1558" width="19.8984375" style="1532" customWidth="1"/>
    <col min="1559" max="1790" width="9" style="1532"/>
    <col min="1791" max="1791" width="4.19921875" style="1532" customWidth="1"/>
    <col min="1792" max="1792" width="29.5" style="1532" customWidth="1"/>
    <col min="1793" max="1807" width="4.5" style="1532" customWidth="1"/>
    <col min="1808" max="1808" width="3.8984375" style="1532" customWidth="1"/>
    <col min="1809" max="1809" width="4" style="1532" customWidth="1"/>
    <col min="1810" max="1810" width="4.3984375" style="1532" customWidth="1"/>
    <col min="1811" max="1811" width="4.5" style="1532" customWidth="1"/>
    <col min="1812" max="1812" width="3.8984375" style="1532" customWidth="1"/>
    <col min="1813" max="1813" width="16.09765625" style="1532" customWidth="1"/>
    <col min="1814" max="1814" width="19.8984375" style="1532" customWidth="1"/>
    <col min="1815" max="2046" width="9" style="1532"/>
    <col min="2047" max="2047" width="4.19921875" style="1532" customWidth="1"/>
    <col min="2048" max="2048" width="29.5" style="1532" customWidth="1"/>
    <col min="2049" max="2063" width="4.5" style="1532" customWidth="1"/>
    <col min="2064" max="2064" width="3.8984375" style="1532" customWidth="1"/>
    <col min="2065" max="2065" width="4" style="1532" customWidth="1"/>
    <col min="2066" max="2066" width="4.3984375" style="1532" customWidth="1"/>
    <col min="2067" max="2067" width="4.5" style="1532" customWidth="1"/>
    <col min="2068" max="2068" width="3.8984375" style="1532" customWidth="1"/>
    <col min="2069" max="2069" width="16.09765625" style="1532" customWidth="1"/>
    <col min="2070" max="2070" width="19.8984375" style="1532" customWidth="1"/>
    <col min="2071" max="2302" width="9" style="1532"/>
    <col min="2303" max="2303" width="4.19921875" style="1532" customWidth="1"/>
    <col min="2304" max="2304" width="29.5" style="1532" customWidth="1"/>
    <col min="2305" max="2319" width="4.5" style="1532" customWidth="1"/>
    <col min="2320" max="2320" width="3.8984375" style="1532" customWidth="1"/>
    <col min="2321" max="2321" width="4" style="1532" customWidth="1"/>
    <col min="2322" max="2322" width="4.3984375" style="1532" customWidth="1"/>
    <col min="2323" max="2323" width="4.5" style="1532" customWidth="1"/>
    <col min="2324" max="2324" width="3.8984375" style="1532" customWidth="1"/>
    <col min="2325" max="2325" width="16.09765625" style="1532" customWidth="1"/>
    <col min="2326" max="2326" width="19.8984375" style="1532" customWidth="1"/>
    <col min="2327" max="2558" width="9" style="1532"/>
    <col min="2559" max="2559" width="4.19921875" style="1532" customWidth="1"/>
    <col min="2560" max="2560" width="29.5" style="1532" customWidth="1"/>
    <col min="2561" max="2575" width="4.5" style="1532" customWidth="1"/>
    <col min="2576" max="2576" width="3.8984375" style="1532" customWidth="1"/>
    <col min="2577" max="2577" width="4" style="1532" customWidth="1"/>
    <col min="2578" max="2578" width="4.3984375" style="1532" customWidth="1"/>
    <col min="2579" max="2579" width="4.5" style="1532" customWidth="1"/>
    <col min="2580" max="2580" width="3.8984375" style="1532" customWidth="1"/>
    <col min="2581" max="2581" width="16.09765625" style="1532" customWidth="1"/>
    <col min="2582" max="2582" width="19.8984375" style="1532" customWidth="1"/>
    <col min="2583" max="2814" width="9" style="1532"/>
    <col min="2815" max="2815" width="4.19921875" style="1532" customWidth="1"/>
    <col min="2816" max="2816" width="29.5" style="1532" customWidth="1"/>
    <col min="2817" max="2831" width="4.5" style="1532" customWidth="1"/>
    <col min="2832" max="2832" width="3.8984375" style="1532" customWidth="1"/>
    <col min="2833" max="2833" width="4" style="1532" customWidth="1"/>
    <col min="2834" max="2834" width="4.3984375" style="1532" customWidth="1"/>
    <col min="2835" max="2835" width="4.5" style="1532" customWidth="1"/>
    <col min="2836" max="2836" width="3.8984375" style="1532" customWidth="1"/>
    <col min="2837" max="2837" width="16.09765625" style="1532" customWidth="1"/>
    <col min="2838" max="2838" width="19.8984375" style="1532" customWidth="1"/>
    <col min="2839" max="3070" width="9" style="1532"/>
    <col min="3071" max="3071" width="4.19921875" style="1532" customWidth="1"/>
    <col min="3072" max="3072" width="29.5" style="1532" customWidth="1"/>
    <col min="3073" max="3087" width="4.5" style="1532" customWidth="1"/>
    <col min="3088" max="3088" width="3.8984375" style="1532" customWidth="1"/>
    <col min="3089" max="3089" width="4" style="1532" customWidth="1"/>
    <col min="3090" max="3090" width="4.3984375" style="1532" customWidth="1"/>
    <col min="3091" max="3091" width="4.5" style="1532" customWidth="1"/>
    <col min="3092" max="3092" width="3.8984375" style="1532" customWidth="1"/>
    <col min="3093" max="3093" width="16.09765625" style="1532" customWidth="1"/>
    <col min="3094" max="3094" width="19.8984375" style="1532" customWidth="1"/>
    <col min="3095" max="3326" width="9" style="1532"/>
    <col min="3327" max="3327" width="4.19921875" style="1532" customWidth="1"/>
    <col min="3328" max="3328" width="29.5" style="1532" customWidth="1"/>
    <col min="3329" max="3343" width="4.5" style="1532" customWidth="1"/>
    <col min="3344" max="3344" width="3.8984375" style="1532" customWidth="1"/>
    <col min="3345" max="3345" width="4" style="1532" customWidth="1"/>
    <col min="3346" max="3346" width="4.3984375" style="1532" customWidth="1"/>
    <col min="3347" max="3347" width="4.5" style="1532" customWidth="1"/>
    <col min="3348" max="3348" width="3.8984375" style="1532" customWidth="1"/>
    <col min="3349" max="3349" width="16.09765625" style="1532" customWidth="1"/>
    <col min="3350" max="3350" width="19.8984375" style="1532" customWidth="1"/>
    <col min="3351" max="3582" width="9" style="1532"/>
    <col min="3583" max="3583" width="4.19921875" style="1532" customWidth="1"/>
    <col min="3584" max="3584" width="29.5" style="1532" customWidth="1"/>
    <col min="3585" max="3599" width="4.5" style="1532" customWidth="1"/>
    <col min="3600" max="3600" width="3.8984375" style="1532" customWidth="1"/>
    <col min="3601" max="3601" width="4" style="1532" customWidth="1"/>
    <col min="3602" max="3602" width="4.3984375" style="1532" customWidth="1"/>
    <col min="3603" max="3603" width="4.5" style="1532" customWidth="1"/>
    <col min="3604" max="3604" width="3.8984375" style="1532" customWidth="1"/>
    <col min="3605" max="3605" width="16.09765625" style="1532" customWidth="1"/>
    <col min="3606" max="3606" width="19.8984375" style="1532" customWidth="1"/>
    <col min="3607" max="3838" width="9" style="1532"/>
    <col min="3839" max="3839" width="4.19921875" style="1532" customWidth="1"/>
    <col min="3840" max="3840" width="29.5" style="1532" customWidth="1"/>
    <col min="3841" max="3855" width="4.5" style="1532" customWidth="1"/>
    <col min="3856" max="3856" width="3.8984375" style="1532" customWidth="1"/>
    <col min="3857" max="3857" width="4" style="1532" customWidth="1"/>
    <col min="3858" max="3858" width="4.3984375" style="1532" customWidth="1"/>
    <col min="3859" max="3859" width="4.5" style="1532" customWidth="1"/>
    <col min="3860" max="3860" width="3.8984375" style="1532" customWidth="1"/>
    <col min="3861" max="3861" width="16.09765625" style="1532" customWidth="1"/>
    <col min="3862" max="3862" width="19.8984375" style="1532" customWidth="1"/>
    <col min="3863" max="4094" width="9" style="1532"/>
    <col min="4095" max="4095" width="4.19921875" style="1532" customWidth="1"/>
    <col min="4096" max="4096" width="29.5" style="1532" customWidth="1"/>
    <col min="4097" max="4111" width="4.5" style="1532" customWidth="1"/>
    <col min="4112" max="4112" width="3.8984375" style="1532" customWidth="1"/>
    <col min="4113" max="4113" width="4" style="1532" customWidth="1"/>
    <col min="4114" max="4114" width="4.3984375" style="1532" customWidth="1"/>
    <col min="4115" max="4115" width="4.5" style="1532" customWidth="1"/>
    <col min="4116" max="4116" width="3.8984375" style="1532" customWidth="1"/>
    <col min="4117" max="4117" width="16.09765625" style="1532" customWidth="1"/>
    <col min="4118" max="4118" width="19.8984375" style="1532" customWidth="1"/>
    <col min="4119" max="4350" width="9" style="1532"/>
    <col min="4351" max="4351" width="4.19921875" style="1532" customWidth="1"/>
    <col min="4352" max="4352" width="29.5" style="1532" customWidth="1"/>
    <col min="4353" max="4367" width="4.5" style="1532" customWidth="1"/>
    <col min="4368" max="4368" width="3.8984375" style="1532" customWidth="1"/>
    <col min="4369" max="4369" width="4" style="1532" customWidth="1"/>
    <col min="4370" max="4370" width="4.3984375" style="1532" customWidth="1"/>
    <col min="4371" max="4371" width="4.5" style="1532" customWidth="1"/>
    <col min="4372" max="4372" width="3.8984375" style="1532" customWidth="1"/>
    <col min="4373" max="4373" width="16.09765625" style="1532" customWidth="1"/>
    <col min="4374" max="4374" width="19.8984375" style="1532" customWidth="1"/>
    <col min="4375" max="4606" width="9" style="1532"/>
    <col min="4607" max="4607" width="4.19921875" style="1532" customWidth="1"/>
    <col min="4608" max="4608" width="29.5" style="1532" customWidth="1"/>
    <col min="4609" max="4623" width="4.5" style="1532" customWidth="1"/>
    <col min="4624" max="4624" width="3.8984375" style="1532" customWidth="1"/>
    <col min="4625" max="4625" width="4" style="1532" customWidth="1"/>
    <col min="4626" max="4626" width="4.3984375" style="1532" customWidth="1"/>
    <col min="4627" max="4627" width="4.5" style="1532" customWidth="1"/>
    <col min="4628" max="4628" width="3.8984375" style="1532" customWidth="1"/>
    <col min="4629" max="4629" width="16.09765625" style="1532" customWidth="1"/>
    <col min="4630" max="4630" width="19.8984375" style="1532" customWidth="1"/>
    <col min="4631" max="4862" width="9" style="1532"/>
    <col min="4863" max="4863" width="4.19921875" style="1532" customWidth="1"/>
    <col min="4864" max="4864" width="29.5" style="1532" customWidth="1"/>
    <col min="4865" max="4879" width="4.5" style="1532" customWidth="1"/>
    <col min="4880" max="4880" width="3.8984375" style="1532" customWidth="1"/>
    <col min="4881" max="4881" width="4" style="1532" customWidth="1"/>
    <col min="4882" max="4882" width="4.3984375" style="1532" customWidth="1"/>
    <col min="4883" max="4883" width="4.5" style="1532" customWidth="1"/>
    <col min="4884" max="4884" width="3.8984375" style="1532" customWidth="1"/>
    <col min="4885" max="4885" width="16.09765625" style="1532" customWidth="1"/>
    <col min="4886" max="4886" width="19.8984375" style="1532" customWidth="1"/>
    <col min="4887" max="5118" width="9" style="1532"/>
    <col min="5119" max="5119" width="4.19921875" style="1532" customWidth="1"/>
    <col min="5120" max="5120" width="29.5" style="1532" customWidth="1"/>
    <col min="5121" max="5135" width="4.5" style="1532" customWidth="1"/>
    <col min="5136" max="5136" width="3.8984375" style="1532" customWidth="1"/>
    <col min="5137" max="5137" width="4" style="1532" customWidth="1"/>
    <col min="5138" max="5138" width="4.3984375" style="1532" customWidth="1"/>
    <col min="5139" max="5139" width="4.5" style="1532" customWidth="1"/>
    <col min="5140" max="5140" width="3.8984375" style="1532" customWidth="1"/>
    <col min="5141" max="5141" width="16.09765625" style="1532" customWidth="1"/>
    <col min="5142" max="5142" width="19.8984375" style="1532" customWidth="1"/>
    <col min="5143" max="5374" width="9" style="1532"/>
    <col min="5375" max="5375" width="4.19921875" style="1532" customWidth="1"/>
    <col min="5376" max="5376" width="29.5" style="1532" customWidth="1"/>
    <col min="5377" max="5391" width="4.5" style="1532" customWidth="1"/>
    <col min="5392" max="5392" width="3.8984375" style="1532" customWidth="1"/>
    <col min="5393" max="5393" width="4" style="1532" customWidth="1"/>
    <col min="5394" max="5394" width="4.3984375" style="1532" customWidth="1"/>
    <col min="5395" max="5395" width="4.5" style="1532" customWidth="1"/>
    <col min="5396" max="5396" width="3.8984375" style="1532" customWidth="1"/>
    <col min="5397" max="5397" width="16.09765625" style="1532" customWidth="1"/>
    <col min="5398" max="5398" width="19.8984375" style="1532" customWidth="1"/>
    <col min="5399" max="5630" width="9" style="1532"/>
    <col min="5631" max="5631" width="4.19921875" style="1532" customWidth="1"/>
    <col min="5632" max="5632" width="29.5" style="1532" customWidth="1"/>
    <col min="5633" max="5647" width="4.5" style="1532" customWidth="1"/>
    <col min="5648" max="5648" width="3.8984375" style="1532" customWidth="1"/>
    <col min="5649" max="5649" width="4" style="1532" customWidth="1"/>
    <col min="5650" max="5650" width="4.3984375" style="1532" customWidth="1"/>
    <col min="5651" max="5651" width="4.5" style="1532" customWidth="1"/>
    <col min="5652" max="5652" width="3.8984375" style="1532" customWidth="1"/>
    <col min="5653" max="5653" width="16.09765625" style="1532" customWidth="1"/>
    <col min="5654" max="5654" width="19.8984375" style="1532" customWidth="1"/>
    <col min="5655" max="5886" width="9" style="1532"/>
    <col min="5887" max="5887" width="4.19921875" style="1532" customWidth="1"/>
    <col min="5888" max="5888" width="29.5" style="1532" customWidth="1"/>
    <col min="5889" max="5903" width="4.5" style="1532" customWidth="1"/>
    <col min="5904" max="5904" width="3.8984375" style="1532" customWidth="1"/>
    <col min="5905" max="5905" width="4" style="1532" customWidth="1"/>
    <col min="5906" max="5906" width="4.3984375" style="1532" customWidth="1"/>
    <col min="5907" max="5907" width="4.5" style="1532" customWidth="1"/>
    <col min="5908" max="5908" width="3.8984375" style="1532" customWidth="1"/>
    <col min="5909" max="5909" width="16.09765625" style="1532" customWidth="1"/>
    <col min="5910" max="5910" width="19.8984375" style="1532" customWidth="1"/>
    <col min="5911" max="6142" width="9" style="1532"/>
    <col min="6143" max="6143" width="4.19921875" style="1532" customWidth="1"/>
    <col min="6144" max="6144" width="29.5" style="1532" customWidth="1"/>
    <col min="6145" max="6159" width="4.5" style="1532" customWidth="1"/>
    <col min="6160" max="6160" width="3.8984375" style="1532" customWidth="1"/>
    <col min="6161" max="6161" width="4" style="1532" customWidth="1"/>
    <col min="6162" max="6162" width="4.3984375" style="1532" customWidth="1"/>
    <col min="6163" max="6163" width="4.5" style="1532" customWidth="1"/>
    <col min="6164" max="6164" width="3.8984375" style="1532" customWidth="1"/>
    <col min="6165" max="6165" width="16.09765625" style="1532" customWidth="1"/>
    <col min="6166" max="6166" width="19.8984375" style="1532" customWidth="1"/>
    <col min="6167" max="6398" width="9" style="1532"/>
    <col min="6399" max="6399" width="4.19921875" style="1532" customWidth="1"/>
    <col min="6400" max="6400" width="29.5" style="1532" customWidth="1"/>
    <col min="6401" max="6415" width="4.5" style="1532" customWidth="1"/>
    <col min="6416" max="6416" width="3.8984375" style="1532" customWidth="1"/>
    <col min="6417" max="6417" width="4" style="1532" customWidth="1"/>
    <col min="6418" max="6418" width="4.3984375" style="1532" customWidth="1"/>
    <col min="6419" max="6419" width="4.5" style="1532" customWidth="1"/>
    <col min="6420" max="6420" width="3.8984375" style="1532" customWidth="1"/>
    <col min="6421" max="6421" width="16.09765625" style="1532" customWidth="1"/>
    <col min="6422" max="6422" width="19.8984375" style="1532" customWidth="1"/>
    <col min="6423" max="6654" width="9" style="1532"/>
    <col min="6655" max="6655" width="4.19921875" style="1532" customWidth="1"/>
    <col min="6656" max="6656" width="29.5" style="1532" customWidth="1"/>
    <col min="6657" max="6671" width="4.5" style="1532" customWidth="1"/>
    <col min="6672" max="6672" width="3.8984375" style="1532" customWidth="1"/>
    <col min="6673" max="6673" width="4" style="1532" customWidth="1"/>
    <col min="6674" max="6674" width="4.3984375" style="1532" customWidth="1"/>
    <col min="6675" max="6675" width="4.5" style="1532" customWidth="1"/>
    <col min="6676" max="6676" width="3.8984375" style="1532" customWidth="1"/>
    <col min="6677" max="6677" width="16.09765625" style="1532" customWidth="1"/>
    <col min="6678" max="6678" width="19.8984375" style="1532" customWidth="1"/>
    <col min="6679" max="6910" width="9" style="1532"/>
    <col min="6911" max="6911" width="4.19921875" style="1532" customWidth="1"/>
    <col min="6912" max="6912" width="29.5" style="1532" customWidth="1"/>
    <col min="6913" max="6927" width="4.5" style="1532" customWidth="1"/>
    <col min="6928" max="6928" width="3.8984375" style="1532" customWidth="1"/>
    <col min="6929" max="6929" width="4" style="1532" customWidth="1"/>
    <col min="6930" max="6930" width="4.3984375" style="1532" customWidth="1"/>
    <col min="6931" max="6931" width="4.5" style="1532" customWidth="1"/>
    <col min="6932" max="6932" width="3.8984375" style="1532" customWidth="1"/>
    <col min="6933" max="6933" width="16.09765625" style="1532" customWidth="1"/>
    <col min="6934" max="6934" width="19.8984375" style="1532" customWidth="1"/>
    <col min="6935" max="7166" width="9" style="1532"/>
    <col min="7167" max="7167" width="4.19921875" style="1532" customWidth="1"/>
    <col min="7168" max="7168" width="29.5" style="1532" customWidth="1"/>
    <col min="7169" max="7183" width="4.5" style="1532" customWidth="1"/>
    <col min="7184" max="7184" width="3.8984375" style="1532" customWidth="1"/>
    <col min="7185" max="7185" width="4" style="1532" customWidth="1"/>
    <col min="7186" max="7186" width="4.3984375" style="1532" customWidth="1"/>
    <col min="7187" max="7187" width="4.5" style="1532" customWidth="1"/>
    <col min="7188" max="7188" width="3.8984375" style="1532" customWidth="1"/>
    <col min="7189" max="7189" width="16.09765625" style="1532" customWidth="1"/>
    <col min="7190" max="7190" width="19.8984375" style="1532" customWidth="1"/>
    <col min="7191" max="7422" width="9" style="1532"/>
    <col min="7423" max="7423" width="4.19921875" style="1532" customWidth="1"/>
    <col min="7424" max="7424" width="29.5" style="1532" customWidth="1"/>
    <col min="7425" max="7439" width="4.5" style="1532" customWidth="1"/>
    <col min="7440" max="7440" width="3.8984375" style="1532" customWidth="1"/>
    <col min="7441" max="7441" width="4" style="1532" customWidth="1"/>
    <col min="7442" max="7442" width="4.3984375" style="1532" customWidth="1"/>
    <col min="7443" max="7443" width="4.5" style="1532" customWidth="1"/>
    <col min="7444" max="7444" width="3.8984375" style="1532" customWidth="1"/>
    <col min="7445" max="7445" width="16.09765625" style="1532" customWidth="1"/>
    <col min="7446" max="7446" width="19.8984375" style="1532" customWidth="1"/>
    <col min="7447" max="7678" width="9" style="1532"/>
    <col min="7679" max="7679" width="4.19921875" style="1532" customWidth="1"/>
    <col min="7680" max="7680" width="29.5" style="1532" customWidth="1"/>
    <col min="7681" max="7695" width="4.5" style="1532" customWidth="1"/>
    <col min="7696" max="7696" width="3.8984375" style="1532" customWidth="1"/>
    <col min="7697" max="7697" width="4" style="1532" customWidth="1"/>
    <col min="7698" max="7698" width="4.3984375" style="1532" customWidth="1"/>
    <col min="7699" max="7699" width="4.5" style="1532" customWidth="1"/>
    <col min="7700" max="7700" width="3.8984375" style="1532" customWidth="1"/>
    <col min="7701" max="7701" width="16.09765625" style="1532" customWidth="1"/>
    <col min="7702" max="7702" width="19.8984375" style="1532" customWidth="1"/>
    <col min="7703" max="7934" width="9" style="1532"/>
    <col min="7935" max="7935" width="4.19921875" style="1532" customWidth="1"/>
    <col min="7936" max="7936" width="29.5" style="1532" customWidth="1"/>
    <col min="7937" max="7951" width="4.5" style="1532" customWidth="1"/>
    <col min="7952" max="7952" width="3.8984375" style="1532" customWidth="1"/>
    <col min="7953" max="7953" width="4" style="1532" customWidth="1"/>
    <col min="7954" max="7954" width="4.3984375" style="1532" customWidth="1"/>
    <col min="7955" max="7955" width="4.5" style="1532" customWidth="1"/>
    <col min="7956" max="7956" width="3.8984375" style="1532" customWidth="1"/>
    <col min="7957" max="7957" width="16.09765625" style="1532" customWidth="1"/>
    <col min="7958" max="7958" width="19.8984375" style="1532" customWidth="1"/>
    <col min="7959" max="8190" width="9" style="1532"/>
    <col min="8191" max="8191" width="4.19921875" style="1532" customWidth="1"/>
    <col min="8192" max="8192" width="29.5" style="1532" customWidth="1"/>
    <col min="8193" max="8207" width="4.5" style="1532" customWidth="1"/>
    <col min="8208" max="8208" width="3.8984375" style="1532" customWidth="1"/>
    <col min="8209" max="8209" width="4" style="1532" customWidth="1"/>
    <col min="8210" max="8210" width="4.3984375" style="1532" customWidth="1"/>
    <col min="8211" max="8211" width="4.5" style="1532" customWidth="1"/>
    <col min="8212" max="8212" width="3.8984375" style="1532" customWidth="1"/>
    <col min="8213" max="8213" width="16.09765625" style="1532" customWidth="1"/>
    <col min="8214" max="8214" width="19.8984375" style="1532" customWidth="1"/>
    <col min="8215" max="8446" width="9" style="1532"/>
    <col min="8447" max="8447" width="4.19921875" style="1532" customWidth="1"/>
    <col min="8448" max="8448" width="29.5" style="1532" customWidth="1"/>
    <col min="8449" max="8463" width="4.5" style="1532" customWidth="1"/>
    <col min="8464" max="8464" width="3.8984375" style="1532" customWidth="1"/>
    <col min="8465" max="8465" width="4" style="1532" customWidth="1"/>
    <col min="8466" max="8466" width="4.3984375" style="1532" customWidth="1"/>
    <col min="8467" max="8467" width="4.5" style="1532" customWidth="1"/>
    <col min="8468" max="8468" width="3.8984375" style="1532" customWidth="1"/>
    <col min="8469" max="8469" width="16.09765625" style="1532" customWidth="1"/>
    <col min="8470" max="8470" width="19.8984375" style="1532" customWidth="1"/>
    <col min="8471" max="8702" width="9" style="1532"/>
    <col min="8703" max="8703" width="4.19921875" style="1532" customWidth="1"/>
    <col min="8704" max="8704" width="29.5" style="1532" customWidth="1"/>
    <col min="8705" max="8719" width="4.5" style="1532" customWidth="1"/>
    <col min="8720" max="8720" width="3.8984375" style="1532" customWidth="1"/>
    <col min="8721" max="8721" width="4" style="1532" customWidth="1"/>
    <col min="8722" max="8722" width="4.3984375" style="1532" customWidth="1"/>
    <col min="8723" max="8723" width="4.5" style="1532" customWidth="1"/>
    <col min="8724" max="8724" width="3.8984375" style="1532" customWidth="1"/>
    <col min="8725" max="8725" width="16.09765625" style="1532" customWidth="1"/>
    <col min="8726" max="8726" width="19.8984375" style="1532" customWidth="1"/>
    <col min="8727" max="8958" width="9" style="1532"/>
    <col min="8959" max="8959" width="4.19921875" style="1532" customWidth="1"/>
    <col min="8960" max="8960" width="29.5" style="1532" customWidth="1"/>
    <col min="8961" max="8975" width="4.5" style="1532" customWidth="1"/>
    <col min="8976" max="8976" width="3.8984375" style="1532" customWidth="1"/>
    <col min="8977" max="8977" width="4" style="1532" customWidth="1"/>
    <col min="8978" max="8978" width="4.3984375" style="1532" customWidth="1"/>
    <col min="8979" max="8979" width="4.5" style="1532" customWidth="1"/>
    <col min="8980" max="8980" width="3.8984375" style="1532" customWidth="1"/>
    <col min="8981" max="8981" width="16.09765625" style="1532" customWidth="1"/>
    <col min="8982" max="8982" width="19.8984375" style="1532" customWidth="1"/>
    <col min="8983" max="9214" width="9" style="1532"/>
    <col min="9215" max="9215" width="4.19921875" style="1532" customWidth="1"/>
    <col min="9216" max="9216" width="29.5" style="1532" customWidth="1"/>
    <col min="9217" max="9231" width="4.5" style="1532" customWidth="1"/>
    <col min="9232" max="9232" width="3.8984375" style="1532" customWidth="1"/>
    <col min="9233" max="9233" width="4" style="1532" customWidth="1"/>
    <col min="9234" max="9234" width="4.3984375" style="1532" customWidth="1"/>
    <col min="9235" max="9235" width="4.5" style="1532" customWidth="1"/>
    <col min="9236" max="9236" width="3.8984375" style="1532" customWidth="1"/>
    <col min="9237" max="9237" width="16.09765625" style="1532" customWidth="1"/>
    <col min="9238" max="9238" width="19.8984375" style="1532" customWidth="1"/>
    <col min="9239" max="9470" width="9" style="1532"/>
    <col min="9471" max="9471" width="4.19921875" style="1532" customWidth="1"/>
    <col min="9472" max="9472" width="29.5" style="1532" customWidth="1"/>
    <col min="9473" max="9487" width="4.5" style="1532" customWidth="1"/>
    <col min="9488" max="9488" width="3.8984375" style="1532" customWidth="1"/>
    <col min="9489" max="9489" width="4" style="1532" customWidth="1"/>
    <col min="9490" max="9490" width="4.3984375" style="1532" customWidth="1"/>
    <col min="9491" max="9491" width="4.5" style="1532" customWidth="1"/>
    <col min="9492" max="9492" width="3.8984375" style="1532" customWidth="1"/>
    <col min="9493" max="9493" width="16.09765625" style="1532" customWidth="1"/>
    <col min="9494" max="9494" width="19.8984375" style="1532" customWidth="1"/>
    <col min="9495" max="9726" width="9" style="1532"/>
    <col min="9727" max="9727" width="4.19921875" style="1532" customWidth="1"/>
    <col min="9728" max="9728" width="29.5" style="1532" customWidth="1"/>
    <col min="9729" max="9743" width="4.5" style="1532" customWidth="1"/>
    <col min="9744" max="9744" width="3.8984375" style="1532" customWidth="1"/>
    <col min="9745" max="9745" width="4" style="1532" customWidth="1"/>
    <col min="9746" max="9746" width="4.3984375" style="1532" customWidth="1"/>
    <col min="9747" max="9747" width="4.5" style="1532" customWidth="1"/>
    <col min="9748" max="9748" width="3.8984375" style="1532" customWidth="1"/>
    <col min="9749" max="9749" width="16.09765625" style="1532" customWidth="1"/>
    <col min="9750" max="9750" width="19.8984375" style="1532" customWidth="1"/>
    <col min="9751" max="9982" width="9" style="1532"/>
    <col min="9983" max="9983" width="4.19921875" style="1532" customWidth="1"/>
    <col min="9984" max="9984" width="29.5" style="1532" customWidth="1"/>
    <col min="9985" max="9999" width="4.5" style="1532" customWidth="1"/>
    <col min="10000" max="10000" width="3.8984375" style="1532" customWidth="1"/>
    <col min="10001" max="10001" width="4" style="1532" customWidth="1"/>
    <col min="10002" max="10002" width="4.3984375" style="1532" customWidth="1"/>
    <col min="10003" max="10003" width="4.5" style="1532" customWidth="1"/>
    <col min="10004" max="10004" width="3.8984375" style="1532" customWidth="1"/>
    <col min="10005" max="10005" width="16.09765625" style="1532" customWidth="1"/>
    <col min="10006" max="10006" width="19.8984375" style="1532" customWidth="1"/>
    <col min="10007" max="10238" width="9" style="1532"/>
    <col min="10239" max="10239" width="4.19921875" style="1532" customWidth="1"/>
    <col min="10240" max="10240" width="29.5" style="1532" customWidth="1"/>
    <col min="10241" max="10255" width="4.5" style="1532" customWidth="1"/>
    <col min="10256" max="10256" width="3.8984375" style="1532" customWidth="1"/>
    <col min="10257" max="10257" width="4" style="1532" customWidth="1"/>
    <col min="10258" max="10258" width="4.3984375" style="1532" customWidth="1"/>
    <col min="10259" max="10259" width="4.5" style="1532" customWidth="1"/>
    <col min="10260" max="10260" width="3.8984375" style="1532" customWidth="1"/>
    <col min="10261" max="10261" width="16.09765625" style="1532" customWidth="1"/>
    <col min="10262" max="10262" width="19.8984375" style="1532" customWidth="1"/>
    <col min="10263" max="10494" width="9" style="1532"/>
    <col min="10495" max="10495" width="4.19921875" style="1532" customWidth="1"/>
    <col min="10496" max="10496" width="29.5" style="1532" customWidth="1"/>
    <col min="10497" max="10511" width="4.5" style="1532" customWidth="1"/>
    <col min="10512" max="10512" width="3.8984375" style="1532" customWidth="1"/>
    <col min="10513" max="10513" width="4" style="1532" customWidth="1"/>
    <col min="10514" max="10514" width="4.3984375" style="1532" customWidth="1"/>
    <col min="10515" max="10515" width="4.5" style="1532" customWidth="1"/>
    <col min="10516" max="10516" width="3.8984375" style="1532" customWidth="1"/>
    <col min="10517" max="10517" width="16.09765625" style="1532" customWidth="1"/>
    <col min="10518" max="10518" width="19.8984375" style="1532" customWidth="1"/>
    <col min="10519" max="10750" width="9" style="1532"/>
    <col min="10751" max="10751" width="4.19921875" style="1532" customWidth="1"/>
    <col min="10752" max="10752" width="29.5" style="1532" customWidth="1"/>
    <col min="10753" max="10767" width="4.5" style="1532" customWidth="1"/>
    <col min="10768" max="10768" width="3.8984375" style="1532" customWidth="1"/>
    <col min="10769" max="10769" width="4" style="1532" customWidth="1"/>
    <col min="10770" max="10770" width="4.3984375" style="1532" customWidth="1"/>
    <col min="10771" max="10771" width="4.5" style="1532" customWidth="1"/>
    <col min="10772" max="10772" width="3.8984375" style="1532" customWidth="1"/>
    <col min="10773" max="10773" width="16.09765625" style="1532" customWidth="1"/>
    <col min="10774" max="10774" width="19.8984375" style="1532" customWidth="1"/>
    <col min="10775" max="11006" width="9" style="1532"/>
    <col min="11007" max="11007" width="4.19921875" style="1532" customWidth="1"/>
    <col min="11008" max="11008" width="29.5" style="1532" customWidth="1"/>
    <col min="11009" max="11023" width="4.5" style="1532" customWidth="1"/>
    <col min="11024" max="11024" width="3.8984375" style="1532" customWidth="1"/>
    <col min="11025" max="11025" width="4" style="1532" customWidth="1"/>
    <col min="11026" max="11026" width="4.3984375" style="1532" customWidth="1"/>
    <col min="11027" max="11027" width="4.5" style="1532" customWidth="1"/>
    <col min="11028" max="11028" width="3.8984375" style="1532" customWidth="1"/>
    <col min="11029" max="11029" width="16.09765625" style="1532" customWidth="1"/>
    <col min="11030" max="11030" width="19.8984375" style="1532" customWidth="1"/>
    <col min="11031" max="11262" width="9" style="1532"/>
    <col min="11263" max="11263" width="4.19921875" style="1532" customWidth="1"/>
    <col min="11264" max="11264" width="29.5" style="1532" customWidth="1"/>
    <col min="11265" max="11279" width="4.5" style="1532" customWidth="1"/>
    <col min="11280" max="11280" width="3.8984375" style="1532" customWidth="1"/>
    <col min="11281" max="11281" width="4" style="1532" customWidth="1"/>
    <col min="11282" max="11282" width="4.3984375" style="1532" customWidth="1"/>
    <col min="11283" max="11283" width="4.5" style="1532" customWidth="1"/>
    <col min="11284" max="11284" width="3.8984375" style="1532" customWidth="1"/>
    <col min="11285" max="11285" width="16.09765625" style="1532" customWidth="1"/>
    <col min="11286" max="11286" width="19.8984375" style="1532" customWidth="1"/>
    <col min="11287" max="11518" width="9" style="1532"/>
    <col min="11519" max="11519" width="4.19921875" style="1532" customWidth="1"/>
    <col min="11520" max="11520" width="29.5" style="1532" customWidth="1"/>
    <col min="11521" max="11535" width="4.5" style="1532" customWidth="1"/>
    <col min="11536" max="11536" width="3.8984375" style="1532" customWidth="1"/>
    <col min="11537" max="11537" width="4" style="1532" customWidth="1"/>
    <col min="11538" max="11538" width="4.3984375" style="1532" customWidth="1"/>
    <col min="11539" max="11539" width="4.5" style="1532" customWidth="1"/>
    <col min="11540" max="11540" width="3.8984375" style="1532" customWidth="1"/>
    <col min="11541" max="11541" width="16.09765625" style="1532" customWidth="1"/>
    <col min="11542" max="11542" width="19.8984375" style="1532" customWidth="1"/>
    <col min="11543" max="11774" width="9" style="1532"/>
    <col min="11775" max="11775" width="4.19921875" style="1532" customWidth="1"/>
    <col min="11776" max="11776" width="29.5" style="1532" customWidth="1"/>
    <col min="11777" max="11791" width="4.5" style="1532" customWidth="1"/>
    <col min="11792" max="11792" width="3.8984375" style="1532" customWidth="1"/>
    <col min="11793" max="11793" width="4" style="1532" customWidth="1"/>
    <col min="11794" max="11794" width="4.3984375" style="1532" customWidth="1"/>
    <col min="11795" max="11795" width="4.5" style="1532" customWidth="1"/>
    <col min="11796" max="11796" width="3.8984375" style="1532" customWidth="1"/>
    <col min="11797" max="11797" width="16.09765625" style="1532" customWidth="1"/>
    <col min="11798" max="11798" width="19.8984375" style="1532" customWidth="1"/>
    <col min="11799" max="12030" width="9" style="1532"/>
    <col min="12031" max="12031" width="4.19921875" style="1532" customWidth="1"/>
    <col min="12032" max="12032" width="29.5" style="1532" customWidth="1"/>
    <col min="12033" max="12047" width="4.5" style="1532" customWidth="1"/>
    <col min="12048" max="12048" width="3.8984375" style="1532" customWidth="1"/>
    <col min="12049" max="12049" width="4" style="1532" customWidth="1"/>
    <col min="12050" max="12050" width="4.3984375" style="1532" customWidth="1"/>
    <col min="12051" max="12051" width="4.5" style="1532" customWidth="1"/>
    <col min="12052" max="12052" width="3.8984375" style="1532" customWidth="1"/>
    <col min="12053" max="12053" width="16.09765625" style="1532" customWidth="1"/>
    <col min="12054" max="12054" width="19.8984375" style="1532" customWidth="1"/>
    <col min="12055" max="12286" width="9" style="1532"/>
    <col min="12287" max="12287" width="4.19921875" style="1532" customWidth="1"/>
    <col min="12288" max="12288" width="29.5" style="1532" customWidth="1"/>
    <col min="12289" max="12303" width="4.5" style="1532" customWidth="1"/>
    <col min="12304" max="12304" width="3.8984375" style="1532" customWidth="1"/>
    <col min="12305" max="12305" width="4" style="1532" customWidth="1"/>
    <col min="12306" max="12306" width="4.3984375" style="1532" customWidth="1"/>
    <col min="12307" max="12307" width="4.5" style="1532" customWidth="1"/>
    <col min="12308" max="12308" width="3.8984375" style="1532" customWidth="1"/>
    <col min="12309" max="12309" width="16.09765625" style="1532" customWidth="1"/>
    <col min="12310" max="12310" width="19.8984375" style="1532" customWidth="1"/>
    <col min="12311" max="12542" width="9" style="1532"/>
    <col min="12543" max="12543" width="4.19921875" style="1532" customWidth="1"/>
    <col min="12544" max="12544" width="29.5" style="1532" customWidth="1"/>
    <col min="12545" max="12559" width="4.5" style="1532" customWidth="1"/>
    <col min="12560" max="12560" width="3.8984375" style="1532" customWidth="1"/>
    <col min="12561" max="12561" width="4" style="1532" customWidth="1"/>
    <col min="12562" max="12562" width="4.3984375" style="1532" customWidth="1"/>
    <col min="12563" max="12563" width="4.5" style="1532" customWidth="1"/>
    <col min="12564" max="12564" width="3.8984375" style="1532" customWidth="1"/>
    <col min="12565" max="12565" width="16.09765625" style="1532" customWidth="1"/>
    <col min="12566" max="12566" width="19.8984375" style="1532" customWidth="1"/>
    <col min="12567" max="12798" width="9" style="1532"/>
    <col min="12799" max="12799" width="4.19921875" style="1532" customWidth="1"/>
    <col min="12800" max="12800" width="29.5" style="1532" customWidth="1"/>
    <col min="12801" max="12815" width="4.5" style="1532" customWidth="1"/>
    <col min="12816" max="12816" width="3.8984375" style="1532" customWidth="1"/>
    <col min="12817" max="12817" width="4" style="1532" customWidth="1"/>
    <col min="12818" max="12818" width="4.3984375" style="1532" customWidth="1"/>
    <col min="12819" max="12819" width="4.5" style="1532" customWidth="1"/>
    <col min="12820" max="12820" width="3.8984375" style="1532" customWidth="1"/>
    <col min="12821" max="12821" width="16.09765625" style="1532" customWidth="1"/>
    <col min="12822" max="12822" width="19.8984375" style="1532" customWidth="1"/>
    <col min="12823" max="13054" width="9" style="1532"/>
    <col min="13055" max="13055" width="4.19921875" style="1532" customWidth="1"/>
    <col min="13056" max="13056" width="29.5" style="1532" customWidth="1"/>
    <col min="13057" max="13071" width="4.5" style="1532" customWidth="1"/>
    <col min="13072" max="13072" width="3.8984375" style="1532" customWidth="1"/>
    <col min="13073" max="13073" width="4" style="1532" customWidth="1"/>
    <col min="13074" max="13074" width="4.3984375" style="1532" customWidth="1"/>
    <col min="13075" max="13075" width="4.5" style="1532" customWidth="1"/>
    <col min="13076" max="13076" width="3.8984375" style="1532" customWidth="1"/>
    <col min="13077" max="13077" width="16.09765625" style="1532" customWidth="1"/>
    <col min="13078" max="13078" width="19.8984375" style="1532" customWidth="1"/>
    <col min="13079" max="13310" width="9" style="1532"/>
    <col min="13311" max="13311" width="4.19921875" style="1532" customWidth="1"/>
    <col min="13312" max="13312" width="29.5" style="1532" customWidth="1"/>
    <col min="13313" max="13327" width="4.5" style="1532" customWidth="1"/>
    <col min="13328" max="13328" width="3.8984375" style="1532" customWidth="1"/>
    <col min="13329" max="13329" width="4" style="1532" customWidth="1"/>
    <col min="13330" max="13330" width="4.3984375" style="1532" customWidth="1"/>
    <col min="13331" max="13331" width="4.5" style="1532" customWidth="1"/>
    <col min="13332" max="13332" width="3.8984375" style="1532" customWidth="1"/>
    <col min="13333" max="13333" width="16.09765625" style="1532" customWidth="1"/>
    <col min="13334" max="13334" width="19.8984375" style="1532" customWidth="1"/>
    <col min="13335" max="13566" width="9" style="1532"/>
    <col min="13567" max="13567" width="4.19921875" style="1532" customWidth="1"/>
    <col min="13568" max="13568" width="29.5" style="1532" customWidth="1"/>
    <col min="13569" max="13583" width="4.5" style="1532" customWidth="1"/>
    <col min="13584" max="13584" width="3.8984375" style="1532" customWidth="1"/>
    <col min="13585" max="13585" width="4" style="1532" customWidth="1"/>
    <col min="13586" max="13586" width="4.3984375" style="1532" customWidth="1"/>
    <col min="13587" max="13587" width="4.5" style="1532" customWidth="1"/>
    <col min="13588" max="13588" width="3.8984375" style="1532" customWidth="1"/>
    <col min="13589" max="13589" width="16.09765625" style="1532" customWidth="1"/>
    <col min="13590" max="13590" width="19.8984375" style="1532" customWidth="1"/>
    <col min="13591" max="13822" width="9" style="1532"/>
    <col min="13823" max="13823" width="4.19921875" style="1532" customWidth="1"/>
    <col min="13824" max="13824" width="29.5" style="1532" customWidth="1"/>
    <col min="13825" max="13839" width="4.5" style="1532" customWidth="1"/>
    <col min="13840" max="13840" width="3.8984375" style="1532" customWidth="1"/>
    <col min="13841" max="13841" width="4" style="1532" customWidth="1"/>
    <col min="13842" max="13842" width="4.3984375" style="1532" customWidth="1"/>
    <col min="13843" max="13843" width="4.5" style="1532" customWidth="1"/>
    <col min="13844" max="13844" width="3.8984375" style="1532" customWidth="1"/>
    <col min="13845" max="13845" width="16.09765625" style="1532" customWidth="1"/>
    <col min="13846" max="13846" width="19.8984375" style="1532" customWidth="1"/>
    <col min="13847" max="14078" width="9" style="1532"/>
    <col min="14079" max="14079" width="4.19921875" style="1532" customWidth="1"/>
    <col min="14080" max="14080" width="29.5" style="1532" customWidth="1"/>
    <col min="14081" max="14095" width="4.5" style="1532" customWidth="1"/>
    <col min="14096" max="14096" width="3.8984375" style="1532" customWidth="1"/>
    <col min="14097" max="14097" width="4" style="1532" customWidth="1"/>
    <col min="14098" max="14098" width="4.3984375" style="1532" customWidth="1"/>
    <col min="14099" max="14099" width="4.5" style="1532" customWidth="1"/>
    <col min="14100" max="14100" width="3.8984375" style="1532" customWidth="1"/>
    <col min="14101" max="14101" width="16.09765625" style="1532" customWidth="1"/>
    <col min="14102" max="14102" width="19.8984375" style="1532" customWidth="1"/>
    <col min="14103" max="14334" width="9" style="1532"/>
    <col min="14335" max="14335" width="4.19921875" style="1532" customWidth="1"/>
    <col min="14336" max="14336" width="29.5" style="1532" customWidth="1"/>
    <col min="14337" max="14351" width="4.5" style="1532" customWidth="1"/>
    <col min="14352" max="14352" width="3.8984375" style="1532" customWidth="1"/>
    <col min="14353" max="14353" width="4" style="1532" customWidth="1"/>
    <col min="14354" max="14354" width="4.3984375" style="1532" customWidth="1"/>
    <col min="14355" max="14355" width="4.5" style="1532" customWidth="1"/>
    <col min="14356" max="14356" width="3.8984375" style="1532" customWidth="1"/>
    <col min="14357" max="14357" width="16.09765625" style="1532" customWidth="1"/>
    <col min="14358" max="14358" width="19.8984375" style="1532" customWidth="1"/>
    <col min="14359" max="14590" width="9" style="1532"/>
    <col min="14591" max="14591" width="4.19921875" style="1532" customWidth="1"/>
    <col min="14592" max="14592" width="29.5" style="1532" customWidth="1"/>
    <col min="14593" max="14607" width="4.5" style="1532" customWidth="1"/>
    <col min="14608" max="14608" width="3.8984375" style="1532" customWidth="1"/>
    <col min="14609" max="14609" width="4" style="1532" customWidth="1"/>
    <col min="14610" max="14610" width="4.3984375" style="1532" customWidth="1"/>
    <col min="14611" max="14611" width="4.5" style="1532" customWidth="1"/>
    <col min="14612" max="14612" width="3.8984375" style="1532" customWidth="1"/>
    <col min="14613" max="14613" width="16.09765625" style="1532" customWidth="1"/>
    <col min="14614" max="14614" width="19.8984375" style="1532" customWidth="1"/>
    <col min="14615" max="14846" width="9" style="1532"/>
    <col min="14847" max="14847" width="4.19921875" style="1532" customWidth="1"/>
    <col min="14848" max="14848" width="29.5" style="1532" customWidth="1"/>
    <col min="14849" max="14863" width="4.5" style="1532" customWidth="1"/>
    <col min="14864" max="14864" width="3.8984375" style="1532" customWidth="1"/>
    <col min="14865" max="14865" width="4" style="1532" customWidth="1"/>
    <col min="14866" max="14866" width="4.3984375" style="1532" customWidth="1"/>
    <col min="14867" max="14867" width="4.5" style="1532" customWidth="1"/>
    <col min="14868" max="14868" width="3.8984375" style="1532" customWidth="1"/>
    <col min="14869" max="14869" width="16.09765625" style="1532" customWidth="1"/>
    <col min="14870" max="14870" width="19.8984375" style="1532" customWidth="1"/>
    <col min="14871" max="15102" width="9" style="1532"/>
    <col min="15103" max="15103" width="4.19921875" style="1532" customWidth="1"/>
    <col min="15104" max="15104" width="29.5" style="1532" customWidth="1"/>
    <col min="15105" max="15119" width="4.5" style="1532" customWidth="1"/>
    <col min="15120" max="15120" width="3.8984375" style="1532" customWidth="1"/>
    <col min="15121" max="15121" width="4" style="1532" customWidth="1"/>
    <col min="15122" max="15122" width="4.3984375" style="1532" customWidth="1"/>
    <col min="15123" max="15123" width="4.5" style="1532" customWidth="1"/>
    <col min="15124" max="15124" width="3.8984375" style="1532" customWidth="1"/>
    <col min="15125" max="15125" width="16.09765625" style="1532" customWidth="1"/>
    <col min="15126" max="15126" width="19.8984375" style="1532" customWidth="1"/>
    <col min="15127" max="15358" width="9" style="1532"/>
    <col min="15359" max="15359" width="4.19921875" style="1532" customWidth="1"/>
    <col min="15360" max="15360" width="29.5" style="1532" customWidth="1"/>
    <col min="15361" max="15375" width="4.5" style="1532" customWidth="1"/>
    <col min="15376" max="15376" width="3.8984375" style="1532" customWidth="1"/>
    <col min="15377" max="15377" width="4" style="1532" customWidth="1"/>
    <col min="15378" max="15378" width="4.3984375" style="1532" customWidth="1"/>
    <col min="15379" max="15379" width="4.5" style="1532" customWidth="1"/>
    <col min="15380" max="15380" width="3.8984375" style="1532" customWidth="1"/>
    <col min="15381" max="15381" width="16.09765625" style="1532" customWidth="1"/>
    <col min="15382" max="15382" width="19.8984375" style="1532" customWidth="1"/>
    <col min="15383" max="15614" width="9" style="1532"/>
    <col min="15615" max="15615" width="4.19921875" style="1532" customWidth="1"/>
    <col min="15616" max="15616" width="29.5" style="1532" customWidth="1"/>
    <col min="15617" max="15631" width="4.5" style="1532" customWidth="1"/>
    <col min="15632" max="15632" width="3.8984375" style="1532" customWidth="1"/>
    <col min="15633" max="15633" width="4" style="1532" customWidth="1"/>
    <col min="15634" max="15634" width="4.3984375" style="1532" customWidth="1"/>
    <col min="15635" max="15635" width="4.5" style="1532" customWidth="1"/>
    <col min="15636" max="15636" width="3.8984375" style="1532" customWidth="1"/>
    <col min="15637" max="15637" width="16.09765625" style="1532" customWidth="1"/>
    <col min="15638" max="15638" width="19.8984375" style="1532" customWidth="1"/>
    <col min="15639" max="15870" width="9" style="1532"/>
    <col min="15871" max="15871" width="4.19921875" style="1532" customWidth="1"/>
    <col min="15872" max="15872" width="29.5" style="1532" customWidth="1"/>
    <col min="15873" max="15887" width="4.5" style="1532" customWidth="1"/>
    <col min="15888" max="15888" width="3.8984375" style="1532" customWidth="1"/>
    <col min="15889" max="15889" width="4" style="1532" customWidth="1"/>
    <col min="15890" max="15890" width="4.3984375" style="1532" customWidth="1"/>
    <col min="15891" max="15891" width="4.5" style="1532" customWidth="1"/>
    <col min="15892" max="15892" width="3.8984375" style="1532" customWidth="1"/>
    <col min="15893" max="15893" width="16.09765625" style="1532" customWidth="1"/>
    <col min="15894" max="15894" width="19.8984375" style="1532" customWidth="1"/>
    <col min="15895" max="16126" width="9" style="1532"/>
    <col min="16127" max="16127" width="4.19921875" style="1532" customWidth="1"/>
    <col min="16128" max="16128" width="29.5" style="1532" customWidth="1"/>
    <col min="16129" max="16143" width="4.5" style="1532" customWidth="1"/>
    <col min="16144" max="16144" width="3.8984375" style="1532" customWidth="1"/>
    <col min="16145" max="16145" width="4" style="1532" customWidth="1"/>
    <col min="16146" max="16146" width="4.3984375" style="1532" customWidth="1"/>
    <col min="16147" max="16147" width="4.5" style="1532" customWidth="1"/>
    <col min="16148" max="16148" width="3.8984375" style="1532" customWidth="1"/>
    <col min="16149" max="16149" width="16.09765625" style="1532" customWidth="1"/>
    <col min="16150" max="16150" width="19.8984375" style="1532" customWidth="1"/>
    <col min="16151" max="16384" width="9" style="1532"/>
  </cols>
  <sheetData>
    <row r="1" spans="1:22" ht="20.100000000000001" customHeight="1">
      <c r="A1" s="2164" t="s">
        <v>7681</v>
      </c>
      <c r="B1" s="2164"/>
      <c r="C1" s="2164"/>
      <c r="D1" s="2164"/>
      <c r="E1" s="2164"/>
      <c r="F1" s="2164"/>
      <c r="G1" s="2164"/>
      <c r="H1" s="2164"/>
      <c r="I1" s="2164"/>
      <c r="J1" s="2164"/>
      <c r="K1" s="2164"/>
      <c r="L1" s="2164"/>
      <c r="M1" s="2164"/>
      <c r="N1" s="2164"/>
      <c r="O1" s="2164"/>
      <c r="P1" s="2164"/>
      <c r="Q1" s="2164"/>
      <c r="R1" s="2164"/>
      <c r="S1" s="2164"/>
      <c r="T1" s="2164"/>
      <c r="U1" s="2164"/>
    </row>
    <row r="2" spans="1:22"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row>
    <row r="3" spans="1:22" s="1537" customFormat="1" ht="33" customHeight="1">
      <c r="A3" s="3434" t="s">
        <v>1853</v>
      </c>
      <c r="B3" s="3952" t="s">
        <v>5349</v>
      </c>
      <c r="C3" s="3953"/>
      <c r="D3" s="3944" t="s">
        <v>5350</v>
      </c>
      <c r="E3" s="3946"/>
      <c r="F3" s="3947" t="s">
        <v>5351</v>
      </c>
      <c r="G3" s="3948"/>
      <c r="H3" s="3947" t="s">
        <v>5352</v>
      </c>
      <c r="I3" s="3948"/>
      <c r="J3" s="3947" t="s">
        <v>5353</v>
      </c>
      <c r="K3" s="3948"/>
      <c r="L3" s="3947" t="s">
        <v>1262</v>
      </c>
      <c r="M3" s="3948"/>
      <c r="N3" s="3947" t="s">
        <v>6802</v>
      </c>
      <c r="O3" s="3948"/>
      <c r="P3" s="3944" t="s">
        <v>6806</v>
      </c>
      <c r="Q3" s="3945"/>
      <c r="R3" s="3945"/>
      <c r="S3" s="3945"/>
      <c r="T3" s="3945"/>
      <c r="U3" s="3946"/>
    </row>
    <row r="4" spans="1:22" s="1537" customFormat="1" ht="16.5" customHeight="1">
      <c r="A4" s="3435"/>
      <c r="B4" s="3954"/>
      <c r="C4" s="3955"/>
      <c r="D4" s="2563" t="s">
        <v>5354</v>
      </c>
      <c r="E4" s="2561" t="s">
        <v>6804</v>
      </c>
      <c r="F4" s="2563" t="s">
        <v>5354</v>
      </c>
      <c r="G4" s="2561" t="s">
        <v>6805</v>
      </c>
      <c r="H4" s="2562" t="s">
        <v>5354</v>
      </c>
      <c r="I4" s="2561" t="s">
        <v>6805</v>
      </c>
      <c r="J4" s="2562" t="s">
        <v>5354</v>
      </c>
      <c r="K4" s="2561" t="s">
        <v>6805</v>
      </c>
      <c r="L4" s="2562" t="s">
        <v>5354</v>
      </c>
      <c r="M4" s="2561" t="s">
        <v>6805</v>
      </c>
      <c r="N4" s="2562" t="s">
        <v>6803</v>
      </c>
      <c r="O4" s="2561" t="s">
        <v>6805</v>
      </c>
      <c r="P4" s="2562" t="s">
        <v>5354</v>
      </c>
      <c r="Q4" s="2564" t="s">
        <v>6807</v>
      </c>
      <c r="R4" s="2564" t="s">
        <v>6808</v>
      </c>
      <c r="S4" s="2564" t="s">
        <v>6809</v>
      </c>
      <c r="T4" s="2564" t="s">
        <v>6810</v>
      </c>
      <c r="U4" s="2561" t="s">
        <v>6811</v>
      </c>
    </row>
    <row r="5" spans="1:22" s="1537" customFormat="1" ht="16.5" customHeight="1">
      <c r="A5" s="3436"/>
      <c r="B5" s="3956"/>
      <c r="C5" s="3957"/>
      <c r="D5" s="2246">
        <v>1</v>
      </c>
      <c r="E5" s="2247">
        <v>2</v>
      </c>
      <c r="F5" s="2246">
        <v>3</v>
      </c>
      <c r="G5" s="2247">
        <v>4</v>
      </c>
      <c r="H5" s="2255">
        <v>5</v>
      </c>
      <c r="I5" s="2247">
        <v>6</v>
      </c>
      <c r="J5" s="2255">
        <v>7</v>
      </c>
      <c r="K5" s="2247">
        <v>8</v>
      </c>
      <c r="L5" s="2255">
        <v>9</v>
      </c>
      <c r="M5" s="2247">
        <v>10</v>
      </c>
      <c r="N5" s="2255">
        <v>11</v>
      </c>
      <c r="O5" s="2247">
        <v>12</v>
      </c>
      <c r="P5" s="2255">
        <v>13</v>
      </c>
      <c r="Q5" s="2256">
        <v>14</v>
      </c>
      <c r="R5" s="2256">
        <v>15</v>
      </c>
      <c r="S5" s="2256">
        <v>16</v>
      </c>
      <c r="T5" s="2256">
        <v>17</v>
      </c>
      <c r="U5" s="2247">
        <v>18</v>
      </c>
    </row>
    <row r="6" spans="1:22" s="1537" customFormat="1" ht="16.5" customHeight="1">
      <c r="A6" s="2248">
        <v>1</v>
      </c>
      <c r="B6" s="3455" t="s">
        <v>6812</v>
      </c>
      <c r="C6" s="3456"/>
      <c r="D6" s="2262">
        <f>固定资产加速折旧审核表!D7</f>
        <v>0</v>
      </c>
      <c r="E6" s="2275">
        <f>固定资产加速折旧审核表!E7</f>
        <v>0</v>
      </c>
      <c r="F6" s="2262">
        <f>固定资产加速折旧审核表!F7</f>
        <v>0</v>
      </c>
      <c r="G6" s="2275">
        <f>固定资产加速折旧审核表!G7</f>
        <v>0</v>
      </c>
      <c r="H6" s="2262">
        <f>固定资产加速折旧审核表!H7</f>
        <v>0</v>
      </c>
      <c r="I6" s="2275">
        <f>固定资产加速折旧审核表!I7</f>
        <v>0</v>
      </c>
      <c r="J6" s="2262">
        <f>固定资产加速折旧审核表!J7</f>
        <v>0</v>
      </c>
      <c r="K6" s="2275">
        <f>固定资产加速折旧审核表!K7</f>
        <v>0</v>
      </c>
      <c r="L6" s="2262">
        <f>固定资产加速折旧审核表!L7</f>
        <v>0</v>
      </c>
      <c r="M6" s="2275">
        <f>固定资产加速折旧审核表!M7</f>
        <v>0</v>
      </c>
      <c r="N6" s="2262">
        <f>固定资产加速折旧审核表!N7</f>
        <v>0</v>
      </c>
      <c r="O6" s="2275">
        <f>固定资产加速折旧审核表!O7</f>
        <v>0</v>
      </c>
      <c r="P6" s="2262">
        <f>固定资产加速折旧审核表!P7</f>
        <v>0</v>
      </c>
      <c r="Q6" s="2279">
        <f>固定资产加速折旧审核表!Q7</f>
        <v>0</v>
      </c>
      <c r="R6" s="2279">
        <f>固定资产加速折旧审核表!R7</f>
        <v>0</v>
      </c>
      <c r="S6" s="2279">
        <f>固定资产加速折旧审核表!S7</f>
        <v>0</v>
      </c>
      <c r="T6" s="2279">
        <f>固定资产加速折旧审核表!T7</f>
        <v>0</v>
      </c>
      <c r="U6" s="2275">
        <f>固定资产加速折旧审核表!U7</f>
        <v>0</v>
      </c>
      <c r="V6" s="1565"/>
    </row>
    <row r="7" spans="1:22" s="1537" customFormat="1" ht="16.5" customHeight="1">
      <c r="A7" s="2249">
        <v>2</v>
      </c>
      <c r="B7" s="3949">
        <f>固定资产加速折旧审核表!B8</f>
        <v>0</v>
      </c>
      <c r="C7" s="2250" t="s">
        <v>6813</v>
      </c>
      <c r="D7" s="2270">
        <f>固定资产加速折旧审核表!D8</f>
        <v>0</v>
      </c>
      <c r="E7" s="2276">
        <f>固定资产加速折旧审核表!E8</f>
        <v>0</v>
      </c>
      <c r="F7" s="2270">
        <f>固定资产加速折旧审核表!F8</f>
        <v>0</v>
      </c>
      <c r="G7" s="2276">
        <f>固定资产加速折旧审核表!G8</f>
        <v>0</v>
      </c>
      <c r="H7" s="2270">
        <f>固定资产加速折旧审核表!H8</f>
        <v>0</v>
      </c>
      <c r="I7" s="2276">
        <f>固定资产加速折旧审核表!I8</f>
        <v>0</v>
      </c>
      <c r="J7" s="2270">
        <f>固定资产加速折旧审核表!J8</f>
        <v>0</v>
      </c>
      <c r="K7" s="2276">
        <f>固定资产加速折旧审核表!K8</f>
        <v>0</v>
      </c>
      <c r="L7" s="2270">
        <f>固定资产加速折旧审核表!L8</f>
        <v>0</v>
      </c>
      <c r="M7" s="2276">
        <f>固定资产加速折旧审核表!M8</f>
        <v>0</v>
      </c>
      <c r="N7" s="2270">
        <f>固定资产加速折旧审核表!N8</f>
        <v>0</v>
      </c>
      <c r="O7" s="2276">
        <f>固定资产加速折旧审核表!O8</f>
        <v>0</v>
      </c>
      <c r="P7" s="2270">
        <f>固定资产加速折旧审核表!P8</f>
        <v>0</v>
      </c>
      <c r="Q7" s="2280" t="str">
        <f>固定资产加速折旧审核表!Q8</f>
        <v>*</v>
      </c>
      <c r="R7" s="2280">
        <f>固定资产加速折旧审核表!R8</f>
        <v>0</v>
      </c>
      <c r="S7" s="2280">
        <f>固定资产加速折旧审核表!S8</f>
        <v>0</v>
      </c>
      <c r="T7" s="2280" t="str">
        <f>固定资产加速折旧审核表!T8</f>
        <v>*</v>
      </c>
      <c r="U7" s="2276">
        <f>固定资产加速折旧审核表!U8</f>
        <v>0</v>
      </c>
    </row>
    <row r="8" spans="1:22" s="1537" customFormat="1" ht="16.5" customHeight="1">
      <c r="A8" s="2249">
        <v>3</v>
      </c>
      <c r="B8" s="3949"/>
      <c r="C8" s="2250" t="s">
        <v>6814</v>
      </c>
      <c r="D8" s="2270">
        <f>固定资产加速折旧审核表!D9</f>
        <v>0</v>
      </c>
      <c r="E8" s="2276">
        <f>固定资产加速折旧审核表!E9</f>
        <v>0</v>
      </c>
      <c r="F8" s="2270">
        <f>固定资产加速折旧审核表!F9</f>
        <v>0</v>
      </c>
      <c r="G8" s="2276">
        <f>固定资产加速折旧审核表!G9</f>
        <v>0</v>
      </c>
      <c r="H8" s="2270">
        <f>固定资产加速折旧审核表!H9</f>
        <v>0</v>
      </c>
      <c r="I8" s="2276">
        <f>固定资产加速折旧审核表!I9</f>
        <v>0</v>
      </c>
      <c r="J8" s="2270">
        <f>固定资产加速折旧审核表!J9</f>
        <v>0</v>
      </c>
      <c r="K8" s="2276">
        <f>固定资产加速折旧审核表!K9</f>
        <v>0</v>
      </c>
      <c r="L8" s="2270">
        <f>固定资产加速折旧审核表!L9</f>
        <v>0</v>
      </c>
      <c r="M8" s="2276">
        <f>固定资产加速折旧审核表!M9</f>
        <v>0</v>
      </c>
      <c r="N8" s="2270">
        <f>固定资产加速折旧审核表!N9</f>
        <v>0</v>
      </c>
      <c r="O8" s="2276">
        <f>固定资产加速折旧审核表!O9</f>
        <v>0</v>
      </c>
      <c r="P8" s="2270">
        <f>固定资产加速折旧审核表!P9</f>
        <v>0</v>
      </c>
      <c r="Q8" s="2280">
        <f>固定资产加速折旧审核表!Q9</f>
        <v>0</v>
      </c>
      <c r="R8" s="2280" t="str">
        <f>固定资产加速折旧审核表!R9</f>
        <v>*</v>
      </c>
      <c r="S8" s="2280">
        <f>固定资产加速折旧审核表!S9</f>
        <v>0</v>
      </c>
      <c r="T8" s="2280">
        <f>固定资产加速折旧审核表!T9</f>
        <v>0</v>
      </c>
      <c r="U8" s="2276" t="str">
        <f>固定资产加速折旧审核表!U9</f>
        <v>*</v>
      </c>
    </row>
    <row r="9" spans="1:22" s="1537" customFormat="1" ht="16.5" customHeight="1">
      <c r="A9" s="2249">
        <v>4</v>
      </c>
      <c r="B9" s="3444" t="s">
        <v>6815</v>
      </c>
      <c r="C9" s="3443"/>
      <c r="D9" s="2270">
        <f>固定资产加速折旧审核表!D10</f>
        <v>0</v>
      </c>
      <c r="E9" s="2276">
        <f>固定资产加速折旧审核表!E10</f>
        <v>0</v>
      </c>
      <c r="F9" s="2270">
        <f>固定资产加速折旧审核表!F10</f>
        <v>0</v>
      </c>
      <c r="G9" s="2276">
        <f>固定资产加速折旧审核表!G10</f>
        <v>0</v>
      </c>
      <c r="H9" s="2270">
        <f>固定资产加速折旧审核表!H10</f>
        <v>0</v>
      </c>
      <c r="I9" s="2276">
        <f>固定资产加速折旧审核表!I10</f>
        <v>0</v>
      </c>
      <c r="J9" s="2270">
        <f>固定资产加速折旧审核表!J10</f>
        <v>0</v>
      </c>
      <c r="K9" s="2276">
        <f>固定资产加速折旧审核表!K10</f>
        <v>0</v>
      </c>
      <c r="L9" s="2270">
        <f>固定资产加速折旧审核表!L10</f>
        <v>0</v>
      </c>
      <c r="M9" s="2276">
        <f>固定资产加速折旧审核表!M10</f>
        <v>0</v>
      </c>
      <c r="N9" s="2270">
        <f>固定资产加速折旧审核表!N10</f>
        <v>0</v>
      </c>
      <c r="O9" s="2276">
        <f>固定资产加速折旧审核表!O10</f>
        <v>0</v>
      </c>
      <c r="P9" s="2270">
        <f>固定资产加速折旧审核表!P10</f>
        <v>0</v>
      </c>
      <c r="Q9" s="2280">
        <f>固定资产加速折旧审核表!Q10</f>
        <v>0</v>
      </c>
      <c r="R9" s="2280">
        <f>固定资产加速折旧审核表!R10</f>
        <v>0</v>
      </c>
      <c r="S9" s="2280">
        <f>固定资产加速折旧审核表!S10</f>
        <v>0</v>
      </c>
      <c r="T9" s="2280">
        <f>固定资产加速折旧审核表!T10</f>
        <v>0</v>
      </c>
      <c r="U9" s="2276">
        <f>固定资产加速折旧审核表!U10</f>
        <v>0</v>
      </c>
      <c r="V9" s="1675" t="s">
        <v>561</v>
      </c>
    </row>
    <row r="10" spans="1:22" s="1537" customFormat="1" ht="16.5" customHeight="1">
      <c r="A10" s="2249">
        <v>5</v>
      </c>
      <c r="B10" s="3444" t="s">
        <v>6816</v>
      </c>
      <c r="C10" s="2250" t="s">
        <v>6813</v>
      </c>
      <c r="D10" s="2270">
        <f>固定资产加速折旧审核表!D11</f>
        <v>0</v>
      </c>
      <c r="E10" s="2276">
        <f>固定资产加速折旧审核表!E11</f>
        <v>0</v>
      </c>
      <c r="F10" s="2270">
        <f>固定资产加速折旧审核表!F11</f>
        <v>0</v>
      </c>
      <c r="G10" s="2276">
        <f>固定资产加速折旧审核表!G11</f>
        <v>0</v>
      </c>
      <c r="H10" s="2270">
        <f>固定资产加速折旧审核表!H11</f>
        <v>0</v>
      </c>
      <c r="I10" s="2276">
        <f>固定资产加速折旧审核表!I11</f>
        <v>0</v>
      </c>
      <c r="J10" s="2270">
        <f>固定资产加速折旧审核表!J11</f>
        <v>0</v>
      </c>
      <c r="K10" s="2276">
        <f>固定资产加速折旧审核表!K11</f>
        <v>0</v>
      </c>
      <c r="L10" s="2270">
        <f>固定资产加速折旧审核表!L11</f>
        <v>0</v>
      </c>
      <c r="M10" s="2276">
        <f>固定资产加速折旧审核表!M11</f>
        <v>0</v>
      </c>
      <c r="N10" s="2270">
        <f>固定资产加速折旧审核表!N11</f>
        <v>0</v>
      </c>
      <c r="O10" s="2276">
        <f>固定资产加速折旧审核表!O11</f>
        <v>0</v>
      </c>
      <c r="P10" s="2270">
        <f>固定资产加速折旧审核表!P11</f>
        <v>0</v>
      </c>
      <c r="Q10" s="2280" t="str">
        <f>固定资产加速折旧审核表!Q11</f>
        <v>*</v>
      </c>
      <c r="R10" s="2280">
        <f>固定资产加速折旧审核表!R11</f>
        <v>0</v>
      </c>
      <c r="S10" s="2280">
        <f>固定资产加速折旧审核表!S11</f>
        <v>0</v>
      </c>
      <c r="T10" s="2280" t="str">
        <f>固定资产加速折旧审核表!T11</f>
        <v>*</v>
      </c>
      <c r="U10" s="2276">
        <f>固定资产加速折旧审核表!U11</f>
        <v>0</v>
      </c>
    </row>
    <row r="11" spans="1:22" s="1537" customFormat="1" ht="16.5" customHeight="1">
      <c r="A11" s="2249">
        <v>6</v>
      </c>
      <c r="B11" s="3444"/>
      <c r="C11" s="2250" t="s">
        <v>6814</v>
      </c>
      <c r="D11" s="2270">
        <f>固定资产加速折旧审核表!D12</f>
        <v>0</v>
      </c>
      <c r="E11" s="2276">
        <f>固定资产加速折旧审核表!E12</f>
        <v>0</v>
      </c>
      <c r="F11" s="2270">
        <f>固定资产加速折旧审核表!F12</f>
        <v>0</v>
      </c>
      <c r="G11" s="2276">
        <f>固定资产加速折旧审核表!G12</f>
        <v>0</v>
      </c>
      <c r="H11" s="2270">
        <f>固定资产加速折旧审核表!H12</f>
        <v>0</v>
      </c>
      <c r="I11" s="2276">
        <f>固定资产加速折旧审核表!I12</f>
        <v>0</v>
      </c>
      <c r="J11" s="2270">
        <f>固定资产加速折旧审核表!J12</f>
        <v>0</v>
      </c>
      <c r="K11" s="2276">
        <f>固定资产加速折旧审核表!K12</f>
        <v>0</v>
      </c>
      <c r="L11" s="2270">
        <f>固定资产加速折旧审核表!L12</f>
        <v>0</v>
      </c>
      <c r="M11" s="2276">
        <f>固定资产加速折旧审核表!M12</f>
        <v>0</v>
      </c>
      <c r="N11" s="2270">
        <f>固定资产加速折旧审核表!N12</f>
        <v>0</v>
      </c>
      <c r="O11" s="2276">
        <f>固定资产加速折旧审核表!O12</f>
        <v>0</v>
      </c>
      <c r="P11" s="2270">
        <f>固定资产加速折旧审核表!P12</f>
        <v>0</v>
      </c>
      <c r="Q11" s="2280">
        <f>固定资产加速折旧审核表!Q12</f>
        <v>0</v>
      </c>
      <c r="R11" s="2280" t="str">
        <f>固定资产加速折旧审核表!R12</f>
        <v>*</v>
      </c>
      <c r="S11" s="2280">
        <f>固定资产加速折旧审核表!S12</f>
        <v>0</v>
      </c>
      <c r="T11" s="2280">
        <f>固定资产加速折旧审核表!T12</f>
        <v>0</v>
      </c>
      <c r="U11" s="2276" t="str">
        <f>固定资产加速折旧审核表!U12</f>
        <v>*</v>
      </c>
      <c r="V11" s="1675" t="s">
        <v>6443</v>
      </c>
    </row>
    <row r="12" spans="1:22" s="1537" customFormat="1" ht="16.5" customHeight="1">
      <c r="A12" s="2249">
        <v>7</v>
      </c>
      <c r="B12" s="3444" t="s">
        <v>6817</v>
      </c>
      <c r="C12" s="3443"/>
      <c r="D12" s="2270">
        <f>固定资产加速折旧审核表!D13</f>
        <v>0</v>
      </c>
      <c r="E12" s="2276">
        <f>固定资产加速折旧审核表!E13</f>
        <v>0</v>
      </c>
      <c r="F12" s="2270">
        <f>固定资产加速折旧审核表!F13</f>
        <v>0</v>
      </c>
      <c r="G12" s="2276">
        <f>固定资产加速折旧审核表!G13</f>
        <v>0</v>
      </c>
      <c r="H12" s="2270">
        <f>固定资产加速折旧审核表!H13</f>
        <v>0</v>
      </c>
      <c r="I12" s="2276">
        <f>固定资产加速折旧审核表!I13</f>
        <v>0</v>
      </c>
      <c r="J12" s="2270">
        <f>固定资产加速折旧审核表!J13</f>
        <v>0</v>
      </c>
      <c r="K12" s="2276">
        <f>固定资产加速折旧审核表!K13</f>
        <v>0</v>
      </c>
      <c r="L12" s="2270">
        <f>固定资产加速折旧审核表!L13</f>
        <v>0</v>
      </c>
      <c r="M12" s="2276">
        <f>固定资产加速折旧审核表!M13</f>
        <v>0</v>
      </c>
      <c r="N12" s="2270">
        <f>固定资产加速折旧审核表!N13</f>
        <v>0</v>
      </c>
      <c r="O12" s="2276">
        <f>固定资产加速折旧审核表!O13</f>
        <v>0</v>
      </c>
      <c r="P12" s="2270">
        <f>固定资产加速折旧审核表!P13</f>
        <v>0</v>
      </c>
      <c r="Q12" s="2280">
        <f>固定资产加速折旧审核表!Q13</f>
        <v>0</v>
      </c>
      <c r="R12" s="2280">
        <f>固定资产加速折旧审核表!R13</f>
        <v>0</v>
      </c>
      <c r="S12" s="2280">
        <f>固定资产加速折旧审核表!S13</f>
        <v>0</v>
      </c>
      <c r="T12" s="2280">
        <f>固定资产加速折旧审核表!T13</f>
        <v>0</v>
      </c>
      <c r="U12" s="2276">
        <f>固定资产加速折旧审核表!U13</f>
        <v>0</v>
      </c>
    </row>
    <row r="13" spans="1:22" s="1537" customFormat="1" ht="16.5" customHeight="1">
      <c r="A13" s="2249">
        <v>8</v>
      </c>
      <c r="B13" s="3425" t="s">
        <v>6818</v>
      </c>
      <c r="C13" s="3458"/>
      <c r="D13" s="2270">
        <f>固定资产加速折旧审核表!D14</f>
        <v>0</v>
      </c>
      <c r="E13" s="2276">
        <f>固定资产加速折旧审核表!E14</f>
        <v>0</v>
      </c>
      <c r="F13" s="2270">
        <f>固定资产加速折旧审核表!F14</f>
        <v>0</v>
      </c>
      <c r="G13" s="2276">
        <f>固定资产加速折旧审核表!G14</f>
        <v>0</v>
      </c>
      <c r="H13" s="2270">
        <f>固定资产加速折旧审核表!H14</f>
        <v>0</v>
      </c>
      <c r="I13" s="2276">
        <f>固定资产加速折旧审核表!I14</f>
        <v>0</v>
      </c>
      <c r="J13" s="2270">
        <f>固定资产加速折旧审核表!J14</f>
        <v>0</v>
      </c>
      <c r="K13" s="2276">
        <f>固定资产加速折旧审核表!K14</f>
        <v>0</v>
      </c>
      <c r="L13" s="2270">
        <f>固定资产加速折旧审核表!L14</f>
        <v>0</v>
      </c>
      <c r="M13" s="2276">
        <f>固定资产加速折旧审核表!M14</f>
        <v>0</v>
      </c>
      <c r="N13" s="2270">
        <f>固定资产加速折旧审核表!N14</f>
        <v>0</v>
      </c>
      <c r="O13" s="2276">
        <f>固定资产加速折旧审核表!O14</f>
        <v>0</v>
      </c>
      <c r="P13" s="2270">
        <f>固定资产加速折旧审核表!P14</f>
        <v>0</v>
      </c>
      <c r="Q13" s="2280">
        <f>固定资产加速折旧审核表!Q14</f>
        <v>0</v>
      </c>
      <c r="R13" s="2280">
        <f>固定资产加速折旧审核表!R14</f>
        <v>0</v>
      </c>
      <c r="S13" s="2280">
        <f>固定资产加速折旧审核表!S14</f>
        <v>0</v>
      </c>
      <c r="T13" s="2280">
        <f>固定资产加速折旧审核表!T14</f>
        <v>0</v>
      </c>
      <c r="U13" s="2276">
        <f>固定资产加速折旧审核表!U14</f>
        <v>0</v>
      </c>
      <c r="V13" s="1675" t="s">
        <v>6442</v>
      </c>
    </row>
    <row r="14" spans="1:22" s="1537" customFormat="1" ht="16.5" customHeight="1">
      <c r="A14" s="2249">
        <v>9</v>
      </c>
      <c r="B14" s="3950">
        <f>固定资产加速折旧审核表!B15</f>
        <v>0</v>
      </c>
      <c r="C14" s="2250" t="s">
        <v>6813</v>
      </c>
      <c r="D14" s="2270">
        <f>固定资产加速折旧审核表!D15</f>
        <v>0</v>
      </c>
      <c r="E14" s="2276">
        <f>固定资产加速折旧审核表!E15</f>
        <v>0</v>
      </c>
      <c r="F14" s="2270">
        <f>固定资产加速折旧审核表!F15</f>
        <v>0</v>
      </c>
      <c r="G14" s="2276">
        <f>固定资产加速折旧审核表!G15</f>
        <v>0</v>
      </c>
      <c r="H14" s="2270">
        <f>固定资产加速折旧审核表!H15</f>
        <v>0</v>
      </c>
      <c r="I14" s="2276">
        <f>固定资产加速折旧审核表!I15</f>
        <v>0</v>
      </c>
      <c r="J14" s="2270">
        <f>固定资产加速折旧审核表!J15</f>
        <v>0</v>
      </c>
      <c r="K14" s="2276">
        <f>固定资产加速折旧审核表!K15</f>
        <v>0</v>
      </c>
      <c r="L14" s="2270">
        <f>固定资产加速折旧审核表!L15</f>
        <v>0</v>
      </c>
      <c r="M14" s="2276">
        <f>固定资产加速折旧审核表!M15</f>
        <v>0</v>
      </c>
      <c r="N14" s="2270">
        <f>固定资产加速折旧审核表!N15</f>
        <v>0</v>
      </c>
      <c r="O14" s="2276">
        <f>固定资产加速折旧审核表!O15</f>
        <v>0</v>
      </c>
      <c r="P14" s="2270">
        <f>固定资产加速折旧审核表!P15</f>
        <v>0</v>
      </c>
      <c r="Q14" s="2280" t="str">
        <f>固定资产加速折旧审核表!Q15</f>
        <v>*</v>
      </c>
      <c r="R14" s="2280">
        <f>固定资产加速折旧审核表!R15</f>
        <v>0</v>
      </c>
      <c r="S14" s="2280">
        <f>固定资产加速折旧审核表!S15</f>
        <v>0</v>
      </c>
      <c r="T14" s="2280" t="str">
        <f>固定资产加速折旧审核表!T15</f>
        <v>*</v>
      </c>
      <c r="U14" s="2276">
        <f>固定资产加速折旧审核表!U15</f>
        <v>0</v>
      </c>
    </row>
    <row r="15" spans="1:22" s="1537" customFormat="1" ht="16.5" customHeight="1">
      <c r="A15" s="2249">
        <v>10</v>
      </c>
      <c r="B15" s="3951"/>
      <c r="C15" s="2250" t="s">
        <v>6814</v>
      </c>
      <c r="D15" s="2270">
        <f>固定资产加速折旧审核表!D16</f>
        <v>0</v>
      </c>
      <c r="E15" s="2276">
        <f>固定资产加速折旧审核表!E16</f>
        <v>0</v>
      </c>
      <c r="F15" s="2270">
        <f>固定资产加速折旧审核表!F16</f>
        <v>0</v>
      </c>
      <c r="G15" s="2276">
        <f>固定资产加速折旧审核表!G16</f>
        <v>0</v>
      </c>
      <c r="H15" s="2270">
        <f>固定资产加速折旧审核表!H16</f>
        <v>0</v>
      </c>
      <c r="I15" s="2276">
        <f>固定资产加速折旧审核表!I16</f>
        <v>0</v>
      </c>
      <c r="J15" s="2270">
        <f>固定资产加速折旧审核表!J16</f>
        <v>0</v>
      </c>
      <c r="K15" s="2276">
        <f>固定资产加速折旧审核表!K16</f>
        <v>0</v>
      </c>
      <c r="L15" s="2270">
        <f>固定资产加速折旧审核表!L16</f>
        <v>0</v>
      </c>
      <c r="M15" s="2276">
        <f>固定资产加速折旧审核表!M16</f>
        <v>0</v>
      </c>
      <c r="N15" s="2270">
        <f>固定资产加速折旧审核表!N16</f>
        <v>0</v>
      </c>
      <c r="O15" s="2276">
        <f>固定资产加速折旧审核表!O16</f>
        <v>0</v>
      </c>
      <c r="P15" s="2270">
        <f>固定资产加速折旧审核表!P16</f>
        <v>0</v>
      </c>
      <c r="Q15" s="2280">
        <f>固定资产加速折旧审核表!Q16</f>
        <v>0</v>
      </c>
      <c r="R15" s="2280" t="str">
        <f>固定资产加速折旧审核表!R16</f>
        <v>*</v>
      </c>
      <c r="S15" s="2280">
        <f>固定资产加速折旧审核表!S16</f>
        <v>0</v>
      </c>
      <c r="T15" s="2280">
        <f>固定资产加速折旧审核表!T16</f>
        <v>0</v>
      </c>
      <c r="U15" s="2276" t="str">
        <f>固定资产加速折旧审核表!U16</f>
        <v>*</v>
      </c>
    </row>
    <row r="16" spans="1:22" s="1537" customFormat="1" ht="16.5" customHeight="1">
      <c r="A16" s="2249">
        <v>11</v>
      </c>
      <c r="B16" s="3423" t="s">
        <v>6819</v>
      </c>
      <c r="C16" s="3424"/>
      <c r="D16" s="2270">
        <f>固定资产加速折旧审核表!D17</f>
        <v>0</v>
      </c>
      <c r="E16" s="2276">
        <f>固定资产加速折旧审核表!E17</f>
        <v>0</v>
      </c>
      <c r="F16" s="2270">
        <f>固定资产加速折旧审核表!F17</f>
        <v>0</v>
      </c>
      <c r="G16" s="2276">
        <f>固定资产加速折旧审核表!G17</f>
        <v>0</v>
      </c>
      <c r="H16" s="2270">
        <f>固定资产加速折旧审核表!H17</f>
        <v>0</v>
      </c>
      <c r="I16" s="2276">
        <f>固定资产加速折旧审核表!I17</f>
        <v>0</v>
      </c>
      <c r="J16" s="2270">
        <f>固定资产加速折旧审核表!J17</f>
        <v>0</v>
      </c>
      <c r="K16" s="2276">
        <f>固定资产加速折旧审核表!K17</f>
        <v>0</v>
      </c>
      <c r="L16" s="2270">
        <f>固定资产加速折旧审核表!L17</f>
        <v>0</v>
      </c>
      <c r="M16" s="2276">
        <f>固定资产加速折旧审核表!M17</f>
        <v>0</v>
      </c>
      <c r="N16" s="2270">
        <f>固定资产加速折旧审核表!N17</f>
        <v>0</v>
      </c>
      <c r="O16" s="2276">
        <f>固定资产加速折旧审核表!O17</f>
        <v>0</v>
      </c>
      <c r="P16" s="2270">
        <f>固定资产加速折旧审核表!P17</f>
        <v>0</v>
      </c>
      <c r="Q16" s="2280">
        <f>固定资产加速折旧审核表!Q17</f>
        <v>0</v>
      </c>
      <c r="R16" s="2280">
        <f>固定资产加速折旧审核表!R17</f>
        <v>0</v>
      </c>
      <c r="S16" s="2280">
        <f>固定资产加速折旧审核表!S17</f>
        <v>0</v>
      </c>
      <c r="T16" s="2280">
        <f>固定资产加速折旧审核表!T17</f>
        <v>0</v>
      </c>
      <c r="U16" s="2276">
        <f>固定资产加速折旧审核表!U17</f>
        <v>0</v>
      </c>
    </row>
    <row r="17" spans="1:21" s="1537" customFormat="1" ht="16.5" customHeight="1">
      <c r="A17" s="2249">
        <v>12</v>
      </c>
      <c r="B17" s="3425" t="s">
        <v>6820</v>
      </c>
      <c r="C17" s="2250" t="s">
        <v>6813</v>
      </c>
      <c r="D17" s="2270">
        <f>固定资产加速折旧审核表!D18</f>
        <v>0</v>
      </c>
      <c r="E17" s="2276">
        <f>固定资产加速折旧审核表!E18</f>
        <v>0</v>
      </c>
      <c r="F17" s="2270">
        <f>固定资产加速折旧审核表!F18</f>
        <v>0</v>
      </c>
      <c r="G17" s="2276">
        <f>固定资产加速折旧审核表!G18</f>
        <v>0</v>
      </c>
      <c r="H17" s="2270">
        <f>固定资产加速折旧审核表!H18</f>
        <v>0</v>
      </c>
      <c r="I17" s="2276">
        <f>固定资产加速折旧审核表!I18</f>
        <v>0</v>
      </c>
      <c r="J17" s="2270">
        <f>固定资产加速折旧审核表!J18</f>
        <v>0</v>
      </c>
      <c r="K17" s="2276">
        <f>固定资产加速折旧审核表!K18</f>
        <v>0</v>
      </c>
      <c r="L17" s="2270">
        <f>固定资产加速折旧审核表!L18</f>
        <v>0</v>
      </c>
      <c r="M17" s="2276">
        <f>固定资产加速折旧审核表!M18</f>
        <v>0</v>
      </c>
      <c r="N17" s="2270">
        <f>固定资产加速折旧审核表!N18</f>
        <v>0</v>
      </c>
      <c r="O17" s="2276">
        <f>固定资产加速折旧审核表!O18</f>
        <v>0</v>
      </c>
      <c r="P17" s="2270">
        <f>固定资产加速折旧审核表!P18</f>
        <v>0</v>
      </c>
      <c r="Q17" s="2280" t="str">
        <f>固定资产加速折旧审核表!Q18</f>
        <v>*</v>
      </c>
      <c r="R17" s="2280">
        <f>固定资产加速折旧审核表!R18</f>
        <v>0</v>
      </c>
      <c r="S17" s="2280">
        <f>固定资产加速折旧审核表!S18</f>
        <v>0</v>
      </c>
      <c r="T17" s="2280" t="str">
        <f>固定资产加速折旧审核表!T18</f>
        <v>*</v>
      </c>
      <c r="U17" s="2276">
        <f>固定资产加速折旧审核表!U18</f>
        <v>0</v>
      </c>
    </row>
    <row r="18" spans="1:21" s="1537" customFormat="1" ht="16.5" customHeight="1">
      <c r="A18" s="2249">
        <v>13</v>
      </c>
      <c r="B18" s="3425"/>
      <c r="C18" s="2250" t="s">
        <v>6814</v>
      </c>
      <c r="D18" s="2270">
        <f>固定资产加速折旧审核表!D19</f>
        <v>0</v>
      </c>
      <c r="E18" s="2276">
        <f>固定资产加速折旧审核表!E19</f>
        <v>0</v>
      </c>
      <c r="F18" s="2270">
        <f>固定资产加速折旧审核表!F19</f>
        <v>0</v>
      </c>
      <c r="G18" s="2276">
        <f>固定资产加速折旧审核表!G19</f>
        <v>0</v>
      </c>
      <c r="H18" s="2270">
        <f>固定资产加速折旧审核表!H19</f>
        <v>0</v>
      </c>
      <c r="I18" s="2276">
        <f>固定资产加速折旧审核表!I19</f>
        <v>0</v>
      </c>
      <c r="J18" s="2270">
        <f>固定资产加速折旧审核表!J19</f>
        <v>0</v>
      </c>
      <c r="K18" s="2276">
        <f>固定资产加速折旧审核表!K19</f>
        <v>0</v>
      </c>
      <c r="L18" s="2270">
        <f>固定资产加速折旧审核表!L19</f>
        <v>0</v>
      </c>
      <c r="M18" s="2276">
        <f>固定资产加速折旧审核表!M19</f>
        <v>0</v>
      </c>
      <c r="N18" s="2270">
        <f>固定资产加速折旧审核表!N19</f>
        <v>0</v>
      </c>
      <c r="O18" s="2276">
        <f>固定资产加速折旧审核表!O19</f>
        <v>0</v>
      </c>
      <c r="P18" s="2270">
        <f>固定资产加速折旧审核表!P19</f>
        <v>0</v>
      </c>
      <c r="Q18" s="2280">
        <f>固定资产加速折旧审核表!Q19</f>
        <v>0</v>
      </c>
      <c r="R18" s="2280" t="str">
        <f>固定资产加速折旧审核表!R19</f>
        <v>*</v>
      </c>
      <c r="S18" s="2280">
        <f>固定资产加速折旧审核表!S19</f>
        <v>0</v>
      </c>
      <c r="T18" s="2280">
        <f>固定资产加速折旧审核表!T19</f>
        <v>0</v>
      </c>
      <c r="U18" s="2276" t="str">
        <f>固定资产加速折旧审核表!U19</f>
        <v>*</v>
      </c>
    </row>
    <row r="19" spans="1:21" ht="18" customHeight="1">
      <c r="A19" s="2246">
        <v>14</v>
      </c>
      <c r="B19" s="3426" t="s">
        <v>6821</v>
      </c>
      <c r="C19" s="3427"/>
      <c r="D19" s="2277">
        <f>固定资产加速折旧审核表!D20</f>
        <v>0</v>
      </c>
      <c r="E19" s="2278">
        <f>固定资产加速折旧审核表!E20</f>
        <v>0</v>
      </c>
      <c r="F19" s="2277">
        <f>固定资产加速折旧审核表!F20</f>
        <v>0</v>
      </c>
      <c r="G19" s="2278">
        <f>固定资产加速折旧审核表!G20</f>
        <v>0</v>
      </c>
      <c r="H19" s="2277">
        <f>固定资产加速折旧审核表!H20</f>
        <v>0</v>
      </c>
      <c r="I19" s="2278">
        <f>固定资产加速折旧审核表!I20</f>
        <v>0</v>
      </c>
      <c r="J19" s="2277">
        <f>固定资产加速折旧审核表!J20</f>
        <v>0</v>
      </c>
      <c r="K19" s="2278">
        <f>固定资产加速折旧审核表!K20</f>
        <v>0</v>
      </c>
      <c r="L19" s="2277">
        <f>固定资产加速折旧审核表!L20</f>
        <v>0</v>
      </c>
      <c r="M19" s="2278">
        <f>固定资产加速折旧审核表!M20</f>
        <v>0</v>
      </c>
      <c r="N19" s="2277">
        <f>固定资产加速折旧审核表!N20</f>
        <v>0</v>
      </c>
      <c r="O19" s="2278">
        <f>固定资产加速折旧审核表!O20</f>
        <v>0</v>
      </c>
      <c r="P19" s="2277">
        <f>固定资产加速折旧审核表!P20</f>
        <v>0</v>
      </c>
      <c r="Q19" s="2281">
        <f>固定资产加速折旧审核表!Q20</f>
        <v>0</v>
      </c>
      <c r="R19" s="2281">
        <f>固定资产加速折旧审核表!R20</f>
        <v>0</v>
      </c>
      <c r="S19" s="2281">
        <f>固定资产加速折旧审核表!S20</f>
        <v>0</v>
      </c>
      <c r="T19" s="2281">
        <f>固定资产加速折旧审核表!T20</f>
        <v>0</v>
      </c>
      <c r="U19" s="2278">
        <f>固定资产加速折旧审核表!U20</f>
        <v>0</v>
      </c>
    </row>
    <row r="20" spans="1:21">
      <c r="A20" s="2237">
        <v>15</v>
      </c>
      <c r="B20" s="3428" t="s">
        <v>6822</v>
      </c>
      <c r="C20" s="3429"/>
      <c r="D20" s="3429"/>
      <c r="E20" s="3429"/>
      <c r="F20" s="3429"/>
      <c r="G20" s="3429"/>
      <c r="H20" s="3429"/>
      <c r="I20" s="3429"/>
      <c r="J20" s="3429"/>
      <c r="K20" s="3429"/>
      <c r="L20" s="3429"/>
      <c r="M20" s="3429"/>
      <c r="N20" s="3429"/>
      <c r="O20" s="3429"/>
      <c r="P20" s="3430"/>
      <c r="Q20" s="3430"/>
      <c r="R20" s="3430"/>
      <c r="S20" s="3430"/>
      <c r="T20" s="3430"/>
      <c r="U20" s="3431"/>
    </row>
    <row r="21" spans="1:21" ht="16.5" customHeight="1">
      <c r="A21" s="2248">
        <v>16</v>
      </c>
      <c r="B21" s="3432" t="s">
        <v>6823</v>
      </c>
      <c r="C21" s="3433"/>
      <c r="D21" s="2262">
        <f>固定资产加速折旧审核表!D22</f>
        <v>0</v>
      </c>
      <c r="E21" s="2275">
        <f>固定资产加速折旧审核表!E22</f>
        <v>0</v>
      </c>
      <c r="F21" s="2262">
        <f>固定资产加速折旧审核表!F22</f>
        <v>0</v>
      </c>
      <c r="G21" s="2275">
        <f>固定资产加速折旧审核表!G22</f>
        <v>0</v>
      </c>
      <c r="H21" s="2262">
        <f>固定资产加速折旧审核表!H22</f>
        <v>0</v>
      </c>
      <c r="I21" s="2275">
        <f>固定资产加速折旧审核表!I22</f>
        <v>0</v>
      </c>
      <c r="J21" s="2262">
        <f>固定资产加速折旧审核表!J22</f>
        <v>0</v>
      </c>
      <c r="K21" s="2275">
        <f>固定资产加速折旧审核表!K22</f>
        <v>0</v>
      </c>
      <c r="L21" s="2262">
        <f>固定资产加速折旧审核表!L22</f>
        <v>0</v>
      </c>
      <c r="M21" s="2275">
        <f>固定资产加速折旧审核表!M22</f>
        <v>0</v>
      </c>
      <c r="N21" s="2262">
        <f>固定资产加速折旧审核表!N22</f>
        <v>0</v>
      </c>
      <c r="O21" s="2275">
        <f>固定资产加速折旧审核表!O22</f>
        <v>0</v>
      </c>
      <c r="P21" s="2262">
        <f>固定资产加速折旧审核表!P22</f>
        <v>0</v>
      </c>
      <c r="Q21" s="2279">
        <f>固定资产加速折旧审核表!Q22</f>
        <v>0</v>
      </c>
      <c r="R21" s="2279">
        <f>固定资产加速折旧审核表!R22</f>
        <v>0</v>
      </c>
      <c r="S21" s="2279">
        <f>固定资产加速折旧审核表!S22</f>
        <v>0</v>
      </c>
      <c r="T21" s="2279">
        <f>固定资产加速折旧审核表!T22</f>
        <v>0</v>
      </c>
      <c r="U21" s="2275">
        <f>固定资产加速折旧审核表!U22</f>
        <v>0</v>
      </c>
    </row>
    <row r="22" spans="1:21" ht="16.5" customHeight="1">
      <c r="A22" s="2249">
        <v>17</v>
      </c>
      <c r="B22" s="3425" t="s">
        <v>6824</v>
      </c>
      <c r="C22" s="2250" t="s">
        <v>6813</v>
      </c>
      <c r="D22" s="2270">
        <f>固定资产加速折旧审核表!D23</f>
        <v>0</v>
      </c>
      <c r="E22" s="2276">
        <f>固定资产加速折旧审核表!E23</f>
        <v>0</v>
      </c>
      <c r="F22" s="2270">
        <f>固定资产加速折旧审核表!F23</f>
        <v>0</v>
      </c>
      <c r="G22" s="2276">
        <f>固定资产加速折旧审核表!G23</f>
        <v>0</v>
      </c>
      <c r="H22" s="2270">
        <f>固定资产加速折旧审核表!H23</f>
        <v>0</v>
      </c>
      <c r="I22" s="2276">
        <f>固定资产加速折旧审核表!I23</f>
        <v>0</v>
      </c>
      <c r="J22" s="2270">
        <f>固定资产加速折旧审核表!J23</f>
        <v>0</v>
      </c>
      <c r="K22" s="2276">
        <f>固定资产加速折旧审核表!K23</f>
        <v>0</v>
      </c>
      <c r="L22" s="2270">
        <f>固定资产加速折旧审核表!L23</f>
        <v>0</v>
      </c>
      <c r="M22" s="2276">
        <f>固定资产加速折旧审核表!M23</f>
        <v>0</v>
      </c>
      <c r="N22" s="2270">
        <f>固定资产加速折旧审核表!N23</f>
        <v>0</v>
      </c>
      <c r="O22" s="2276">
        <f>固定资产加速折旧审核表!O23</f>
        <v>0</v>
      </c>
      <c r="P22" s="2270">
        <f>固定资产加速折旧审核表!P23</f>
        <v>0</v>
      </c>
      <c r="Q22" s="2280" t="str">
        <f>固定资产加速折旧审核表!Q23</f>
        <v>*</v>
      </c>
      <c r="R22" s="2280">
        <f>固定资产加速折旧审核表!R23</f>
        <v>0</v>
      </c>
      <c r="S22" s="2280">
        <f>固定资产加速折旧审核表!S23</f>
        <v>0</v>
      </c>
      <c r="T22" s="2280" t="str">
        <f>固定资产加速折旧审核表!T23</f>
        <v>*</v>
      </c>
      <c r="U22" s="2276">
        <f>固定资产加速折旧审核表!U23</f>
        <v>0</v>
      </c>
    </row>
    <row r="23" spans="1:21" ht="16.5" customHeight="1">
      <c r="A23" s="2249">
        <v>18</v>
      </c>
      <c r="B23" s="3425"/>
      <c r="C23" s="2250" t="s">
        <v>6814</v>
      </c>
      <c r="D23" s="2270">
        <f>固定资产加速折旧审核表!D24</f>
        <v>0</v>
      </c>
      <c r="E23" s="2276">
        <f>固定资产加速折旧审核表!E24</f>
        <v>0</v>
      </c>
      <c r="F23" s="2270">
        <f>固定资产加速折旧审核表!F24</f>
        <v>0</v>
      </c>
      <c r="G23" s="2276">
        <f>固定资产加速折旧审核表!G24</f>
        <v>0</v>
      </c>
      <c r="H23" s="2270">
        <f>固定资产加速折旧审核表!H24</f>
        <v>0</v>
      </c>
      <c r="I23" s="2276">
        <f>固定资产加速折旧审核表!I24</f>
        <v>0</v>
      </c>
      <c r="J23" s="2270">
        <f>固定资产加速折旧审核表!J24</f>
        <v>0</v>
      </c>
      <c r="K23" s="2276">
        <f>固定资产加速折旧审核表!K24</f>
        <v>0</v>
      </c>
      <c r="L23" s="2270">
        <f>固定资产加速折旧审核表!L24</f>
        <v>0</v>
      </c>
      <c r="M23" s="2276">
        <f>固定资产加速折旧审核表!M24</f>
        <v>0</v>
      </c>
      <c r="N23" s="2270">
        <f>固定资产加速折旧审核表!N24</f>
        <v>0</v>
      </c>
      <c r="O23" s="2276">
        <f>固定资产加速折旧审核表!O24</f>
        <v>0</v>
      </c>
      <c r="P23" s="2270">
        <f>固定资产加速折旧审核表!P24</f>
        <v>0</v>
      </c>
      <c r="Q23" s="2280">
        <f>固定资产加速折旧审核表!Q24</f>
        <v>0</v>
      </c>
      <c r="R23" s="2280" t="str">
        <f>固定资产加速折旧审核表!R24</f>
        <v>*</v>
      </c>
      <c r="S23" s="2280">
        <f>固定资产加速折旧审核表!S24</f>
        <v>0</v>
      </c>
      <c r="T23" s="2280">
        <f>固定资产加速折旧审核表!T24</f>
        <v>0</v>
      </c>
      <c r="U23" s="2276" t="str">
        <f>固定资产加速折旧审核表!U24</f>
        <v>*</v>
      </c>
    </row>
    <row r="24" spans="1:21" ht="16.5" customHeight="1">
      <c r="A24" s="2249">
        <v>19</v>
      </c>
      <c r="B24" s="3423" t="s">
        <v>6825</v>
      </c>
      <c r="C24" s="3424"/>
      <c r="D24" s="2270">
        <f>固定资产加速折旧审核表!D25</f>
        <v>0</v>
      </c>
      <c r="E24" s="2276">
        <f>固定资产加速折旧审核表!E25</f>
        <v>0</v>
      </c>
      <c r="F24" s="2270">
        <f>固定资产加速折旧审核表!F25</f>
        <v>0</v>
      </c>
      <c r="G24" s="2276">
        <f>固定资产加速折旧审核表!G25</f>
        <v>0</v>
      </c>
      <c r="H24" s="2270">
        <f>固定资产加速折旧审核表!H25</f>
        <v>0</v>
      </c>
      <c r="I24" s="2276">
        <f>固定资产加速折旧审核表!I25</f>
        <v>0</v>
      </c>
      <c r="J24" s="2270">
        <f>固定资产加速折旧审核表!J25</f>
        <v>0</v>
      </c>
      <c r="K24" s="2276">
        <f>固定资产加速折旧审核表!K25</f>
        <v>0</v>
      </c>
      <c r="L24" s="2270">
        <f>固定资产加速折旧审核表!L25</f>
        <v>0</v>
      </c>
      <c r="M24" s="2276">
        <f>固定资产加速折旧审核表!M25</f>
        <v>0</v>
      </c>
      <c r="N24" s="2270">
        <f>固定资产加速折旧审核表!N25</f>
        <v>0</v>
      </c>
      <c r="O24" s="2276">
        <f>固定资产加速折旧审核表!O25</f>
        <v>0</v>
      </c>
      <c r="P24" s="2270">
        <f>固定资产加速折旧审核表!P25</f>
        <v>0</v>
      </c>
      <c r="Q24" s="2280">
        <f>固定资产加速折旧审核表!Q25</f>
        <v>0</v>
      </c>
      <c r="R24" s="2280">
        <f>固定资产加速折旧审核表!R25</f>
        <v>0</v>
      </c>
      <c r="S24" s="2280">
        <f>固定资产加速折旧审核表!S25</f>
        <v>0</v>
      </c>
      <c r="T24" s="2280">
        <f>固定资产加速折旧审核表!T25</f>
        <v>0</v>
      </c>
      <c r="U24" s="2276">
        <f>固定资产加速折旧审核表!U25</f>
        <v>0</v>
      </c>
    </row>
    <row r="25" spans="1:21" ht="16.5" customHeight="1">
      <c r="A25" s="2249">
        <v>20</v>
      </c>
      <c r="B25" s="3425" t="s">
        <v>6824</v>
      </c>
      <c r="C25" s="2250" t="s">
        <v>6813</v>
      </c>
      <c r="D25" s="2270">
        <f>固定资产加速折旧审核表!D26</f>
        <v>0</v>
      </c>
      <c r="E25" s="2276">
        <f>固定资产加速折旧审核表!E26</f>
        <v>0</v>
      </c>
      <c r="F25" s="2270">
        <f>固定资产加速折旧审核表!F26</f>
        <v>0</v>
      </c>
      <c r="G25" s="2276">
        <f>固定资产加速折旧审核表!G26</f>
        <v>0</v>
      </c>
      <c r="H25" s="2270">
        <f>固定资产加速折旧审核表!H26</f>
        <v>0</v>
      </c>
      <c r="I25" s="2276">
        <f>固定资产加速折旧审核表!I26</f>
        <v>0</v>
      </c>
      <c r="J25" s="2270">
        <f>固定资产加速折旧审核表!J26</f>
        <v>0</v>
      </c>
      <c r="K25" s="2276">
        <f>固定资产加速折旧审核表!K26</f>
        <v>0</v>
      </c>
      <c r="L25" s="2270">
        <f>固定资产加速折旧审核表!L26</f>
        <v>0</v>
      </c>
      <c r="M25" s="2276">
        <f>固定资产加速折旧审核表!M26</f>
        <v>0</v>
      </c>
      <c r="N25" s="2270">
        <f>固定资产加速折旧审核表!N26</f>
        <v>0</v>
      </c>
      <c r="O25" s="2276">
        <f>固定资产加速折旧审核表!O26</f>
        <v>0</v>
      </c>
      <c r="P25" s="2270">
        <f>固定资产加速折旧审核表!P26</f>
        <v>0</v>
      </c>
      <c r="Q25" s="2280" t="str">
        <f>固定资产加速折旧审核表!Q26</f>
        <v>*</v>
      </c>
      <c r="R25" s="2280">
        <f>固定资产加速折旧审核表!R26</f>
        <v>0</v>
      </c>
      <c r="S25" s="2280">
        <f>固定资产加速折旧审核表!S26</f>
        <v>0</v>
      </c>
      <c r="T25" s="2280" t="str">
        <f>固定资产加速折旧审核表!T26</f>
        <v>*</v>
      </c>
      <c r="U25" s="2276">
        <f>固定资产加速折旧审核表!U26</f>
        <v>0</v>
      </c>
    </row>
    <row r="26" spans="1:21" ht="16.5" customHeight="1">
      <c r="A26" s="2249">
        <v>21</v>
      </c>
      <c r="B26" s="3425"/>
      <c r="C26" s="2250" t="s">
        <v>6814</v>
      </c>
      <c r="D26" s="2270">
        <f>固定资产加速折旧审核表!D27</f>
        <v>0</v>
      </c>
      <c r="E26" s="2276">
        <f>固定资产加速折旧审核表!E27</f>
        <v>0</v>
      </c>
      <c r="F26" s="2270">
        <f>固定资产加速折旧审核表!F27</f>
        <v>0</v>
      </c>
      <c r="G26" s="2276">
        <f>固定资产加速折旧审核表!G27</f>
        <v>0</v>
      </c>
      <c r="H26" s="2270">
        <f>固定资产加速折旧审核表!H27</f>
        <v>0</v>
      </c>
      <c r="I26" s="2276">
        <f>固定资产加速折旧审核表!I27</f>
        <v>0</v>
      </c>
      <c r="J26" s="2270">
        <f>固定资产加速折旧审核表!J27</f>
        <v>0</v>
      </c>
      <c r="K26" s="2276">
        <f>固定资产加速折旧审核表!K27</f>
        <v>0</v>
      </c>
      <c r="L26" s="2270">
        <f>固定资产加速折旧审核表!L27</f>
        <v>0</v>
      </c>
      <c r="M26" s="2276">
        <f>固定资产加速折旧审核表!M27</f>
        <v>0</v>
      </c>
      <c r="N26" s="2270">
        <f>固定资产加速折旧审核表!N27</f>
        <v>0</v>
      </c>
      <c r="O26" s="2276">
        <f>固定资产加速折旧审核表!O27</f>
        <v>0</v>
      </c>
      <c r="P26" s="2270">
        <f>固定资产加速折旧审核表!P27</f>
        <v>0</v>
      </c>
      <c r="Q26" s="2280">
        <f>固定资产加速折旧审核表!Q27</f>
        <v>0</v>
      </c>
      <c r="R26" s="2280" t="str">
        <f>固定资产加速折旧审核表!R27</f>
        <v>*</v>
      </c>
      <c r="S26" s="2280">
        <f>固定资产加速折旧审核表!S27</f>
        <v>0</v>
      </c>
      <c r="T26" s="2280">
        <f>固定资产加速折旧审核表!T27</f>
        <v>0</v>
      </c>
      <c r="U26" s="2276" t="str">
        <f>固定资产加速折旧审核表!U27</f>
        <v>*</v>
      </c>
    </row>
    <row r="27" spans="1:21" ht="16.5" customHeight="1">
      <c r="A27" s="2249">
        <v>22</v>
      </c>
      <c r="B27" s="3423" t="s">
        <v>6826</v>
      </c>
      <c r="C27" s="3424"/>
      <c r="D27" s="2270">
        <f>固定资产加速折旧审核表!D28</f>
        <v>0</v>
      </c>
      <c r="E27" s="2276">
        <f>固定资产加速折旧审核表!E28</f>
        <v>0</v>
      </c>
      <c r="F27" s="2270">
        <f>固定资产加速折旧审核表!F28</f>
        <v>0</v>
      </c>
      <c r="G27" s="2276">
        <f>固定资产加速折旧审核表!G28</f>
        <v>0</v>
      </c>
      <c r="H27" s="2270">
        <f>固定资产加速折旧审核表!H28</f>
        <v>0</v>
      </c>
      <c r="I27" s="2276">
        <f>固定资产加速折旧审核表!I28</f>
        <v>0</v>
      </c>
      <c r="J27" s="2270">
        <f>固定资产加速折旧审核表!J28</f>
        <v>0</v>
      </c>
      <c r="K27" s="2276">
        <f>固定资产加速折旧审核表!K28</f>
        <v>0</v>
      </c>
      <c r="L27" s="2270">
        <f>固定资产加速折旧审核表!L28</f>
        <v>0</v>
      </c>
      <c r="M27" s="2276">
        <f>固定资产加速折旧审核表!M28</f>
        <v>0</v>
      </c>
      <c r="N27" s="2270">
        <f>固定资产加速折旧审核表!N28</f>
        <v>0</v>
      </c>
      <c r="O27" s="2276">
        <f>固定资产加速折旧审核表!O28</f>
        <v>0</v>
      </c>
      <c r="P27" s="2270">
        <f>固定资产加速折旧审核表!P28</f>
        <v>0</v>
      </c>
      <c r="Q27" s="2280">
        <f>固定资产加速折旧审核表!Q28</f>
        <v>0</v>
      </c>
      <c r="R27" s="2280">
        <f>固定资产加速折旧审核表!R28</f>
        <v>0</v>
      </c>
      <c r="S27" s="2280">
        <f>固定资产加速折旧审核表!S28</f>
        <v>0</v>
      </c>
      <c r="T27" s="2280">
        <f>固定资产加速折旧审核表!T28</f>
        <v>0</v>
      </c>
      <c r="U27" s="2276">
        <f>固定资产加速折旧审核表!U28</f>
        <v>0</v>
      </c>
    </row>
    <row r="28" spans="1:21" ht="16.5" customHeight="1">
      <c r="A28" s="2249">
        <v>23</v>
      </c>
      <c r="B28" s="3425" t="s">
        <v>6824</v>
      </c>
      <c r="C28" s="2250" t="s">
        <v>6813</v>
      </c>
      <c r="D28" s="2270">
        <f>固定资产加速折旧审核表!D29</f>
        <v>0</v>
      </c>
      <c r="E28" s="2276">
        <f>固定资产加速折旧审核表!E29</f>
        <v>0</v>
      </c>
      <c r="F28" s="2270">
        <f>固定资产加速折旧审核表!F29</f>
        <v>0</v>
      </c>
      <c r="G28" s="2276">
        <f>固定资产加速折旧审核表!G29</f>
        <v>0</v>
      </c>
      <c r="H28" s="2270">
        <f>固定资产加速折旧审核表!H29</f>
        <v>0</v>
      </c>
      <c r="I28" s="2276">
        <f>固定资产加速折旧审核表!I29</f>
        <v>0</v>
      </c>
      <c r="J28" s="2270">
        <f>固定资产加速折旧审核表!J29</f>
        <v>0</v>
      </c>
      <c r="K28" s="2276">
        <f>固定资产加速折旧审核表!K29</f>
        <v>0</v>
      </c>
      <c r="L28" s="2270">
        <f>固定资产加速折旧审核表!L29</f>
        <v>0</v>
      </c>
      <c r="M28" s="2276">
        <f>固定资产加速折旧审核表!M29</f>
        <v>0</v>
      </c>
      <c r="N28" s="2270">
        <f>固定资产加速折旧审核表!N29</f>
        <v>0</v>
      </c>
      <c r="O28" s="2276">
        <f>固定资产加速折旧审核表!O29</f>
        <v>0</v>
      </c>
      <c r="P28" s="2270">
        <f>固定资产加速折旧审核表!P29</f>
        <v>0</v>
      </c>
      <c r="Q28" s="2280" t="str">
        <f>固定资产加速折旧审核表!Q29</f>
        <v>*</v>
      </c>
      <c r="R28" s="2280">
        <f>固定资产加速折旧审核表!R29</f>
        <v>0</v>
      </c>
      <c r="S28" s="2280">
        <f>固定资产加速折旧审核表!S29</f>
        <v>0</v>
      </c>
      <c r="T28" s="2280" t="str">
        <f>固定资产加速折旧审核表!T29</f>
        <v>*</v>
      </c>
      <c r="U28" s="2276">
        <f>固定资产加速折旧审核表!U29</f>
        <v>0</v>
      </c>
    </row>
    <row r="29" spans="1:21" ht="16.5" customHeight="1">
      <c r="A29" s="2249">
        <v>24</v>
      </c>
      <c r="B29" s="3425"/>
      <c r="C29" s="2250" t="s">
        <v>6814</v>
      </c>
      <c r="D29" s="2270">
        <f>固定资产加速折旧审核表!D30</f>
        <v>0</v>
      </c>
      <c r="E29" s="2276">
        <f>固定资产加速折旧审核表!E30</f>
        <v>0</v>
      </c>
      <c r="F29" s="2270">
        <f>固定资产加速折旧审核表!F30</f>
        <v>0</v>
      </c>
      <c r="G29" s="2276">
        <f>固定资产加速折旧审核表!G30</f>
        <v>0</v>
      </c>
      <c r="H29" s="2270">
        <f>固定资产加速折旧审核表!H30</f>
        <v>0</v>
      </c>
      <c r="I29" s="2276">
        <f>固定资产加速折旧审核表!I30</f>
        <v>0</v>
      </c>
      <c r="J29" s="2270">
        <f>固定资产加速折旧审核表!J30</f>
        <v>0</v>
      </c>
      <c r="K29" s="2276">
        <f>固定资产加速折旧审核表!K30</f>
        <v>0</v>
      </c>
      <c r="L29" s="2270">
        <f>固定资产加速折旧审核表!L30</f>
        <v>0</v>
      </c>
      <c r="M29" s="2276">
        <f>固定资产加速折旧审核表!M30</f>
        <v>0</v>
      </c>
      <c r="N29" s="2270">
        <f>固定资产加速折旧审核表!N30</f>
        <v>0</v>
      </c>
      <c r="O29" s="2276">
        <f>固定资产加速折旧审核表!O30</f>
        <v>0</v>
      </c>
      <c r="P29" s="2270">
        <f>固定资产加速折旧审核表!P30</f>
        <v>0</v>
      </c>
      <c r="Q29" s="2280">
        <f>固定资产加速折旧审核表!Q30</f>
        <v>0</v>
      </c>
      <c r="R29" s="2280" t="str">
        <f>固定资产加速折旧审核表!R30</f>
        <v>*</v>
      </c>
      <c r="S29" s="2280">
        <f>固定资产加速折旧审核表!S30</f>
        <v>0</v>
      </c>
      <c r="T29" s="2280">
        <f>固定资产加速折旧审核表!T30</f>
        <v>0</v>
      </c>
      <c r="U29" s="2276" t="str">
        <f>固定资产加速折旧审核表!U30</f>
        <v>*</v>
      </c>
    </row>
    <row r="30" spans="1:21" ht="16.5" customHeight="1">
      <c r="A30" s="2249">
        <v>25</v>
      </c>
      <c r="B30" s="3423" t="s">
        <v>6827</v>
      </c>
      <c r="C30" s="3424"/>
      <c r="D30" s="2270">
        <f>固定资产加速折旧审核表!D31</f>
        <v>0</v>
      </c>
      <c r="E30" s="2276">
        <f>固定资产加速折旧审核表!E31</f>
        <v>0</v>
      </c>
      <c r="F30" s="2270">
        <f>固定资产加速折旧审核表!F31</f>
        <v>0</v>
      </c>
      <c r="G30" s="2276">
        <f>固定资产加速折旧审核表!G31</f>
        <v>0</v>
      </c>
      <c r="H30" s="2270">
        <f>固定资产加速折旧审核表!H31</f>
        <v>0</v>
      </c>
      <c r="I30" s="2276">
        <f>固定资产加速折旧审核表!I31</f>
        <v>0</v>
      </c>
      <c r="J30" s="2270">
        <f>固定资产加速折旧审核表!J31</f>
        <v>0</v>
      </c>
      <c r="K30" s="2276">
        <f>固定资产加速折旧审核表!K31</f>
        <v>0</v>
      </c>
      <c r="L30" s="2270">
        <f>固定资产加速折旧审核表!L31</f>
        <v>0</v>
      </c>
      <c r="M30" s="2276">
        <f>固定资产加速折旧审核表!M31</f>
        <v>0</v>
      </c>
      <c r="N30" s="2270">
        <f>固定资产加速折旧审核表!N31</f>
        <v>0</v>
      </c>
      <c r="O30" s="2276">
        <f>固定资产加速折旧审核表!O31</f>
        <v>0</v>
      </c>
      <c r="P30" s="2270">
        <f>固定资产加速折旧审核表!P31</f>
        <v>0</v>
      </c>
      <c r="Q30" s="2280">
        <f>固定资产加速折旧审核表!Q31</f>
        <v>0</v>
      </c>
      <c r="R30" s="2280">
        <f>固定资产加速折旧审核表!R31</f>
        <v>0</v>
      </c>
      <c r="S30" s="2280">
        <f>固定资产加速折旧审核表!S31</f>
        <v>0</v>
      </c>
      <c r="T30" s="2280">
        <f>固定资产加速折旧审核表!T31</f>
        <v>0</v>
      </c>
      <c r="U30" s="2276">
        <f>固定资产加速折旧审核表!U31</f>
        <v>0</v>
      </c>
    </row>
    <row r="31" spans="1:21" ht="16.5" customHeight="1">
      <c r="A31" s="2249">
        <v>26</v>
      </c>
      <c r="B31" s="3425" t="s">
        <v>6824</v>
      </c>
      <c r="C31" s="2250" t="s">
        <v>6813</v>
      </c>
      <c r="D31" s="2270">
        <f>固定资产加速折旧审核表!D32</f>
        <v>0</v>
      </c>
      <c r="E31" s="2276">
        <f>固定资产加速折旧审核表!E32</f>
        <v>0</v>
      </c>
      <c r="F31" s="2270">
        <f>固定资产加速折旧审核表!F32</f>
        <v>0</v>
      </c>
      <c r="G31" s="2276">
        <f>固定资产加速折旧审核表!G32</f>
        <v>0</v>
      </c>
      <c r="H31" s="2270">
        <f>固定资产加速折旧审核表!H32</f>
        <v>0</v>
      </c>
      <c r="I31" s="2276">
        <f>固定资产加速折旧审核表!I32</f>
        <v>0</v>
      </c>
      <c r="J31" s="2270">
        <f>固定资产加速折旧审核表!J32</f>
        <v>0</v>
      </c>
      <c r="K31" s="2276">
        <f>固定资产加速折旧审核表!K32</f>
        <v>0</v>
      </c>
      <c r="L31" s="2270">
        <f>固定资产加速折旧审核表!L32</f>
        <v>0</v>
      </c>
      <c r="M31" s="2276">
        <f>固定资产加速折旧审核表!M32</f>
        <v>0</v>
      </c>
      <c r="N31" s="2270">
        <f>固定资产加速折旧审核表!N32</f>
        <v>0</v>
      </c>
      <c r="O31" s="2276">
        <f>固定资产加速折旧审核表!O32</f>
        <v>0</v>
      </c>
      <c r="P31" s="2270">
        <f>固定资产加速折旧审核表!P32</f>
        <v>0</v>
      </c>
      <c r="Q31" s="2280" t="str">
        <f>固定资产加速折旧审核表!Q32</f>
        <v>*</v>
      </c>
      <c r="R31" s="2280">
        <f>固定资产加速折旧审核表!R32</f>
        <v>0</v>
      </c>
      <c r="S31" s="2280">
        <f>固定资产加速折旧审核表!S32</f>
        <v>0</v>
      </c>
      <c r="T31" s="2280" t="str">
        <f>固定资产加速折旧审核表!T32</f>
        <v>*</v>
      </c>
      <c r="U31" s="2276">
        <f>固定资产加速折旧审核表!U32</f>
        <v>0</v>
      </c>
    </row>
    <row r="32" spans="1:21" ht="16.5" customHeight="1">
      <c r="A32" s="2249">
        <v>27</v>
      </c>
      <c r="B32" s="3425"/>
      <c r="C32" s="2250" t="s">
        <v>6814</v>
      </c>
      <c r="D32" s="2270">
        <f>固定资产加速折旧审核表!D33</f>
        <v>0</v>
      </c>
      <c r="E32" s="2276">
        <f>固定资产加速折旧审核表!E33</f>
        <v>0</v>
      </c>
      <c r="F32" s="2270">
        <f>固定资产加速折旧审核表!F33</f>
        <v>0</v>
      </c>
      <c r="G32" s="2276">
        <f>固定资产加速折旧审核表!G33</f>
        <v>0</v>
      </c>
      <c r="H32" s="2270">
        <f>固定资产加速折旧审核表!H33</f>
        <v>0</v>
      </c>
      <c r="I32" s="2276">
        <f>固定资产加速折旧审核表!I33</f>
        <v>0</v>
      </c>
      <c r="J32" s="2270">
        <f>固定资产加速折旧审核表!J33</f>
        <v>0</v>
      </c>
      <c r="K32" s="2276">
        <f>固定资产加速折旧审核表!K33</f>
        <v>0</v>
      </c>
      <c r="L32" s="2270">
        <f>固定资产加速折旧审核表!L33</f>
        <v>0</v>
      </c>
      <c r="M32" s="2276">
        <f>固定资产加速折旧审核表!M33</f>
        <v>0</v>
      </c>
      <c r="N32" s="2270">
        <f>固定资产加速折旧审核表!N33</f>
        <v>0</v>
      </c>
      <c r="O32" s="2276">
        <f>固定资产加速折旧审核表!O33</f>
        <v>0</v>
      </c>
      <c r="P32" s="2270">
        <f>固定资产加速折旧审核表!P33</f>
        <v>0</v>
      </c>
      <c r="Q32" s="2280">
        <f>固定资产加速折旧审核表!Q33</f>
        <v>0</v>
      </c>
      <c r="R32" s="2280" t="str">
        <f>固定资产加速折旧审核表!R33</f>
        <v>*</v>
      </c>
      <c r="S32" s="2280">
        <f>固定资产加速折旧审核表!S33</f>
        <v>0</v>
      </c>
      <c r="T32" s="2280">
        <f>固定资产加速折旧审核表!T33</f>
        <v>0</v>
      </c>
      <c r="U32" s="2276" t="str">
        <f>固定资产加速折旧审核表!U33</f>
        <v>*</v>
      </c>
    </row>
    <row r="33" spans="1:21" ht="18" customHeight="1">
      <c r="A33" s="2246">
        <v>35</v>
      </c>
      <c r="B33" s="3426" t="s">
        <v>6828</v>
      </c>
      <c r="C33" s="3427"/>
      <c r="D33" s="2277">
        <f>固定资产加速折旧审核表!D34</f>
        <v>0</v>
      </c>
      <c r="E33" s="2278">
        <f>固定资产加速折旧审核表!E34</f>
        <v>0</v>
      </c>
      <c r="F33" s="2277">
        <f>固定资产加速折旧审核表!F34</f>
        <v>0</v>
      </c>
      <c r="G33" s="2278">
        <f>固定资产加速折旧审核表!G34</f>
        <v>0</v>
      </c>
      <c r="H33" s="2277">
        <f>固定资产加速折旧审核表!H34</f>
        <v>0</v>
      </c>
      <c r="I33" s="2278">
        <f>固定资产加速折旧审核表!I34</f>
        <v>0</v>
      </c>
      <c r="J33" s="2277">
        <f>固定资产加速折旧审核表!J34</f>
        <v>0</v>
      </c>
      <c r="K33" s="2278">
        <f>固定资产加速折旧审核表!K34</f>
        <v>0</v>
      </c>
      <c r="L33" s="2277">
        <f>固定资产加速折旧审核表!L34</f>
        <v>0</v>
      </c>
      <c r="M33" s="2278">
        <f>固定资产加速折旧审核表!M34</f>
        <v>0</v>
      </c>
      <c r="N33" s="2277">
        <f>固定资产加速折旧审核表!N34</f>
        <v>0</v>
      </c>
      <c r="O33" s="2278">
        <f>固定资产加速折旧审核表!O34</f>
        <v>0</v>
      </c>
      <c r="P33" s="2277">
        <f>固定资产加速折旧审核表!P34</f>
        <v>0</v>
      </c>
      <c r="Q33" s="2281">
        <f>固定资产加速折旧审核表!Q34</f>
        <v>0</v>
      </c>
      <c r="R33" s="2281">
        <f>固定资产加速折旧审核表!R34</f>
        <v>0</v>
      </c>
      <c r="S33" s="2281">
        <f>固定资产加速折旧审核表!S34</f>
        <v>0</v>
      </c>
      <c r="T33" s="2281">
        <f>固定资产加速折旧审核表!T34</f>
        <v>0</v>
      </c>
      <c r="U33" s="2278">
        <f>固定资产加速折旧审核表!U34</f>
        <v>0</v>
      </c>
    </row>
    <row r="34" spans="1:21">
      <c r="A34" s="2000"/>
    </row>
  </sheetData>
  <mergeCells count="30">
    <mergeCell ref="B30:C30"/>
    <mergeCell ref="B31:B32"/>
    <mergeCell ref="B33:C33"/>
    <mergeCell ref="B22:B23"/>
    <mergeCell ref="B24:C24"/>
    <mergeCell ref="B25:B26"/>
    <mergeCell ref="B27:C27"/>
    <mergeCell ref="B28:B29"/>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16:C16"/>
    <mergeCell ref="P3:U3"/>
    <mergeCell ref="N3:O3"/>
    <mergeCell ref="L3:M3"/>
    <mergeCell ref="J3:K3"/>
    <mergeCell ref="H3:I3"/>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5.6"/>
  <cols>
    <col min="1" max="1" width="5.19921875" style="1558" customWidth="1"/>
    <col min="2" max="2" width="46.5" style="1558" customWidth="1"/>
    <col min="3" max="5" width="12.19921875" style="1558" customWidth="1"/>
    <col min="6" max="6" width="17.1992187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t="s">
        <v>5356</v>
      </c>
      <c r="B1" s="3460"/>
      <c r="C1" s="3460"/>
      <c r="D1" s="3460"/>
      <c r="E1" s="3460"/>
      <c r="F1" s="2014"/>
    </row>
    <row r="2" spans="1:9" s="1567" customFormat="1" ht="25.5" customHeight="1">
      <c r="A2" s="3401" t="s">
        <v>5357</v>
      </c>
      <c r="B2" s="3401"/>
      <c r="C2" s="3401"/>
      <c r="D2" s="3401"/>
      <c r="E2" s="3461"/>
      <c r="F2" s="1933"/>
    </row>
    <row r="3" spans="1:9" s="1560" customFormat="1" ht="14.25" customHeight="1">
      <c r="A3" s="3399" t="s">
        <v>1853</v>
      </c>
      <c r="B3" s="3399" t="s">
        <v>5358</v>
      </c>
      <c r="C3" s="1844" t="s">
        <v>1850</v>
      </c>
      <c r="D3" s="1844" t="s">
        <v>1851</v>
      </c>
      <c r="E3" s="1840" t="s">
        <v>5150</v>
      </c>
      <c r="F3" s="3399" t="s">
        <v>5151</v>
      </c>
    </row>
    <row r="4" spans="1:9" s="1560" customFormat="1" ht="14.25" customHeight="1">
      <c r="A4" s="3399"/>
      <c r="B4" s="3399"/>
      <c r="C4" s="1840">
        <v>1</v>
      </c>
      <c r="D4" s="1840" t="s">
        <v>5359</v>
      </c>
      <c r="E4" s="1823" t="s">
        <v>5360</v>
      </c>
      <c r="F4" s="3399"/>
    </row>
    <row r="5" spans="1:9" s="1560" customFormat="1" ht="14.25" customHeight="1">
      <c r="A5" s="1824">
        <v>1</v>
      </c>
      <c r="B5" s="1819" t="s">
        <v>5361</v>
      </c>
      <c r="C5" s="2072">
        <f>资产损失税前扣除审核表!C5</f>
        <v>0</v>
      </c>
      <c r="D5" s="2072">
        <f>资产损失税前扣除审核表!D5</f>
        <v>0</v>
      </c>
      <c r="E5" s="2072">
        <f>资产损失税前扣除审核表!E5</f>
        <v>0</v>
      </c>
      <c r="F5" s="1971"/>
    </row>
    <row r="6" spans="1:9" s="1560" customFormat="1" ht="26.25" customHeight="1">
      <c r="A6" s="1825">
        <v>2</v>
      </c>
      <c r="B6" s="1813" t="s">
        <v>5362</v>
      </c>
      <c r="C6" s="2072">
        <f>资产损失税前扣除审核表!C6</f>
        <v>0</v>
      </c>
      <c r="D6" s="2072">
        <f>资产损失税前扣除审核表!D6</f>
        <v>0</v>
      </c>
      <c r="E6" s="2072">
        <f>资产损失税前扣除审核表!E6</f>
        <v>0</v>
      </c>
      <c r="F6" s="1971"/>
      <c r="I6" s="1568" t="s">
        <v>5363</v>
      </c>
    </row>
    <row r="7" spans="1:9" s="1560" customFormat="1" ht="14.25" customHeight="1">
      <c r="A7" s="1824">
        <v>3</v>
      </c>
      <c r="B7" s="1819" t="s">
        <v>5364</v>
      </c>
      <c r="C7" s="2072">
        <f>资产损失税前扣除审核表!C7</f>
        <v>0</v>
      </c>
      <c r="D7" s="2072">
        <f>资产损失税前扣除审核表!D7</f>
        <v>0</v>
      </c>
      <c r="E7" s="2072">
        <f>资产损失税前扣除审核表!E7</f>
        <v>0</v>
      </c>
      <c r="F7" s="1972"/>
    </row>
    <row r="8" spans="1:9" s="1560" customFormat="1" ht="14.25" customHeight="1">
      <c r="A8" s="1824">
        <v>4</v>
      </c>
      <c r="B8" s="1819" t="s">
        <v>5365</v>
      </c>
      <c r="C8" s="2072">
        <f>资产损失税前扣除审核表!C8</f>
        <v>0</v>
      </c>
      <c r="D8" s="2072">
        <f>资产损失税前扣除审核表!D8</f>
        <v>0</v>
      </c>
      <c r="E8" s="2072">
        <f>资产损失税前扣除审核表!E8</f>
        <v>0</v>
      </c>
      <c r="F8" s="1971"/>
    </row>
    <row r="9" spans="1:9" s="1560" customFormat="1" ht="27" customHeight="1">
      <c r="A9" s="1825">
        <v>5</v>
      </c>
      <c r="B9" s="1813" t="s">
        <v>5366</v>
      </c>
      <c r="C9" s="2072">
        <f>资产损失税前扣除审核表!C9</f>
        <v>0</v>
      </c>
      <c r="D9" s="2072">
        <f>资产损失税前扣除审核表!D9</f>
        <v>0</v>
      </c>
      <c r="E9" s="2072">
        <f>资产损失税前扣除审核表!E9</f>
        <v>0</v>
      </c>
      <c r="F9" s="1971"/>
    </row>
    <row r="10" spans="1:9" s="1560" customFormat="1" ht="27" customHeight="1">
      <c r="A10" s="1825">
        <v>6</v>
      </c>
      <c r="B10" s="1813" t="s">
        <v>5367</v>
      </c>
      <c r="C10" s="2072">
        <f>资产损失税前扣除审核表!C10</f>
        <v>0</v>
      </c>
      <c r="D10" s="2072">
        <f>资产损失税前扣除审核表!D10</f>
        <v>0</v>
      </c>
      <c r="E10" s="2072">
        <f>资产损失税前扣除审核表!E10</f>
        <v>0</v>
      </c>
      <c r="F10" s="1971"/>
      <c r="G10" s="1675" t="s">
        <v>6445</v>
      </c>
    </row>
    <row r="11" spans="1:9" s="1560" customFormat="1" ht="14.25" customHeight="1">
      <c r="A11" s="1824">
        <v>7</v>
      </c>
      <c r="B11" s="1819" t="s">
        <v>5368</v>
      </c>
      <c r="C11" s="2072">
        <f>资产损失税前扣除审核表!C11</f>
        <v>0</v>
      </c>
      <c r="D11" s="2072">
        <f>资产损失税前扣除审核表!D11</f>
        <v>0</v>
      </c>
      <c r="E11" s="2072">
        <f>资产损失税前扣除审核表!E11</f>
        <v>0</v>
      </c>
      <c r="F11" s="1971"/>
    </row>
    <row r="12" spans="1:9" s="1560" customFormat="1" ht="14.25" customHeight="1">
      <c r="A12" s="1824">
        <v>8</v>
      </c>
      <c r="B12" s="1819" t="s">
        <v>5369</v>
      </c>
      <c r="C12" s="2072">
        <f>资产损失税前扣除审核表!C12</f>
        <v>0</v>
      </c>
      <c r="D12" s="2072">
        <f>资产损失税前扣除审核表!D12</f>
        <v>0</v>
      </c>
      <c r="E12" s="2072">
        <f>资产损失税前扣除审核表!E12</f>
        <v>0</v>
      </c>
      <c r="F12" s="1971"/>
      <c r="G12" s="1769" t="s">
        <v>6447</v>
      </c>
    </row>
    <row r="13" spans="1:9" s="1560" customFormat="1" ht="89.25" customHeight="1">
      <c r="A13" s="1824">
        <v>9</v>
      </c>
      <c r="B13" s="1819" t="s">
        <v>5370</v>
      </c>
      <c r="C13" s="2072">
        <f>资产损失税前扣除审核表!C13</f>
        <v>0</v>
      </c>
      <c r="D13" s="2072">
        <f>资产损失税前扣除审核表!D13</f>
        <v>0</v>
      </c>
      <c r="E13" s="2072">
        <f>资产损失税前扣除审核表!E13</f>
        <v>0</v>
      </c>
      <c r="F13" s="1973" t="s">
        <v>5371</v>
      </c>
      <c r="I13" s="1568"/>
    </row>
    <row r="14" spans="1:9" s="1560" customFormat="1" ht="93" customHeight="1">
      <c r="A14" s="1844">
        <v>10</v>
      </c>
      <c r="B14" s="1818" t="s">
        <v>5372</v>
      </c>
      <c r="C14" s="2072">
        <f>资产损失税前扣除审核表!C14</f>
        <v>0</v>
      </c>
      <c r="D14" s="2072">
        <f>资产损失税前扣除审核表!D14</f>
        <v>0</v>
      </c>
      <c r="E14" s="2072">
        <f>资产损失税前扣除审核表!E14</f>
        <v>0</v>
      </c>
      <c r="F14" s="1973" t="s">
        <v>5373</v>
      </c>
      <c r="I14" s="1568"/>
    </row>
    <row r="15" spans="1:9" s="1560" customFormat="1" ht="82.5" customHeight="1">
      <c r="A15" s="1844">
        <v>11</v>
      </c>
      <c r="B15" s="1809" t="s">
        <v>5374</v>
      </c>
      <c r="C15" s="2072">
        <f>资产损失税前扣除审核表!C15</f>
        <v>0</v>
      </c>
      <c r="D15" s="2072">
        <f>资产损失税前扣除审核表!D15</f>
        <v>0</v>
      </c>
      <c r="E15" s="2072">
        <f>资产损失税前扣除审核表!E15</f>
        <v>0</v>
      </c>
      <c r="F15" s="1973" t="s">
        <v>5375</v>
      </c>
      <c r="I15" s="1568"/>
    </row>
    <row r="16" spans="1:9" s="1560" customFormat="1" ht="87.75" customHeight="1">
      <c r="A16" s="1844">
        <v>12</v>
      </c>
      <c r="B16" s="1818" t="s">
        <v>5376</v>
      </c>
      <c r="C16" s="2072">
        <f>资产损失税前扣除审核表!C16</f>
        <v>0</v>
      </c>
      <c r="D16" s="2072">
        <f>资产损失税前扣除审核表!D16</f>
        <v>0</v>
      </c>
      <c r="E16" s="2072">
        <f>资产损失税前扣除审核表!E16</f>
        <v>0</v>
      </c>
      <c r="F16" s="1973" t="s">
        <v>5377</v>
      </c>
      <c r="I16" s="1568"/>
    </row>
    <row r="17" spans="1:9" s="1560" customFormat="1" ht="87" customHeight="1">
      <c r="A17" s="1844">
        <v>13</v>
      </c>
      <c r="B17" s="1818" t="s">
        <v>5378</v>
      </c>
      <c r="C17" s="2072">
        <f>资产损失税前扣除审核表!C17</f>
        <v>0</v>
      </c>
      <c r="D17" s="2072">
        <f>资产损失税前扣除审核表!D17</f>
        <v>0</v>
      </c>
      <c r="E17" s="2072">
        <f>资产损失税前扣除审核表!E17</f>
        <v>0</v>
      </c>
      <c r="F17" s="1973" t="s">
        <v>5379</v>
      </c>
      <c r="I17" s="1568"/>
    </row>
    <row r="18" spans="1:9" s="1560" customFormat="1" ht="110.25" customHeight="1">
      <c r="A18" s="1824">
        <v>14</v>
      </c>
      <c r="B18" s="1818" t="s">
        <v>5380</v>
      </c>
      <c r="C18" s="2072">
        <f>资产损失税前扣除审核表!C18</f>
        <v>0</v>
      </c>
      <c r="D18" s="2072">
        <f>资产损失税前扣除审核表!D18</f>
        <v>0</v>
      </c>
      <c r="E18" s="2072">
        <f>资产损失税前扣除审核表!E18</f>
        <v>0</v>
      </c>
      <c r="F18" s="1973" t="s">
        <v>5381</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t="s">
        <v>5382</v>
      </c>
      <c r="B1" s="3400"/>
      <c r="C1" s="3400"/>
      <c r="D1" s="3400"/>
      <c r="E1" s="3400"/>
      <c r="F1" s="3400"/>
      <c r="G1" s="3400"/>
      <c r="H1" s="3400"/>
      <c r="I1" s="2015"/>
    </row>
    <row r="2" spans="1:10" ht="25.5" customHeight="1">
      <c r="A2" s="3401" t="s">
        <v>5383</v>
      </c>
      <c r="B2" s="3401"/>
      <c r="C2" s="3401"/>
      <c r="D2" s="3401"/>
      <c r="E2" s="3401"/>
      <c r="F2" s="3401"/>
      <c r="G2" s="3401"/>
      <c r="H2" s="3401"/>
      <c r="I2" s="1834"/>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46">
        <v>1</v>
      </c>
      <c r="C5" s="1846">
        <v>2</v>
      </c>
      <c r="D5" s="1846">
        <v>3</v>
      </c>
      <c r="E5" s="1846">
        <v>4</v>
      </c>
      <c r="F5" s="1846">
        <v>5</v>
      </c>
      <c r="G5" s="1848" t="s">
        <v>5389</v>
      </c>
      <c r="H5" s="1848" t="s">
        <v>5390</v>
      </c>
      <c r="I5" s="1974"/>
    </row>
    <row r="6" spans="1:10" ht="84">
      <c r="A6" s="1846">
        <v>1</v>
      </c>
      <c r="B6" s="1829" t="s">
        <v>5391</v>
      </c>
      <c r="C6" s="2072">
        <f>'资产损失（专项申报）税前扣除审核表'!C6</f>
        <v>0</v>
      </c>
      <c r="D6" s="2072">
        <f>'资产损失（专项申报）税前扣除审核表'!D6</f>
        <v>0</v>
      </c>
      <c r="E6" s="2072">
        <f>'资产损失（专项申报）税前扣除审核表'!E6</f>
        <v>0</v>
      </c>
      <c r="F6" s="2072">
        <f>'资产损失（专项申报）税前扣除审核表'!F6</f>
        <v>0</v>
      </c>
      <c r="G6" s="2072">
        <f>'资产损失（专项申报）税前扣除审核表'!G6</f>
        <v>0</v>
      </c>
      <c r="H6" s="2072">
        <f>'资产损失（专项申报）税前扣除审核表'!H6</f>
        <v>0</v>
      </c>
      <c r="I6" s="1970" t="s">
        <v>5392</v>
      </c>
      <c r="J6" s="1572"/>
    </row>
    <row r="7" spans="1:10" ht="14.25" customHeight="1">
      <c r="A7" s="1846">
        <v>2</v>
      </c>
      <c r="B7" s="1934">
        <f>'资产损失（专项申报）税前扣除审核表'!B7</f>
        <v>0</v>
      </c>
      <c r="C7" s="2072">
        <f>'资产损失（专项申报）税前扣除审核表'!C7</f>
        <v>0</v>
      </c>
      <c r="D7" s="2072">
        <f>'资产损失（专项申报）税前扣除审核表'!D7</f>
        <v>0</v>
      </c>
      <c r="E7" s="2072">
        <f>'资产损失（专项申报）税前扣除审核表'!E7</f>
        <v>0</v>
      </c>
      <c r="F7" s="2072">
        <f>'资产损失（专项申报）税前扣除审核表'!F7</f>
        <v>0</v>
      </c>
      <c r="G7" s="2072">
        <f>'资产损失（专项申报）税前扣除审核表'!G7</f>
        <v>0</v>
      </c>
      <c r="H7" s="2072">
        <f>'资产损失（专项申报）税前扣除审核表'!H7</f>
        <v>0</v>
      </c>
      <c r="I7" s="1970"/>
      <c r="J7" s="1675" t="s">
        <v>6445</v>
      </c>
    </row>
    <row r="8" spans="1:10" ht="14.25" customHeight="1">
      <c r="A8" s="1846">
        <v>3</v>
      </c>
      <c r="B8" s="1934">
        <f>'资产损失（专项申报）税前扣除审核表'!B8</f>
        <v>0</v>
      </c>
      <c r="C8" s="2072">
        <f>'资产损失（专项申报）税前扣除审核表'!C8</f>
        <v>0</v>
      </c>
      <c r="D8" s="2072">
        <f>'资产损失（专项申报）税前扣除审核表'!D8</f>
        <v>0</v>
      </c>
      <c r="E8" s="2072">
        <f>'资产损失（专项申报）税前扣除审核表'!E8</f>
        <v>0</v>
      </c>
      <c r="F8" s="2072">
        <f>'资产损失（专项申报）税前扣除审核表'!F8</f>
        <v>0</v>
      </c>
      <c r="G8" s="2072">
        <f>'资产损失（专项申报）税前扣除审核表'!G8</f>
        <v>0</v>
      </c>
      <c r="H8" s="2072">
        <f>'资产损失（专项申报）税前扣除审核表'!H8</f>
        <v>0</v>
      </c>
      <c r="I8" s="1970"/>
    </row>
    <row r="9" spans="1:10" ht="14.25" customHeight="1">
      <c r="A9" s="1846">
        <v>4</v>
      </c>
      <c r="B9" s="1934">
        <f>'资产损失（专项申报）税前扣除审核表'!B9</f>
        <v>0</v>
      </c>
      <c r="C9" s="2072">
        <f>'资产损失（专项申报）税前扣除审核表'!C9</f>
        <v>0</v>
      </c>
      <c r="D9" s="2072">
        <f>'资产损失（专项申报）税前扣除审核表'!D9</f>
        <v>0</v>
      </c>
      <c r="E9" s="2072">
        <f>'资产损失（专项申报）税前扣除审核表'!E9</f>
        <v>0</v>
      </c>
      <c r="F9" s="2072">
        <f>'资产损失（专项申报）税前扣除审核表'!F9</f>
        <v>0</v>
      </c>
      <c r="G9" s="2072">
        <f>'资产损失（专项申报）税前扣除审核表'!G9</f>
        <v>0</v>
      </c>
      <c r="H9" s="2072">
        <f>'资产损失（专项申报）税前扣除审核表'!H9</f>
        <v>0</v>
      </c>
      <c r="I9" s="1970"/>
      <c r="J9" s="1769" t="s">
        <v>6447</v>
      </c>
    </row>
    <row r="10" spans="1:10" ht="14.25" customHeight="1">
      <c r="A10" s="1846">
        <v>5</v>
      </c>
      <c r="B10" s="1934">
        <f>'资产损失（专项申报）税前扣除审核表'!B10</f>
        <v>0</v>
      </c>
      <c r="C10" s="2072">
        <f>'资产损失（专项申报）税前扣除审核表'!C10</f>
        <v>0</v>
      </c>
      <c r="D10" s="2072">
        <f>'资产损失（专项申报）税前扣除审核表'!D10</f>
        <v>0</v>
      </c>
      <c r="E10" s="2072">
        <f>'资产损失（专项申报）税前扣除审核表'!E10</f>
        <v>0</v>
      </c>
      <c r="F10" s="2072">
        <f>'资产损失（专项申报）税前扣除审核表'!F10</f>
        <v>0</v>
      </c>
      <c r="G10" s="2072">
        <f>'资产损失（专项申报）税前扣除审核表'!G10</f>
        <v>0</v>
      </c>
      <c r="H10" s="2072">
        <f>'资产损失（专项申报）税前扣除审核表'!H10</f>
        <v>0</v>
      </c>
      <c r="I10" s="1970"/>
    </row>
    <row r="11" spans="1:10" ht="88.5" customHeight="1">
      <c r="A11" s="1846">
        <v>6</v>
      </c>
      <c r="B11" s="1995" t="s">
        <v>5393</v>
      </c>
      <c r="C11" s="2072">
        <f>'资产损失（专项申报）税前扣除审核表'!C11</f>
        <v>0</v>
      </c>
      <c r="D11" s="2072">
        <f>'资产损失（专项申报）税前扣除审核表'!D11</f>
        <v>0</v>
      </c>
      <c r="E11" s="2072">
        <f>'资产损失（专项申报）税前扣除审核表'!E11</f>
        <v>0</v>
      </c>
      <c r="F11" s="2072">
        <f>'资产损失（专项申报）税前扣除审核表'!F11</f>
        <v>0</v>
      </c>
      <c r="G11" s="2072">
        <f>'资产损失（专项申报）税前扣除审核表'!G11</f>
        <v>0</v>
      </c>
      <c r="H11" s="2072">
        <f>'资产损失（专项申报）税前扣除审核表'!H11</f>
        <v>0</v>
      </c>
      <c r="I11" s="1970" t="s">
        <v>5394</v>
      </c>
      <c r="J11" s="1575"/>
    </row>
    <row r="12" spans="1:10" ht="14.25" customHeight="1">
      <c r="A12" s="1846">
        <v>7</v>
      </c>
      <c r="B12" s="1934">
        <f>'资产损失（专项申报）税前扣除审核表'!B12</f>
        <v>0</v>
      </c>
      <c r="C12" s="2072">
        <f>'资产损失（专项申报）税前扣除审核表'!C12</f>
        <v>0</v>
      </c>
      <c r="D12" s="2072">
        <f>'资产损失（专项申报）税前扣除审核表'!D12</f>
        <v>0</v>
      </c>
      <c r="E12" s="2072">
        <f>'资产损失（专项申报）税前扣除审核表'!E12</f>
        <v>0</v>
      </c>
      <c r="F12" s="2072">
        <f>'资产损失（专项申报）税前扣除审核表'!F12</f>
        <v>0</v>
      </c>
      <c r="G12" s="2072">
        <f>'资产损失（专项申报）税前扣除审核表'!G12</f>
        <v>0</v>
      </c>
      <c r="H12" s="2072">
        <f>'资产损失（专项申报）税前扣除审核表'!H12</f>
        <v>0</v>
      </c>
      <c r="I12" s="1970"/>
    </row>
    <row r="13" spans="1:10" ht="14.25" customHeight="1">
      <c r="A13" s="1846">
        <v>8</v>
      </c>
      <c r="B13" s="1934">
        <f>'资产损失（专项申报）税前扣除审核表'!B13</f>
        <v>0</v>
      </c>
      <c r="C13" s="2072">
        <f>'资产损失（专项申报）税前扣除审核表'!C13</f>
        <v>0</v>
      </c>
      <c r="D13" s="2072">
        <f>'资产损失（专项申报）税前扣除审核表'!D13</f>
        <v>0</v>
      </c>
      <c r="E13" s="2072">
        <f>'资产损失（专项申报）税前扣除审核表'!E13</f>
        <v>0</v>
      </c>
      <c r="F13" s="2072">
        <f>'资产损失（专项申报）税前扣除审核表'!F13</f>
        <v>0</v>
      </c>
      <c r="G13" s="2072">
        <f>'资产损失（专项申报）税前扣除审核表'!G13</f>
        <v>0</v>
      </c>
      <c r="H13" s="2072">
        <f>'资产损失（专项申报）税前扣除审核表'!H13</f>
        <v>0</v>
      </c>
      <c r="I13" s="1970"/>
    </row>
    <row r="14" spans="1:10" ht="14.25" customHeight="1">
      <c r="A14" s="1846">
        <v>9</v>
      </c>
      <c r="B14" s="1934">
        <f>'资产损失（专项申报）税前扣除审核表'!B14</f>
        <v>0</v>
      </c>
      <c r="C14" s="2072">
        <f>'资产损失（专项申报）税前扣除审核表'!C14</f>
        <v>0</v>
      </c>
      <c r="D14" s="2072">
        <f>'资产损失（专项申报）税前扣除审核表'!D14</f>
        <v>0</v>
      </c>
      <c r="E14" s="2072">
        <f>'资产损失（专项申报）税前扣除审核表'!E14</f>
        <v>0</v>
      </c>
      <c r="F14" s="2072">
        <f>'资产损失（专项申报）税前扣除审核表'!F14</f>
        <v>0</v>
      </c>
      <c r="G14" s="2072">
        <f>'资产损失（专项申报）税前扣除审核表'!G14</f>
        <v>0</v>
      </c>
      <c r="H14" s="2072">
        <f>'资产损失（专项申报）税前扣除审核表'!H14</f>
        <v>0</v>
      </c>
      <c r="I14" s="1970"/>
    </row>
    <row r="15" spans="1:10" ht="14.25" customHeight="1">
      <c r="A15" s="1846">
        <v>10</v>
      </c>
      <c r="B15" s="1934">
        <f>'资产损失（专项申报）税前扣除审核表'!B15</f>
        <v>0</v>
      </c>
      <c r="C15" s="2072">
        <f>'资产损失（专项申报）税前扣除审核表'!C15</f>
        <v>0</v>
      </c>
      <c r="D15" s="2072">
        <f>'资产损失（专项申报）税前扣除审核表'!D15</f>
        <v>0</v>
      </c>
      <c r="E15" s="2072">
        <f>'资产损失（专项申报）税前扣除审核表'!E15</f>
        <v>0</v>
      </c>
      <c r="F15" s="2072">
        <f>'资产损失（专项申报）税前扣除审核表'!F15</f>
        <v>0</v>
      </c>
      <c r="G15" s="2072">
        <f>'资产损失（专项申报）税前扣除审核表'!G15</f>
        <v>0</v>
      </c>
      <c r="H15" s="2072">
        <f>'资产损失（专项申报）税前扣除审核表'!H15</f>
        <v>0</v>
      </c>
      <c r="I15" s="1970"/>
    </row>
    <row r="16" spans="1:10" ht="91.5" customHeight="1">
      <c r="A16" s="1846">
        <v>11</v>
      </c>
      <c r="B16" s="1995" t="s">
        <v>5395</v>
      </c>
      <c r="C16" s="2072">
        <f>'资产损失（专项申报）税前扣除审核表'!C16</f>
        <v>0</v>
      </c>
      <c r="D16" s="2072">
        <f>'资产损失（专项申报）税前扣除审核表'!D16</f>
        <v>0</v>
      </c>
      <c r="E16" s="2072">
        <f>'资产损失（专项申报）税前扣除审核表'!E16</f>
        <v>0</v>
      </c>
      <c r="F16" s="2072">
        <f>'资产损失（专项申报）税前扣除审核表'!F16</f>
        <v>0</v>
      </c>
      <c r="G16" s="2072">
        <f>'资产损失（专项申报）税前扣除审核表'!G16</f>
        <v>0</v>
      </c>
      <c r="H16" s="2072">
        <f>'资产损失（专项申报）税前扣除审核表'!H16</f>
        <v>0</v>
      </c>
      <c r="I16" s="1970" t="s">
        <v>5396</v>
      </c>
      <c r="J16" s="1575"/>
    </row>
    <row r="17" spans="1:10" ht="14.25" customHeight="1">
      <c r="A17" s="1846">
        <v>12</v>
      </c>
      <c r="B17" s="1934">
        <f>'资产损失（专项申报）税前扣除审核表'!B17</f>
        <v>0</v>
      </c>
      <c r="C17" s="2072">
        <f>'资产损失（专项申报）税前扣除审核表'!C17</f>
        <v>0</v>
      </c>
      <c r="D17" s="2072">
        <f>'资产损失（专项申报）税前扣除审核表'!D17</f>
        <v>0</v>
      </c>
      <c r="E17" s="2072">
        <f>'资产损失（专项申报）税前扣除审核表'!E17</f>
        <v>0</v>
      </c>
      <c r="F17" s="2072">
        <f>'资产损失（专项申报）税前扣除审核表'!F17</f>
        <v>0</v>
      </c>
      <c r="G17" s="2072">
        <f>'资产损失（专项申报）税前扣除审核表'!G17</f>
        <v>0</v>
      </c>
      <c r="H17" s="2072">
        <f>'资产损失（专项申报）税前扣除审核表'!H17</f>
        <v>0</v>
      </c>
      <c r="I17" s="1970"/>
    </row>
    <row r="18" spans="1:10" ht="14.25" customHeight="1">
      <c r="A18" s="1846">
        <v>13</v>
      </c>
      <c r="B18" s="1934">
        <f>'资产损失（专项申报）税前扣除审核表'!B18</f>
        <v>0</v>
      </c>
      <c r="C18" s="2072">
        <f>'资产损失（专项申报）税前扣除审核表'!C18</f>
        <v>0</v>
      </c>
      <c r="D18" s="2072">
        <f>'资产损失（专项申报）税前扣除审核表'!D18</f>
        <v>0</v>
      </c>
      <c r="E18" s="2072">
        <f>'资产损失（专项申报）税前扣除审核表'!E18</f>
        <v>0</v>
      </c>
      <c r="F18" s="2072">
        <f>'资产损失（专项申报）税前扣除审核表'!F18</f>
        <v>0</v>
      </c>
      <c r="G18" s="2072">
        <f>'资产损失（专项申报）税前扣除审核表'!G18</f>
        <v>0</v>
      </c>
      <c r="H18" s="2072">
        <f>'资产损失（专项申报）税前扣除审核表'!H18</f>
        <v>0</v>
      </c>
      <c r="I18" s="1970"/>
    </row>
    <row r="19" spans="1:10" ht="14.25" customHeight="1">
      <c r="A19" s="1846">
        <v>14</v>
      </c>
      <c r="B19" s="1934">
        <f>'资产损失（专项申报）税前扣除审核表'!B19</f>
        <v>0</v>
      </c>
      <c r="C19" s="2072">
        <f>'资产损失（专项申报）税前扣除审核表'!C19</f>
        <v>0</v>
      </c>
      <c r="D19" s="2072">
        <f>'资产损失（专项申报）税前扣除审核表'!D19</f>
        <v>0</v>
      </c>
      <c r="E19" s="2072">
        <f>'资产损失（专项申报）税前扣除审核表'!E19</f>
        <v>0</v>
      </c>
      <c r="F19" s="2072">
        <f>'资产损失（专项申报）税前扣除审核表'!F19</f>
        <v>0</v>
      </c>
      <c r="G19" s="2072">
        <f>'资产损失（专项申报）税前扣除审核表'!G19</f>
        <v>0</v>
      </c>
      <c r="H19" s="2072">
        <f>'资产损失（专项申报）税前扣除审核表'!H19</f>
        <v>0</v>
      </c>
      <c r="I19" s="1970"/>
    </row>
    <row r="20" spans="1:10" ht="14.25" customHeight="1">
      <c r="A20" s="1846">
        <v>15</v>
      </c>
      <c r="B20" s="1934">
        <f>'资产损失（专项申报）税前扣除审核表'!B20</f>
        <v>0</v>
      </c>
      <c r="C20" s="2072">
        <f>'资产损失（专项申报）税前扣除审核表'!C20</f>
        <v>0</v>
      </c>
      <c r="D20" s="2072">
        <f>'资产损失（专项申报）税前扣除审核表'!D20</f>
        <v>0</v>
      </c>
      <c r="E20" s="2072">
        <f>'资产损失（专项申报）税前扣除审核表'!E20</f>
        <v>0</v>
      </c>
      <c r="F20" s="2072">
        <f>'资产损失（专项申报）税前扣除审核表'!F20</f>
        <v>0</v>
      </c>
      <c r="G20" s="2072">
        <f>'资产损失（专项申报）税前扣除审核表'!G20</f>
        <v>0</v>
      </c>
      <c r="H20" s="2072">
        <f>'资产损失（专项申报）税前扣除审核表'!H20</f>
        <v>0</v>
      </c>
      <c r="I20" s="1970"/>
    </row>
    <row r="21" spans="1:10" ht="86.25" customHeight="1">
      <c r="A21" s="1846">
        <v>16</v>
      </c>
      <c r="B21" s="1995" t="s">
        <v>5397</v>
      </c>
      <c r="C21" s="2072">
        <f>'资产损失（专项申报）税前扣除审核表'!C21</f>
        <v>0</v>
      </c>
      <c r="D21" s="2072">
        <f>'资产损失（专项申报）税前扣除审核表'!D21</f>
        <v>0</v>
      </c>
      <c r="E21" s="2072">
        <f>'资产损失（专项申报）税前扣除审核表'!E21</f>
        <v>0</v>
      </c>
      <c r="F21" s="2072">
        <f>'资产损失（专项申报）税前扣除审核表'!F21</f>
        <v>0</v>
      </c>
      <c r="G21" s="2072">
        <f>'资产损失（专项申报）税前扣除审核表'!G21</f>
        <v>0</v>
      </c>
      <c r="H21" s="2072">
        <f>'资产损失（专项申报）税前扣除审核表'!H21</f>
        <v>0</v>
      </c>
      <c r="I21" s="1970" t="s">
        <v>5398</v>
      </c>
      <c r="J21" s="1575"/>
    </row>
    <row r="22" spans="1:10" ht="14.25" customHeight="1">
      <c r="A22" s="1846">
        <v>17</v>
      </c>
      <c r="B22" s="1934">
        <f>'资产损失（专项申报）税前扣除审核表'!B22</f>
        <v>0</v>
      </c>
      <c r="C22" s="2072">
        <f>'资产损失（专项申报）税前扣除审核表'!C22</f>
        <v>0</v>
      </c>
      <c r="D22" s="2072">
        <f>'资产损失（专项申报）税前扣除审核表'!D22</f>
        <v>0</v>
      </c>
      <c r="E22" s="2072">
        <f>'资产损失（专项申报）税前扣除审核表'!E22</f>
        <v>0</v>
      </c>
      <c r="F22" s="2072">
        <f>'资产损失（专项申报）税前扣除审核表'!F22</f>
        <v>0</v>
      </c>
      <c r="G22" s="2072">
        <f>'资产损失（专项申报）税前扣除审核表'!G22</f>
        <v>0</v>
      </c>
      <c r="H22" s="2072">
        <f>'资产损失（专项申报）税前扣除审核表'!H22</f>
        <v>0</v>
      </c>
      <c r="I22" s="1970"/>
    </row>
    <row r="23" spans="1:10" ht="14.25" customHeight="1">
      <c r="A23" s="1846">
        <v>18</v>
      </c>
      <c r="B23" s="1934">
        <f>'资产损失（专项申报）税前扣除审核表'!B23</f>
        <v>0</v>
      </c>
      <c r="C23" s="2072">
        <f>'资产损失（专项申报）税前扣除审核表'!C23</f>
        <v>0</v>
      </c>
      <c r="D23" s="2072">
        <f>'资产损失（专项申报）税前扣除审核表'!D23</f>
        <v>0</v>
      </c>
      <c r="E23" s="2072">
        <f>'资产损失（专项申报）税前扣除审核表'!E23</f>
        <v>0</v>
      </c>
      <c r="F23" s="2072">
        <f>'资产损失（专项申报）税前扣除审核表'!F23</f>
        <v>0</v>
      </c>
      <c r="G23" s="2072">
        <f>'资产损失（专项申报）税前扣除审核表'!G23</f>
        <v>0</v>
      </c>
      <c r="H23" s="2072">
        <f>'资产损失（专项申报）税前扣除审核表'!H23</f>
        <v>0</v>
      </c>
      <c r="I23" s="1970"/>
    </row>
    <row r="24" spans="1:10" ht="14.25" customHeight="1">
      <c r="A24" s="1846">
        <v>19</v>
      </c>
      <c r="B24" s="1934">
        <f>'资产损失（专项申报）税前扣除审核表'!B24</f>
        <v>0</v>
      </c>
      <c r="C24" s="2072">
        <f>'资产损失（专项申报）税前扣除审核表'!C24</f>
        <v>0</v>
      </c>
      <c r="D24" s="2072">
        <f>'资产损失（专项申报）税前扣除审核表'!D24</f>
        <v>0</v>
      </c>
      <c r="E24" s="2072">
        <f>'资产损失（专项申报）税前扣除审核表'!E24</f>
        <v>0</v>
      </c>
      <c r="F24" s="2072">
        <f>'资产损失（专项申报）税前扣除审核表'!F24</f>
        <v>0</v>
      </c>
      <c r="G24" s="2072">
        <f>'资产损失（专项申报）税前扣除审核表'!G24</f>
        <v>0</v>
      </c>
      <c r="H24" s="2072">
        <f>'资产损失（专项申报）税前扣除审核表'!H24</f>
        <v>0</v>
      </c>
      <c r="I24" s="1970"/>
    </row>
    <row r="25" spans="1:10" ht="87.75" customHeight="1">
      <c r="A25" s="1846">
        <v>20</v>
      </c>
      <c r="B25" s="1829" t="s">
        <v>5399</v>
      </c>
      <c r="C25" s="2072">
        <f>'资产损失（专项申报）税前扣除审核表'!C25</f>
        <v>0</v>
      </c>
      <c r="D25" s="2072">
        <f>'资产损失（专项申报）税前扣除审核表'!D25</f>
        <v>0</v>
      </c>
      <c r="E25" s="2072">
        <f>'资产损失（专项申报）税前扣除审核表'!E25</f>
        <v>0</v>
      </c>
      <c r="F25" s="2072">
        <f>'资产损失（专项申报）税前扣除审核表'!F25</f>
        <v>0</v>
      </c>
      <c r="G25" s="2072">
        <f>'资产损失（专项申报）税前扣除审核表'!G25</f>
        <v>0</v>
      </c>
      <c r="H25" s="2072">
        <f>'资产损失（专项申报）税前扣除审核表'!H25</f>
        <v>0</v>
      </c>
      <c r="I25" s="1970" t="s">
        <v>5400</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5.6"/>
  <cols>
    <col min="1" max="1" width="5.19921875" style="1558" customWidth="1"/>
    <col min="2" max="2" width="27.19921875" style="1558" customWidth="1"/>
    <col min="3" max="9" width="12.3984375" style="1558" customWidth="1"/>
    <col min="10" max="10" width="9.6992187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2" t="s">
        <v>5401</v>
      </c>
      <c r="B1" s="3462"/>
      <c r="C1" s="3462"/>
      <c r="D1" s="3462"/>
      <c r="E1" s="3462"/>
      <c r="F1" s="3462"/>
      <c r="G1" s="3462"/>
      <c r="H1" s="3462"/>
      <c r="I1" s="3462"/>
      <c r="J1" s="1992"/>
    </row>
    <row r="2" spans="1:11" ht="25.5" customHeight="1">
      <c r="A2" s="3401" t="s">
        <v>5402</v>
      </c>
      <c r="B2" s="3401"/>
      <c r="C2" s="3401"/>
      <c r="D2" s="3401"/>
      <c r="E2" s="3401"/>
      <c r="F2" s="3401"/>
      <c r="G2" s="3401"/>
      <c r="H2" s="3401"/>
      <c r="I2" s="3401"/>
      <c r="J2" s="1856"/>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40" t="s">
        <v>2342</v>
      </c>
      <c r="D4" s="1840" t="s">
        <v>1851</v>
      </c>
      <c r="E4" s="1840" t="s">
        <v>5150</v>
      </c>
      <c r="F4" s="1840" t="s">
        <v>2342</v>
      </c>
      <c r="G4" s="1840" t="s">
        <v>1851</v>
      </c>
      <c r="H4" s="1840" t="s">
        <v>5150</v>
      </c>
      <c r="I4" s="3406"/>
      <c r="J4" s="3406"/>
    </row>
    <row r="5" spans="1:11" ht="14.25" customHeight="1">
      <c r="A5" s="3404"/>
      <c r="B5" s="3404"/>
      <c r="C5" s="1840">
        <v>1</v>
      </c>
      <c r="D5" s="1840">
        <v>2</v>
      </c>
      <c r="E5" s="1840" t="s">
        <v>5405</v>
      </c>
      <c r="F5" s="1840">
        <v>4</v>
      </c>
      <c r="G5" s="1840">
        <v>5</v>
      </c>
      <c r="H5" s="1840" t="s">
        <v>5406</v>
      </c>
      <c r="I5" s="1840" t="s">
        <v>5407</v>
      </c>
      <c r="J5" s="1969"/>
    </row>
    <row r="6" spans="1:11" ht="14.25" customHeight="1">
      <c r="A6" s="1840">
        <v>1</v>
      </c>
      <c r="B6" s="1819" t="s">
        <v>5408</v>
      </c>
      <c r="C6" s="2072">
        <f>企业重组审核表!C6</f>
        <v>0</v>
      </c>
      <c r="D6" s="2072">
        <f>企业重组审核表!D6</f>
        <v>0</v>
      </c>
      <c r="E6" s="2072">
        <f>企业重组审核表!E6</f>
        <v>0</v>
      </c>
      <c r="F6" s="2072">
        <f>企业重组审核表!F6</f>
        <v>0</v>
      </c>
      <c r="G6" s="2072">
        <f>企业重组审核表!G6</f>
        <v>0</v>
      </c>
      <c r="H6" s="2072">
        <f>企业重组审核表!H6</f>
        <v>0</v>
      </c>
      <c r="I6" s="2072">
        <f>企业重组审核表!I6</f>
        <v>0</v>
      </c>
      <c r="J6" s="1969"/>
    </row>
    <row r="7" spans="1:11" ht="14.25" customHeight="1">
      <c r="A7" s="1840">
        <v>2</v>
      </c>
      <c r="B7" s="1819" t="s">
        <v>5409</v>
      </c>
      <c r="C7" s="2072">
        <f>企业重组审核表!C7</f>
        <v>0</v>
      </c>
      <c r="D7" s="2072">
        <f>企业重组审核表!D7</f>
        <v>0</v>
      </c>
      <c r="E7" s="2072">
        <f>企业重组审核表!E7</f>
        <v>0</v>
      </c>
      <c r="F7" s="2072">
        <f>企业重组审核表!F7</f>
        <v>0</v>
      </c>
      <c r="G7" s="2072">
        <f>企业重组审核表!G7</f>
        <v>0</v>
      </c>
      <c r="H7" s="2072">
        <f>企业重组审核表!H7</f>
        <v>0</v>
      </c>
      <c r="I7" s="2072">
        <f>企业重组审核表!I7</f>
        <v>0</v>
      </c>
      <c r="J7" s="1969"/>
    </row>
    <row r="8" spans="1:11" ht="14.25" customHeight="1">
      <c r="A8" s="1840">
        <v>3</v>
      </c>
      <c r="B8" s="1819" t="s">
        <v>5410</v>
      </c>
      <c r="C8" s="2072">
        <f>企业重组审核表!C8</f>
        <v>0</v>
      </c>
      <c r="D8" s="2072">
        <f>企业重组审核表!D8</f>
        <v>0</v>
      </c>
      <c r="E8" s="2072">
        <f>企业重组审核表!E8</f>
        <v>0</v>
      </c>
      <c r="F8" s="2072">
        <f>企业重组审核表!F8</f>
        <v>0</v>
      </c>
      <c r="G8" s="2072">
        <f>企业重组审核表!G8</f>
        <v>0</v>
      </c>
      <c r="H8" s="2072">
        <f>企业重组审核表!H8</f>
        <v>0</v>
      </c>
      <c r="I8" s="2072">
        <f>企业重组审核表!I8</f>
        <v>0</v>
      </c>
      <c r="J8" s="1969"/>
    </row>
    <row r="9" spans="1:11" ht="14.25" customHeight="1">
      <c r="A9" s="1840">
        <v>4</v>
      </c>
      <c r="B9" s="1819" t="s">
        <v>5411</v>
      </c>
      <c r="C9" s="2072">
        <f>企业重组审核表!C9</f>
        <v>0</v>
      </c>
      <c r="D9" s="2072">
        <f>企业重组审核表!D9</f>
        <v>0</v>
      </c>
      <c r="E9" s="2072">
        <f>企业重组审核表!E9</f>
        <v>0</v>
      </c>
      <c r="F9" s="2072">
        <f>企业重组审核表!F9</f>
        <v>0</v>
      </c>
      <c r="G9" s="2072">
        <f>企业重组审核表!G9</f>
        <v>0</v>
      </c>
      <c r="H9" s="2072">
        <f>企业重组审核表!H9</f>
        <v>0</v>
      </c>
      <c r="I9" s="2072">
        <f>企业重组审核表!I9</f>
        <v>0</v>
      </c>
      <c r="J9" s="1969"/>
    </row>
    <row r="10" spans="1:11" ht="14.25" customHeight="1">
      <c r="A10" s="1840">
        <v>5</v>
      </c>
      <c r="B10" s="1819" t="s">
        <v>5412</v>
      </c>
      <c r="C10" s="2072">
        <f>企业重组审核表!C10</f>
        <v>0</v>
      </c>
      <c r="D10" s="2072">
        <f>企业重组审核表!D10</f>
        <v>0</v>
      </c>
      <c r="E10" s="2072">
        <f>企业重组审核表!E10</f>
        <v>0</v>
      </c>
      <c r="F10" s="2072">
        <f>企业重组审核表!F10</f>
        <v>0</v>
      </c>
      <c r="G10" s="2072">
        <f>企业重组审核表!G10</f>
        <v>0</v>
      </c>
      <c r="H10" s="2072">
        <f>企业重组审核表!H10</f>
        <v>0</v>
      </c>
      <c r="I10" s="2072">
        <f>企业重组审核表!I10</f>
        <v>0</v>
      </c>
      <c r="J10" s="1969"/>
    </row>
    <row r="11" spans="1:11" ht="14.25" customHeight="1">
      <c r="A11" s="1840">
        <v>6</v>
      </c>
      <c r="B11" s="1819" t="s">
        <v>5413</v>
      </c>
      <c r="C11" s="2072">
        <f>企业重组审核表!C11</f>
        <v>0</v>
      </c>
      <c r="D11" s="2072">
        <f>企业重组审核表!D11</f>
        <v>0</v>
      </c>
      <c r="E11" s="2072">
        <f>企业重组审核表!E11</f>
        <v>0</v>
      </c>
      <c r="F11" s="2072">
        <f>企业重组审核表!F11</f>
        <v>0</v>
      </c>
      <c r="G11" s="2072">
        <f>企业重组审核表!G11</f>
        <v>0</v>
      </c>
      <c r="H11" s="2072">
        <f>企业重组审核表!H11</f>
        <v>0</v>
      </c>
      <c r="I11" s="2072">
        <f>企业重组审核表!I11</f>
        <v>0</v>
      </c>
      <c r="J11" s="1969"/>
    </row>
    <row r="12" spans="1:11" ht="14.25" customHeight="1">
      <c r="A12" s="1840">
        <v>7</v>
      </c>
      <c r="B12" s="1819" t="s">
        <v>5414</v>
      </c>
      <c r="C12" s="2072">
        <f>企业重组审核表!C12</f>
        <v>0</v>
      </c>
      <c r="D12" s="2072">
        <f>企业重组审核表!D12</f>
        <v>0</v>
      </c>
      <c r="E12" s="2072">
        <f>企业重组审核表!E12</f>
        <v>0</v>
      </c>
      <c r="F12" s="2072">
        <f>企业重组审核表!F12</f>
        <v>0</v>
      </c>
      <c r="G12" s="2072">
        <f>企业重组审核表!G12</f>
        <v>0</v>
      </c>
      <c r="H12" s="2072">
        <f>企业重组审核表!H12</f>
        <v>0</v>
      </c>
      <c r="I12" s="2072">
        <f>企业重组审核表!I12</f>
        <v>0</v>
      </c>
      <c r="J12" s="1969"/>
    </row>
    <row r="13" spans="1:11" ht="14.25" customHeight="1">
      <c r="A13" s="1840">
        <v>8</v>
      </c>
      <c r="B13" s="1819" t="s">
        <v>5415</v>
      </c>
      <c r="C13" s="2072">
        <f>企业重组审核表!C13</f>
        <v>0</v>
      </c>
      <c r="D13" s="2072">
        <f>企业重组审核表!D13</f>
        <v>0</v>
      </c>
      <c r="E13" s="2072">
        <f>企业重组审核表!E13</f>
        <v>0</v>
      </c>
      <c r="F13" s="2072">
        <f>企业重组审核表!F13</f>
        <v>0</v>
      </c>
      <c r="G13" s="2072">
        <f>企业重组审核表!G13</f>
        <v>0</v>
      </c>
      <c r="H13" s="2072">
        <f>企业重组审核表!H13</f>
        <v>0</v>
      </c>
      <c r="I13" s="2072">
        <f>企业重组审核表!I13</f>
        <v>0</v>
      </c>
      <c r="J13" s="1969"/>
    </row>
    <row r="14" spans="1:11" ht="14.25" customHeight="1">
      <c r="A14" s="1840">
        <v>9</v>
      </c>
      <c r="B14" s="1819" t="s">
        <v>5416</v>
      </c>
      <c r="C14" s="2072">
        <f>企业重组审核表!C14</f>
        <v>0</v>
      </c>
      <c r="D14" s="2072">
        <f>企业重组审核表!D14</f>
        <v>0</v>
      </c>
      <c r="E14" s="2072">
        <f>企业重组审核表!E14</f>
        <v>0</v>
      </c>
      <c r="F14" s="2072">
        <f>企业重组审核表!F14</f>
        <v>0</v>
      </c>
      <c r="G14" s="2072">
        <f>企业重组审核表!G14</f>
        <v>0</v>
      </c>
      <c r="H14" s="2072">
        <f>企业重组审核表!H14</f>
        <v>0</v>
      </c>
      <c r="I14" s="2072">
        <f>企业重组审核表!I14</f>
        <v>0</v>
      </c>
      <c r="J14" s="1969"/>
    </row>
    <row r="15" spans="1:11" ht="14.25" customHeight="1">
      <c r="A15" s="1840">
        <v>10</v>
      </c>
      <c r="B15" s="1819" t="s">
        <v>5417</v>
      </c>
      <c r="C15" s="2072">
        <f>企业重组审核表!C15</f>
        <v>0</v>
      </c>
      <c r="D15" s="2072">
        <f>企业重组审核表!D15</f>
        <v>0</v>
      </c>
      <c r="E15" s="2072">
        <f>企业重组审核表!E15</f>
        <v>0</v>
      </c>
      <c r="F15" s="2072">
        <f>企业重组审核表!F15</f>
        <v>0</v>
      </c>
      <c r="G15" s="2072">
        <f>企业重组审核表!G15</f>
        <v>0</v>
      </c>
      <c r="H15" s="2072">
        <f>企业重组审核表!H15</f>
        <v>0</v>
      </c>
      <c r="I15" s="2072">
        <f>企业重组审核表!I15</f>
        <v>0</v>
      </c>
      <c r="J15" s="1969"/>
    </row>
    <row r="16" spans="1:11" ht="14.25" customHeight="1">
      <c r="A16" s="1840">
        <v>11</v>
      </c>
      <c r="B16" s="1819" t="s">
        <v>5418</v>
      </c>
      <c r="C16" s="2072">
        <f>企业重组审核表!C16</f>
        <v>0</v>
      </c>
      <c r="D16" s="2072">
        <f>企业重组审核表!D16</f>
        <v>0</v>
      </c>
      <c r="E16" s="2072">
        <f>企业重组审核表!E16</f>
        <v>0</v>
      </c>
      <c r="F16" s="2072">
        <f>企业重组审核表!F16</f>
        <v>0</v>
      </c>
      <c r="G16" s="2072">
        <f>企业重组审核表!G16</f>
        <v>0</v>
      </c>
      <c r="H16" s="2072">
        <f>企业重组审核表!H16</f>
        <v>0</v>
      </c>
      <c r="I16" s="2072">
        <f>企业重组审核表!I16</f>
        <v>0</v>
      </c>
      <c r="J16" s="1969"/>
      <c r="K16" s="1675" t="s">
        <v>6450</v>
      </c>
    </row>
    <row r="17" spans="1:11" ht="14.25" customHeight="1">
      <c r="A17" s="1840">
        <v>12</v>
      </c>
      <c r="B17" s="1819" t="s">
        <v>5419</v>
      </c>
      <c r="C17" s="2072">
        <f>企业重组审核表!C17</f>
        <v>0</v>
      </c>
      <c r="D17" s="2072">
        <f>企业重组审核表!D17</f>
        <v>0</v>
      </c>
      <c r="E17" s="2072">
        <f>企业重组审核表!E17</f>
        <v>0</v>
      </c>
      <c r="F17" s="2072">
        <f>企业重组审核表!F17</f>
        <v>0</v>
      </c>
      <c r="G17" s="2072">
        <f>企业重组审核表!G17</f>
        <v>0</v>
      </c>
      <c r="H17" s="2072">
        <f>企业重组审核表!H17</f>
        <v>0</v>
      </c>
      <c r="I17" s="2072">
        <f>企业重组审核表!I17</f>
        <v>0</v>
      </c>
      <c r="J17" s="1969"/>
    </row>
    <row r="18" spans="1:11" s="1569" customFormat="1" ht="14.25" customHeight="1">
      <c r="A18" s="1840">
        <v>13</v>
      </c>
      <c r="B18" s="1819" t="s">
        <v>5420</v>
      </c>
      <c r="C18" s="2072">
        <f>企业重组审核表!C18</f>
        <v>0</v>
      </c>
      <c r="D18" s="2072">
        <f>企业重组审核表!D18</f>
        <v>0</v>
      </c>
      <c r="E18" s="2072">
        <f>企业重组审核表!E18</f>
        <v>0</v>
      </c>
      <c r="F18" s="2072">
        <f>企业重组审核表!F18</f>
        <v>0</v>
      </c>
      <c r="G18" s="2072">
        <f>企业重组审核表!G18</f>
        <v>0</v>
      </c>
      <c r="H18" s="2072">
        <f>企业重组审核表!H18</f>
        <v>0</v>
      </c>
      <c r="I18" s="2072">
        <f>企业重组审核表!I18</f>
        <v>0</v>
      </c>
      <c r="J18" s="1975"/>
    </row>
    <row r="19" spans="1:11" ht="35.25" customHeight="1">
      <c r="A19" s="1840">
        <v>14</v>
      </c>
      <c r="B19" s="1819" t="s">
        <v>5421</v>
      </c>
      <c r="C19" s="2072">
        <f>企业重组审核表!C19</f>
        <v>0</v>
      </c>
      <c r="D19" s="2072">
        <f>企业重组审核表!D19</f>
        <v>0</v>
      </c>
      <c r="E19" s="2072">
        <f>企业重组审核表!E19</f>
        <v>0</v>
      </c>
      <c r="F19" s="2072">
        <f>企业重组审核表!F19</f>
        <v>0</v>
      </c>
      <c r="G19" s="2072">
        <f>企业重组审核表!G19</f>
        <v>0</v>
      </c>
      <c r="H19" s="2072">
        <f>企业重组审核表!H19</f>
        <v>0</v>
      </c>
      <c r="I19" s="2072">
        <f>企业重组审核表!I19</f>
        <v>0</v>
      </c>
      <c r="J19" s="1819" t="s">
        <v>5422</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5.6"/>
  <cols>
    <col min="1" max="1" width="5.19921875" style="1555" customWidth="1"/>
    <col min="2" max="2" width="47.59765625" style="1577"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577" customFormat="1" ht="20.100000000000001" customHeight="1">
      <c r="A1" s="3400" t="s">
        <v>5423</v>
      </c>
      <c r="B1" s="3400"/>
      <c r="C1" s="3400"/>
      <c r="D1" s="2017"/>
    </row>
    <row r="2" spans="1:6" ht="25.5" customHeight="1">
      <c r="A2" s="3464" t="s">
        <v>5424</v>
      </c>
      <c r="B2" s="3464"/>
      <c r="C2" s="3464"/>
      <c r="D2" s="1831"/>
    </row>
    <row r="3" spans="1:6" ht="14.25" customHeight="1">
      <c r="A3" s="1841" t="s">
        <v>1853</v>
      </c>
      <c r="B3" s="1841" t="s">
        <v>5425</v>
      </c>
      <c r="C3" s="1840" t="s">
        <v>557</v>
      </c>
      <c r="D3" s="1840" t="s">
        <v>5151</v>
      </c>
    </row>
    <row r="4" spans="1:6" ht="14.25" customHeight="1">
      <c r="A4" s="1840">
        <v>1</v>
      </c>
      <c r="B4" s="1818" t="s">
        <v>5426</v>
      </c>
      <c r="C4" s="2072">
        <f>政策性搬迁审核表!C4</f>
        <v>0</v>
      </c>
      <c r="D4" s="1966"/>
    </row>
    <row r="5" spans="1:6" ht="14.25" customHeight="1">
      <c r="A5" s="1840">
        <v>2</v>
      </c>
      <c r="B5" s="1818" t="s">
        <v>5427</v>
      </c>
      <c r="C5" s="2072">
        <f>政策性搬迁审核表!C5</f>
        <v>0</v>
      </c>
      <c r="D5" s="1966"/>
      <c r="F5" s="1578"/>
    </row>
    <row r="6" spans="1:6" ht="14.25" customHeight="1">
      <c r="A6" s="1840">
        <v>3</v>
      </c>
      <c r="B6" s="1818" t="s">
        <v>5428</v>
      </c>
      <c r="C6" s="2072">
        <f>政策性搬迁审核表!C6</f>
        <v>0</v>
      </c>
      <c r="D6" s="1966"/>
    </row>
    <row r="7" spans="1:6" ht="14.25" customHeight="1">
      <c r="A7" s="1840">
        <v>4</v>
      </c>
      <c r="B7" s="1818" t="s">
        <v>5429</v>
      </c>
      <c r="C7" s="2072">
        <f>政策性搬迁审核表!C7</f>
        <v>0</v>
      </c>
      <c r="D7" s="1966"/>
    </row>
    <row r="8" spans="1:6" ht="14.25" customHeight="1">
      <c r="A8" s="1840">
        <v>5</v>
      </c>
      <c r="B8" s="1818" t="s">
        <v>5430</v>
      </c>
      <c r="C8" s="2072">
        <f>政策性搬迁审核表!C8</f>
        <v>0</v>
      </c>
      <c r="D8" s="1966"/>
    </row>
    <row r="9" spans="1:6" ht="14.25" customHeight="1">
      <c r="A9" s="1840">
        <v>6</v>
      </c>
      <c r="B9" s="1818" t="s">
        <v>5431</v>
      </c>
      <c r="C9" s="2072">
        <f>政策性搬迁审核表!C9</f>
        <v>0</v>
      </c>
      <c r="D9" s="1966"/>
    </row>
    <row r="10" spans="1:6" ht="14.25" customHeight="1">
      <c r="A10" s="1840">
        <v>7</v>
      </c>
      <c r="B10" s="1818" t="s">
        <v>5432</v>
      </c>
      <c r="C10" s="2072">
        <f>政策性搬迁审核表!C10</f>
        <v>0</v>
      </c>
      <c r="D10" s="1966"/>
    </row>
    <row r="11" spans="1:6" ht="14.25" customHeight="1">
      <c r="A11" s="1840">
        <v>8</v>
      </c>
      <c r="B11" s="1818" t="s">
        <v>5433</v>
      </c>
      <c r="C11" s="2072">
        <f>政策性搬迁审核表!C11</f>
        <v>0</v>
      </c>
      <c r="D11" s="1966"/>
    </row>
    <row r="12" spans="1:6" ht="14.25" customHeight="1">
      <c r="A12" s="1840">
        <v>9</v>
      </c>
      <c r="B12" s="1818" t="s">
        <v>5434</v>
      </c>
      <c r="C12" s="2072">
        <f>政策性搬迁审核表!C12</f>
        <v>0</v>
      </c>
      <c r="D12" s="1966"/>
    </row>
    <row r="13" spans="1:6" ht="14.25" customHeight="1">
      <c r="A13" s="1840">
        <v>10</v>
      </c>
      <c r="B13" s="1818" t="s">
        <v>5435</v>
      </c>
      <c r="C13" s="2072">
        <f>政策性搬迁审核表!C13</f>
        <v>0</v>
      </c>
      <c r="D13" s="1966"/>
    </row>
    <row r="14" spans="1:6" ht="14.25" customHeight="1">
      <c r="A14" s="1840">
        <v>11</v>
      </c>
      <c r="B14" s="1818" t="s">
        <v>5436</v>
      </c>
      <c r="C14" s="2072">
        <f>政策性搬迁审核表!C14</f>
        <v>0</v>
      </c>
      <c r="D14" s="1966"/>
    </row>
    <row r="15" spans="1:6" ht="14.25" customHeight="1">
      <c r="A15" s="1840">
        <v>12</v>
      </c>
      <c r="B15" s="1818" t="s">
        <v>5437</v>
      </c>
      <c r="C15" s="2072">
        <f>政策性搬迁审核表!C15</f>
        <v>0</v>
      </c>
      <c r="D15" s="1966"/>
    </row>
    <row r="16" spans="1:6" ht="14.25" customHeight="1">
      <c r="A16" s="1840">
        <v>13</v>
      </c>
      <c r="B16" s="1818" t="s">
        <v>5438</v>
      </c>
      <c r="C16" s="2072">
        <f>政策性搬迁审核表!C16</f>
        <v>0</v>
      </c>
      <c r="D16" s="1966"/>
      <c r="E16" s="1675" t="s">
        <v>6452</v>
      </c>
    </row>
    <row r="17" spans="1:5" ht="14.25" customHeight="1">
      <c r="A17" s="1840">
        <v>14</v>
      </c>
      <c r="B17" s="1818" t="s">
        <v>5439</v>
      </c>
      <c r="C17" s="2072">
        <f>政策性搬迁审核表!C17</f>
        <v>0</v>
      </c>
      <c r="D17" s="1966"/>
    </row>
    <row r="18" spans="1:5" ht="14.25" customHeight="1">
      <c r="A18" s="1840">
        <v>15</v>
      </c>
      <c r="B18" s="1818" t="s">
        <v>5440</v>
      </c>
      <c r="C18" s="2072">
        <f>政策性搬迁审核表!C18</f>
        <v>0</v>
      </c>
      <c r="D18" s="1966"/>
    </row>
    <row r="19" spans="1:5" ht="14.25" customHeight="1">
      <c r="A19" s="1840">
        <v>16</v>
      </c>
      <c r="B19" s="1818" t="s">
        <v>5441</v>
      </c>
      <c r="C19" s="2072">
        <f>政策性搬迁审核表!C19</f>
        <v>0</v>
      </c>
      <c r="D19" s="1966"/>
    </row>
    <row r="20" spans="1:5" ht="14.25" customHeight="1">
      <c r="A20" s="1840">
        <v>17</v>
      </c>
      <c r="B20" s="1818" t="s">
        <v>5442</v>
      </c>
      <c r="C20" s="2072">
        <f>政策性搬迁审核表!C20</f>
        <v>0</v>
      </c>
      <c r="D20" s="1966"/>
    </row>
    <row r="21" spans="1:5" ht="14.25" customHeight="1">
      <c r="A21" s="1840">
        <v>18</v>
      </c>
      <c r="B21" s="1818" t="s">
        <v>5443</v>
      </c>
      <c r="C21" s="2072">
        <f>政策性搬迁审核表!C21</f>
        <v>0</v>
      </c>
      <c r="D21" s="1966"/>
    </row>
    <row r="22" spans="1:5" s="1579" customFormat="1" ht="14.25" customHeight="1">
      <c r="A22" s="1840">
        <v>19</v>
      </c>
      <c r="B22" s="1818" t="s">
        <v>5444</v>
      </c>
      <c r="C22" s="2072">
        <f>政策性搬迁审核表!C22</f>
        <v>0</v>
      </c>
      <c r="D22" s="1966"/>
    </row>
    <row r="23" spans="1:5" s="1579" customFormat="1" ht="14.25" customHeight="1">
      <c r="A23" s="1840">
        <v>20</v>
      </c>
      <c r="B23" s="1819" t="s">
        <v>5445</v>
      </c>
      <c r="C23" s="2072">
        <f>政策性搬迁审核表!C23</f>
        <v>0</v>
      </c>
      <c r="D23" s="1966"/>
    </row>
    <row r="24" spans="1:5" s="1579" customFormat="1" ht="14.25" customHeight="1">
      <c r="A24" s="1840">
        <v>21</v>
      </c>
      <c r="B24" s="1819" t="s">
        <v>5446</v>
      </c>
      <c r="C24" s="2072">
        <f>政策性搬迁审核表!C24</f>
        <v>0</v>
      </c>
      <c r="D24" s="1966"/>
    </row>
    <row r="25" spans="1:5" s="1579" customFormat="1" ht="14.25" customHeight="1">
      <c r="A25" s="1840">
        <v>22</v>
      </c>
      <c r="B25" s="1818" t="s">
        <v>5447</v>
      </c>
      <c r="C25" s="2072">
        <f>政策性搬迁审核表!C25</f>
        <v>0</v>
      </c>
      <c r="D25" s="1966"/>
    </row>
    <row r="26" spans="1:5" s="1579" customFormat="1" ht="14.25" customHeight="1">
      <c r="A26" s="1840">
        <v>23</v>
      </c>
      <c r="B26" s="1818" t="s">
        <v>5448</v>
      </c>
      <c r="C26" s="2072">
        <f>政策性搬迁审核表!C26</f>
        <v>0</v>
      </c>
      <c r="D26" s="1966"/>
    </row>
    <row r="27" spans="1:5" s="1579" customFormat="1" ht="55.5" customHeight="1">
      <c r="A27" s="1840">
        <v>24</v>
      </c>
      <c r="B27" s="1818" t="s">
        <v>5449</v>
      </c>
      <c r="C27" s="2072">
        <f>政策性搬迁审核表!C27</f>
        <v>0</v>
      </c>
      <c r="D27" s="1819" t="s">
        <v>5450</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5.6"/>
  <cols>
    <col min="1" max="1" width="5.19921875" style="1551" customWidth="1"/>
    <col min="2" max="2" width="34.09765625" style="1551" customWidth="1"/>
    <col min="3" max="5" width="12.3984375" style="1551" customWidth="1"/>
    <col min="6" max="6" width="13.09765625" style="1551" customWidth="1"/>
    <col min="7" max="256" width="9" style="1551"/>
    <col min="257" max="257" width="5.19921875" style="1551" customWidth="1"/>
    <col min="258" max="258" width="34.09765625" style="1551" customWidth="1"/>
    <col min="259" max="259" width="8.59765625" style="1551" customWidth="1"/>
    <col min="260" max="260" width="8.5" style="1551" customWidth="1"/>
    <col min="261" max="261" width="8.69921875" style="1551" customWidth="1"/>
    <col min="262" max="262" width="13.09765625" style="1551" customWidth="1"/>
    <col min="263" max="512" width="9" style="1551"/>
    <col min="513" max="513" width="5.19921875" style="1551" customWidth="1"/>
    <col min="514" max="514" width="34.09765625" style="1551" customWidth="1"/>
    <col min="515" max="515" width="8.59765625" style="1551" customWidth="1"/>
    <col min="516" max="516" width="8.5" style="1551" customWidth="1"/>
    <col min="517" max="517" width="8.69921875" style="1551" customWidth="1"/>
    <col min="518" max="518" width="13.09765625" style="1551" customWidth="1"/>
    <col min="519" max="768" width="9" style="1551"/>
    <col min="769" max="769" width="5.19921875" style="1551" customWidth="1"/>
    <col min="770" max="770" width="34.09765625" style="1551" customWidth="1"/>
    <col min="771" max="771" width="8.59765625" style="1551" customWidth="1"/>
    <col min="772" max="772" width="8.5" style="1551" customWidth="1"/>
    <col min="773" max="773" width="8.69921875" style="1551" customWidth="1"/>
    <col min="774" max="774" width="13.09765625" style="1551" customWidth="1"/>
    <col min="775" max="1024" width="9" style="1551"/>
    <col min="1025" max="1025" width="5.19921875" style="1551" customWidth="1"/>
    <col min="1026" max="1026" width="34.09765625" style="1551" customWidth="1"/>
    <col min="1027" max="1027" width="8.59765625" style="1551" customWidth="1"/>
    <col min="1028" max="1028" width="8.5" style="1551" customWidth="1"/>
    <col min="1029" max="1029" width="8.69921875" style="1551" customWidth="1"/>
    <col min="1030" max="1030" width="13.09765625" style="1551" customWidth="1"/>
    <col min="1031" max="1280" width="9" style="1551"/>
    <col min="1281" max="1281" width="5.19921875" style="1551" customWidth="1"/>
    <col min="1282" max="1282" width="34.09765625" style="1551" customWidth="1"/>
    <col min="1283" max="1283" width="8.59765625" style="1551" customWidth="1"/>
    <col min="1284" max="1284" width="8.5" style="1551" customWidth="1"/>
    <col min="1285" max="1285" width="8.69921875" style="1551" customWidth="1"/>
    <col min="1286" max="1286" width="13.09765625" style="1551" customWidth="1"/>
    <col min="1287" max="1536" width="9" style="1551"/>
    <col min="1537" max="1537" width="5.19921875" style="1551" customWidth="1"/>
    <col min="1538" max="1538" width="34.09765625" style="1551" customWidth="1"/>
    <col min="1539" max="1539" width="8.59765625" style="1551" customWidth="1"/>
    <col min="1540" max="1540" width="8.5" style="1551" customWidth="1"/>
    <col min="1541" max="1541" width="8.69921875" style="1551" customWidth="1"/>
    <col min="1542" max="1542" width="13.09765625" style="1551" customWidth="1"/>
    <col min="1543" max="1792" width="9" style="1551"/>
    <col min="1793" max="1793" width="5.19921875" style="1551" customWidth="1"/>
    <col min="1794" max="1794" width="34.09765625" style="1551" customWidth="1"/>
    <col min="1795" max="1795" width="8.59765625" style="1551" customWidth="1"/>
    <col min="1796" max="1796" width="8.5" style="1551" customWidth="1"/>
    <col min="1797" max="1797" width="8.69921875" style="1551" customWidth="1"/>
    <col min="1798" max="1798" width="13.09765625" style="1551" customWidth="1"/>
    <col min="1799" max="2048" width="9" style="1551"/>
    <col min="2049" max="2049" width="5.19921875" style="1551" customWidth="1"/>
    <col min="2050" max="2050" width="34.09765625" style="1551" customWidth="1"/>
    <col min="2051" max="2051" width="8.59765625" style="1551" customWidth="1"/>
    <col min="2052" max="2052" width="8.5" style="1551" customWidth="1"/>
    <col min="2053" max="2053" width="8.69921875" style="1551" customWidth="1"/>
    <col min="2054" max="2054" width="13.09765625" style="1551" customWidth="1"/>
    <col min="2055" max="2304" width="9" style="1551"/>
    <col min="2305" max="2305" width="5.19921875" style="1551" customWidth="1"/>
    <col min="2306" max="2306" width="34.09765625" style="1551" customWidth="1"/>
    <col min="2307" max="2307" width="8.59765625" style="1551" customWidth="1"/>
    <col min="2308" max="2308" width="8.5" style="1551" customWidth="1"/>
    <col min="2309" max="2309" width="8.69921875" style="1551" customWidth="1"/>
    <col min="2310" max="2310" width="13.09765625" style="1551" customWidth="1"/>
    <col min="2311" max="2560" width="9" style="1551"/>
    <col min="2561" max="2561" width="5.19921875" style="1551" customWidth="1"/>
    <col min="2562" max="2562" width="34.09765625" style="1551" customWidth="1"/>
    <col min="2563" max="2563" width="8.59765625" style="1551" customWidth="1"/>
    <col min="2564" max="2564" width="8.5" style="1551" customWidth="1"/>
    <col min="2565" max="2565" width="8.69921875" style="1551" customWidth="1"/>
    <col min="2566" max="2566" width="13.09765625" style="1551" customWidth="1"/>
    <col min="2567" max="2816" width="9" style="1551"/>
    <col min="2817" max="2817" width="5.19921875" style="1551" customWidth="1"/>
    <col min="2818" max="2818" width="34.09765625" style="1551" customWidth="1"/>
    <col min="2819" max="2819" width="8.59765625" style="1551" customWidth="1"/>
    <col min="2820" max="2820" width="8.5" style="1551" customWidth="1"/>
    <col min="2821" max="2821" width="8.69921875" style="1551" customWidth="1"/>
    <col min="2822" max="2822" width="13.09765625" style="1551" customWidth="1"/>
    <col min="2823" max="3072" width="9" style="1551"/>
    <col min="3073" max="3073" width="5.19921875" style="1551" customWidth="1"/>
    <col min="3074" max="3074" width="34.09765625" style="1551" customWidth="1"/>
    <col min="3075" max="3075" width="8.59765625" style="1551" customWidth="1"/>
    <col min="3076" max="3076" width="8.5" style="1551" customWidth="1"/>
    <col min="3077" max="3077" width="8.69921875" style="1551" customWidth="1"/>
    <col min="3078" max="3078" width="13.09765625" style="1551" customWidth="1"/>
    <col min="3079" max="3328" width="9" style="1551"/>
    <col min="3329" max="3329" width="5.19921875" style="1551" customWidth="1"/>
    <col min="3330" max="3330" width="34.09765625" style="1551" customWidth="1"/>
    <col min="3331" max="3331" width="8.59765625" style="1551" customWidth="1"/>
    <col min="3332" max="3332" width="8.5" style="1551" customWidth="1"/>
    <col min="3333" max="3333" width="8.69921875" style="1551" customWidth="1"/>
    <col min="3334" max="3334" width="13.09765625" style="1551" customWidth="1"/>
    <col min="3335" max="3584" width="9" style="1551"/>
    <col min="3585" max="3585" width="5.19921875" style="1551" customWidth="1"/>
    <col min="3586" max="3586" width="34.09765625" style="1551" customWidth="1"/>
    <col min="3587" max="3587" width="8.59765625" style="1551" customWidth="1"/>
    <col min="3588" max="3588" width="8.5" style="1551" customWidth="1"/>
    <col min="3589" max="3589" width="8.69921875" style="1551" customWidth="1"/>
    <col min="3590" max="3590" width="13.09765625" style="1551" customWidth="1"/>
    <col min="3591" max="3840" width="9" style="1551"/>
    <col min="3841" max="3841" width="5.19921875" style="1551" customWidth="1"/>
    <col min="3842" max="3842" width="34.09765625" style="1551" customWidth="1"/>
    <col min="3843" max="3843" width="8.59765625" style="1551" customWidth="1"/>
    <col min="3844" max="3844" width="8.5" style="1551" customWidth="1"/>
    <col min="3845" max="3845" width="8.69921875" style="1551" customWidth="1"/>
    <col min="3846" max="3846" width="13.09765625" style="1551" customWidth="1"/>
    <col min="3847" max="4096" width="9" style="1551"/>
    <col min="4097" max="4097" width="5.19921875" style="1551" customWidth="1"/>
    <col min="4098" max="4098" width="34.09765625" style="1551" customWidth="1"/>
    <col min="4099" max="4099" width="8.59765625" style="1551" customWidth="1"/>
    <col min="4100" max="4100" width="8.5" style="1551" customWidth="1"/>
    <col min="4101" max="4101" width="8.69921875" style="1551" customWidth="1"/>
    <col min="4102" max="4102" width="13.09765625" style="1551" customWidth="1"/>
    <col min="4103" max="4352" width="9" style="1551"/>
    <col min="4353" max="4353" width="5.19921875" style="1551" customWidth="1"/>
    <col min="4354" max="4354" width="34.09765625" style="1551" customWidth="1"/>
    <col min="4355" max="4355" width="8.59765625" style="1551" customWidth="1"/>
    <col min="4356" max="4356" width="8.5" style="1551" customWidth="1"/>
    <col min="4357" max="4357" width="8.69921875" style="1551" customWidth="1"/>
    <col min="4358" max="4358" width="13.09765625" style="1551" customWidth="1"/>
    <col min="4359" max="4608" width="9" style="1551"/>
    <col min="4609" max="4609" width="5.19921875" style="1551" customWidth="1"/>
    <col min="4610" max="4610" width="34.09765625" style="1551" customWidth="1"/>
    <col min="4611" max="4611" width="8.59765625" style="1551" customWidth="1"/>
    <col min="4612" max="4612" width="8.5" style="1551" customWidth="1"/>
    <col min="4613" max="4613" width="8.69921875" style="1551" customWidth="1"/>
    <col min="4614" max="4614" width="13.09765625" style="1551" customWidth="1"/>
    <col min="4615" max="4864" width="9" style="1551"/>
    <col min="4865" max="4865" width="5.19921875" style="1551" customWidth="1"/>
    <col min="4866" max="4866" width="34.09765625" style="1551" customWidth="1"/>
    <col min="4867" max="4867" width="8.59765625" style="1551" customWidth="1"/>
    <col min="4868" max="4868" width="8.5" style="1551" customWidth="1"/>
    <col min="4869" max="4869" width="8.69921875" style="1551" customWidth="1"/>
    <col min="4870" max="4870" width="13.09765625" style="1551" customWidth="1"/>
    <col min="4871" max="5120" width="9" style="1551"/>
    <col min="5121" max="5121" width="5.19921875" style="1551" customWidth="1"/>
    <col min="5122" max="5122" width="34.09765625" style="1551" customWidth="1"/>
    <col min="5123" max="5123" width="8.59765625" style="1551" customWidth="1"/>
    <col min="5124" max="5124" width="8.5" style="1551" customWidth="1"/>
    <col min="5125" max="5125" width="8.69921875" style="1551" customWidth="1"/>
    <col min="5126" max="5126" width="13.09765625" style="1551" customWidth="1"/>
    <col min="5127" max="5376" width="9" style="1551"/>
    <col min="5377" max="5377" width="5.19921875" style="1551" customWidth="1"/>
    <col min="5378" max="5378" width="34.09765625" style="1551" customWidth="1"/>
    <col min="5379" max="5379" width="8.59765625" style="1551" customWidth="1"/>
    <col min="5380" max="5380" width="8.5" style="1551" customWidth="1"/>
    <col min="5381" max="5381" width="8.69921875" style="1551" customWidth="1"/>
    <col min="5382" max="5382" width="13.09765625" style="1551" customWidth="1"/>
    <col min="5383" max="5632" width="9" style="1551"/>
    <col min="5633" max="5633" width="5.19921875" style="1551" customWidth="1"/>
    <col min="5634" max="5634" width="34.09765625" style="1551" customWidth="1"/>
    <col min="5635" max="5635" width="8.59765625" style="1551" customWidth="1"/>
    <col min="5636" max="5636" width="8.5" style="1551" customWidth="1"/>
    <col min="5637" max="5637" width="8.69921875" style="1551" customWidth="1"/>
    <col min="5638" max="5638" width="13.09765625" style="1551" customWidth="1"/>
    <col min="5639" max="5888" width="9" style="1551"/>
    <col min="5889" max="5889" width="5.19921875" style="1551" customWidth="1"/>
    <col min="5890" max="5890" width="34.09765625" style="1551" customWidth="1"/>
    <col min="5891" max="5891" width="8.59765625" style="1551" customWidth="1"/>
    <col min="5892" max="5892" width="8.5" style="1551" customWidth="1"/>
    <col min="5893" max="5893" width="8.69921875" style="1551" customWidth="1"/>
    <col min="5894" max="5894" width="13.09765625" style="1551" customWidth="1"/>
    <col min="5895" max="6144" width="9" style="1551"/>
    <col min="6145" max="6145" width="5.19921875" style="1551" customWidth="1"/>
    <col min="6146" max="6146" width="34.09765625" style="1551" customWidth="1"/>
    <col min="6147" max="6147" width="8.59765625" style="1551" customWidth="1"/>
    <col min="6148" max="6148" width="8.5" style="1551" customWidth="1"/>
    <col min="6149" max="6149" width="8.69921875" style="1551" customWidth="1"/>
    <col min="6150" max="6150" width="13.09765625" style="1551" customWidth="1"/>
    <col min="6151" max="6400" width="9" style="1551"/>
    <col min="6401" max="6401" width="5.19921875" style="1551" customWidth="1"/>
    <col min="6402" max="6402" width="34.09765625" style="1551" customWidth="1"/>
    <col min="6403" max="6403" width="8.59765625" style="1551" customWidth="1"/>
    <col min="6404" max="6404" width="8.5" style="1551" customWidth="1"/>
    <col min="6405" max="6405" width="8.69921875" style="1551" customWidth="1"/>
    <col min="6406" max="6406" width="13.09765625" style="1551" customWidth="1"/>
    <col min="6407" max="6656" width="9" style="1551"/>
    <col min="6657" max="6657" width="5.19921875" style="1551" customWidth="1"/>
    <col min="6658" max="6658" width="34.09765625" style="1551" customWidth="1"/>
    <col min="6659" max="6659" width="8.59765625" style="1551" customWidth="1"/>
    <col min="6660" max="6660" width="8.5" style="1551" customWidth="1"/>
    <col min="6661" max="6661" width="8.69921875" style="1551" customWidth="1"/>
    <col min="6662" max="6662" width="13.09765625" style="1551" customWidth="1"/>
    <col min="6663" max="6912" width="9" style="1551"/>
    <col min="6913" max="6913" width="5.19921875" style="1551" customWidth="1"/>
    <col min="6914" max="6914" width="34.09765625" style="1551" customWidth="1"/>
    <col min="6915" max="6915" width="8.59765625" style="1551" customWidth="1"/>
    <col min="6916" max="6916" width="8.5" style="1551" customWidth="1"/>
    <col min="6917" max="6917" width="8.69921875" style="1551" customWidth="1"/>
    <col min="6918" max="6918" width="13.09765625" style="1551" customWidth="1"/>
    <col min="6919" max="7168" width="9" style="1551"/>
    <col min="7169" max="7169" width="5.19921875" style="1551" customWidth="1"/>
    <col min="7170" max="7170" width="34.09765625" style="1551" customWidth="1"/>
    <col min="7171" max="7171" width="8.59765625" style="1551" customWidth="1"/>
    <col min="7172" max="7172" width="8.5" style="1551" customWidth="1"/>
    <col min="7173" max="7173" width="8.69921875" style="1551" customWidth="1"/>
    <col min="7174" max="7174" width="13.09765625" style="1551" customWidth="1"/>
    <col min="7175" max="7424" width="9" style="1551"/>
    <col min="7425" max="7425" width="5.19921875" style="1551" customWidth="1"/>
    <col min="7426" max="7426" width="34.09765625" style="1551" customWidth="1"/>
    <col min="7427" max="7427" width="8.59765625" style="1551" customWidth="1"/>
    <col min="7428" max="7428" width="8.5" style="1551" customWidth="1"/>
    <col min="7429" max="7429" width="8.69921875" style="1551" customWidth="1"/>
    <col min="7430" max="7430" width="13.09765625" style="1551" customWidth="1"/>
    <col min="7431" max="7680" width="9" style="1551"/>
    <col min="7681" max="7681" width="5.19921875" style="1551" customWidth="1"/>
    <col min="7682" max="7682" width="34.09765625" style="1551" customWidth="1"/>
    <col min="7683" max="7683" width="8.59765625" style="1551" customWidth="1"/>
    <col min="7684" max="7684" width="8.5" style="1551" customWidth="1"/>
    <col min="7685" max="7685" width="8.69921875" style="1551" customWidth="1"/>
    <col min="7686" max="7686" width="13.09765625" style="1551" customWidth="1"/>
    <col min="7687" max="7936" width="9" style="1551"/>
    <col min="7937" max="7937" width="5.19921875" style="1551" customWidth="1"/>
    <col min="7938" max="7938" width="34.09765625" style="1551" customWidth="1"/>
    <col min="7939" max="7939" width="8.59765625" style="1551" customWidth="1"/>
    <col min="7940" max="7940" width="8.5" style="1551" customWidth="1"/>
    <col min="7941" max="7941" width="8.69921875" style="1551" customWidth="1"/>
    <col min="7942" max="7942" width="13.09765625" style="1551" customWidth="1"/>
    <col min="7943" max="8192" width="9" style="1551"/>
    <col min="8193" max="8193" width="5.19921875" style="1551" customWidth="1"/>
    <col min="8194" max="8194" width="34.09765625" style="1551" customWidth="1"/>
    <col min="8195" max="8195" width="8.59765625" style="1551" customWidth="1"/>
    <col min="8196" max="8196" width="8.5" style="1551" customWidth="1"/>
    <col min="8197" max="8197" width="8.69921875" style="1551" customWidth="1"/>
    <col min="8198" max="8198" width="13.09765625" style="1551" customWidth="1"/>
    <col min="8199" max="8448" width="9" style="1551"/>
    <col min="8449" max="8449" width="5.19921875" style="1551" customWidth="1"/>
    <col min="8450" max="8450" width="34.09765625" style="1551" customWidth="1"/>
    <col min="8451" max="8451" width="8.59765625" style="1551" customWidth="1"/>
    <col min="8452" max="8452" width="8.5" style="1551" customWidth="1"/>
    <col min="8453" max="8453" width="8.69921875" style="1551" customWidth="1"/>
    <col min="8454" max="8454" width="13.09765625" style="1551" customWidth="1"/>
    <col min="8455" max="8704" width="9" style="1551"/>
    <col min="8705" max="8705" width="5.19921875" style="1551" customWidth="1"/>
    <col min="8706" max="8706" width="34.09765625" style="1551" customWidth="1"/>
    <col min="8707" max="8707" width="8.59765625" style="1551" customWidth="1"/>
    <col min="8708" max="8708" width="8.5" style="1551" customWidth="1"/>
    <col min="8709" max="8709" width="8.69921875" style="1551" customWidth="1"/>
    <col min="8710" max="8710" width="13.09765625" style="1551" customWidth="1"/>
    <col min="8711" max="8960" width="9" style="1551"/>
    <col min="8961" max="8961" width="5.19921875" style="1551" customWidth="1"/>
    <col min="8962" max="8962" width="34.09765625" style="1551" customWidth="1"/>
    <col min="8963" max="8963" width="8.59765625" style="1551" customWidth="1"/>
    <col min="8964" max="8964" width="8.5" style="1551" customWidth="1"/>
    <col min="8965" max="8965" width="8.69921875" style="1551" customWidth="1"/>
    <col min="8966" max="8966" width="13.09765625" style="1551" customWidth="1"/>
    <col min="8967" max="9216" width="9" style="1551"/>
    <col min="9217" max="9217" width="5.19921875" style="1551" customWidth="1"/>
    <col min="9218" max="9218" width="34.09765625" style="1551" customWidth="1"/>
    <col min="9219" max="9219" width="8.59765625" style="1551" customWidth="1"/>
    <col min="9220" max="9220" width="8.5" style="1551" customWidth="1"/>
    <col min="9221" max="9221" width="8.69921875" style="1551" customWidth="1"/>
    <col min="9222" max="9222" width="13.09765625" style="1551" customWidth="1"/>
    <col min="9223" max="9472" width="9" style="1551"/>
    <col min="9473" max="9473" width="5.19921875" style="1551" customWidth="1"/>
    <col min="9474" max="9474" width="34.09765625" style="1551" customWidth="1"/>
    <col min="9475" max="9475" width="8.59765625" style="1551" customWidth="1"/>
    <col min="9476" max="9476" width="8.5" style="1551" customWidth="1"/>
    <col min="9477" max="9477" width="8.69921875" style="1551" customWidth="1"/>
    <col min="9478" max="9478" width="13.09765625" style="1551" customWidth="1"/>
    <col min="9479" max="9728" width="9" style="1551"/>
    <col min="9729" max="9729" width="5.19921875" style="1551" customWidth="1"/>
    <col min="9730" max="9730" width="34.09765625" style="1551" customWidth="1"/>
    <col min="9731" max="9731" width="8.59765625" style="1551" customWidth="1"/>
    <col min="9732" max="9732" width="8.5" style="1551" customWidth="1"/>
    <col min="9733" max="9733" width="8.69921875" style="1551" customWidth="1"/>
    <col min="9734" max="9734" width="13.09765625" style="1551" customWidth="1"/>
    <col min="9735" max="9984" width="9" style="1551"/>
    <col min="9985" max="9985" width="5.19921875" style="1551" customWidth="1"/>
    <col min="9986" max="9986" width="34.09765625" style="1551" customWidth="1"/>
    <col min="9987" max="9987" width="8.59765625" style="1551" customWidth="1"/>
    <col min="9988" max="9988" width="8.5" style="1551" customWidth="1"/>
    <col min="9989" max="9989" width="8.69921875" style="1551" customWidth="1"/>
    <col min="9990" max="9990" width="13.09765625" style="1551" customWidth="1"/>
    <col min="9991" max="10240" width="9" style="1551"/>
    <col min="10241" max="10241" width="5.19921875" style="1551" customWidth="1"/>
    <col min="10242" max="10242" width="34.09765625" style="1551" customWidth="1"/>
    <col min="10243" max="10243" width="8.59765625" style="1551" customWidth="1"/>
    <col min="10244" max="10244" width="8.5" style="1551" customWidth="1"/>
    <col min="10245" max="10245" width="8.69921875" style="1551" customWidth="1"/>
    <col min="10246" max="10246" width="13.09765625" style="1551" customWidth="1"/>
    <col min="10247" max="10496" width="9" style="1551"/>
    <col min="10497" max="10497" width="5.19921875" style="1551" customWidth="1"/>
    <col min="10498" max="10498" width="34.09765625" style="1551" customWidth="1"/>
    <col min="10499" max="10499" width="8.59765625" style="1551" customWidth="1"/>
    <col min="10500" max="10500" width="8.5" style="1551" customWidth="1"/>
    <col min="10501" max="10501" width="8.69921875" style="1551" customWidth="1"/>
    <col min="10502" max="10502" width="13.09765625" style="1551" customWidth="1"/>
    <col min="10503" max="10752" width="9" style="1551"/>
    <col min="10753" max="10753" width="5.19921875" style="1551" customWidth="1"/>
    <col min="10754" max="10754" width="34.09765625" style="1551" customWidth="1"/>
    <col min="10755" max="10755" width="8.59765625" style="1551" customWidth="1"/>
    <col min="10756" max="10756" width="8.5" style="1551" customWidth="1"/>
    <col min="10757" max="10757" width="8.69921875" style="1551" customWidth="1"/>
    <col min="10758" max="10758" width="13.09765625" style="1551" customWidth="1"/>
    <col min="10759" max="11008" width="9" style="1551"/>
    <col min="11009" max="11009" width="5.19921875" style="1551" customWidth="1"/>
    <col min="11010" max="11010" width="34.09765625" style="1551" customWidth="1"/>
    <col min="11011" max="11011" width="8.59765625" style="1551" customWidth="1"/>
    <col min="11012" max="11012" width="8.5" style="1551" customWidth="1"/>
    <col min="11013" max="11013" width="8.69921875" style="1551" customWidth="1"/>
    <col min="11014" max="11014" width="13.09765625" style="1551" customWidth="1"/>
    <col min="11015" max="11264" width="9" style="1551"/>
    <col min="11265" max="11265" width="5.19921875" style="1551" customWidth="1"/>
    <col min="11266" max="11266" width="34.09765625" style="1551" customWidth="1"/>
    <col min="11267" max="11267" width="8.59765625" style="1551" customWidth="1"/>
    <col min="11268" max="11268" width="8.5" style="1551" customWidth="1"/>
    <col min="11269" max="11269" width="8.69921875" style="1551" customWidth="1"/>
    <col min="11270" max="11270" width="13.09765625" style="1551" customWidth="1"/>
    <col min="11271" max="11520" width="9" style="1551"/>
    <col min="11521" max="11521" width="5.19921875" style="1551" customWidth="1"/>
    <col min="11522" max="11522" width="34.09765625" style="1551" customWidth="1"/>
    <col min="11523" max="11523" width="8.59765625" style="1551" customWidth="1"/>
    <col min="11524" max="11524" width="8.5" style="1551" customWidth="1"/>
    <col min="11525" max="11525" width="8.69921875" style="1551" customWidth="1"/>
    <col min="11526" max="11526" width="13.09765625" style="1551" customWidth="1"/>
    <col min="11527" max="11776" width="9" style="1551"/>
    <col min="11777" max="11777" width="5.19921875" style="1551" customWidth="1"/>
    <col min="11778" max="11778" width="34.09765625" style="1551" customWidth="1"/>
    <col min="11779" max="11779" width="8.59765625" style="1551" customWidth="1"/>
    <col min="11780" max="11780" width="8.5" style="1551" customWidth="1"/>
    <col min="11781" max="11781" width="8.69921875" style="1551" customWidth="1"/>
    <col min="11782" max="11782" width="13.09765625" style="1551" customWidth="1"/>
    <col min="11783" max="12032" width="9" style="1551"/>
    <col min="12033" max="12033" width="5.19921875" style="1551" customWidth="1"/>
    <col min="12034" max="12034" width="34.09765625" style="1551" customWidth="1"/>
    <col min="12035" max="12035" width="8.59765625" style="1551" customWidth="1"/>
    <col min="12036" max="12036" width="8.5" style="1551" customWidth="1"/>
    <col min="12037" max="12037" width="8.69921875" style="1551" customWidth="1"/>
    <col min="12038" max="12038" width="13.09765625" style="1551" customWidth="1"/>
    <col min="12039" max="12288" width="9" style="1551"/>
    <col min="12289" max="12289" width="5.19921875" style="1551" customWidth="1"/>
    <col min="12290" max="12290" width="34.09765625" style="1551" customWidth="1"/>
    <col min="12291" max="12291" width="8.59765625" style="1551" customWidth="1"/>
    <col min="12292" max="12292" width="8.5" style="1551" customWidth="1"/>
    <col min="12293" max="12293" width="8.69921875" style="1551" customWidth="1"/>
    <col min="12294" max="12294" width="13.09765625" style="1551" customWidth="1"/>
    <col min="12295" max="12544" width="9" style="1551"/>
    <col min="12545" max="12545" width="5.19921875" style="1551" customWidth="1"/>
    <col min="12546" max="12546" width="34.09765625" style="1551" customWidth="1"/>
    <col min="12547" max="12547" width="8.59765625" style="1551" customWidth="1"/>
    <col min="12548" max="12548" width="8.5" style="1551" customWidth="1"/>
    <col min="12549" max="12549" width="8.69921875" style="1551" customWidth="1"/>
    <col min="12550" max="12550" width="13.09765625" style="1551" customWidth="1"/>
    <col min="12551" max="12800" width="9" style="1551"/>
    <col min="12801" max="12801" width="5.19921875" style="1551" customWidth="1"/>
    <col min="12802" max="12802" width="34.09765625" style="1551" customWidth="1"/>
    <col min="12803" max="12803" width="8.59765625" style="1551" customWidth="1"/>
    <col min="12804" max="12804" width="8.5" style="1551" customWidth="1"/>
    <col min="12805" max="12805" width="8.69921875" style="1551" customWidth="1"/>
    <col min="12806" max="12806" width="13.09765625" style="1551" customWidth="1"/>
    <col min="12807" max="13056" width="9" style="1551"/>
    <col min="13057" max="13057" width="5.19921875" style="1551" customWidth="1"/>
    <col min="13058" max="13058" width="34.09765625" style="1551" customWidth="1"/>
    <col min="13059" max="13059" width="8.59765625" style="1551" customWidth="1"/>
    <col min="13060" max="13060" width="8.5" style="1551" customWidth="1"/>
    <col min="13061" max="13061" width="8.69921875" style="1551" customWidth="1"/>
    <col min="13062" max="13062" width="13.09765625" style="1551" customWidth="1"/>
    <col min="13063" max="13312" width="9" style="1551"/>
    <col min="13313" max="13313" width="5.19921875" style="1551" customWidth="1"/>
    <col min="13314" max="13314" width="34.09765625" style="1551" customWidth="1"/>
    <col min="13315" max="13315" width="8.59765625" style="1551" customWidth="1"/>
    <col min="13316" max="13316" width="8.5" style="1551" customWidth="1"/>
    <col min="13317" max="13317" width="8.69921875" style="1551" customWidth="1"/>
    <col min="13318" max="13318" width="13.09765625" style="1551" customWidth="1"/>
    <col min="13319" max="13568" width="9" style="1551"/>
    <col min="13569" max="13569" width="5.19921875" style="1551" customWidth="1"/>
    <col min="13570" max="13570" width="34.09765625" style="1551" customWidth="1"/>
    <col min="13571" max="13571" width="8.59765625" style="1551" customWidth="1"/>
    <col min="13572" max="13572" width="8.5" style="1551" customWidth="1"/>
    <col min="13573" max="13573" width="8.69921875" style="1551" customWidth="1"/>
    <col min="13574" max="13574" width="13.09765625" style="1551" customWidth="1"/>
    <col min="13575" max="13824" width="9" style="1551"/>
    <col min="13825" max="13825" width="5.19921875" style="1551" customWidth="1"/>
    <col min="13826" max="13826" width="34.09765625" style="1551" customWidth="1"/>
    <col min="13827" max="13827" width="8.59765625" style="1551" customWidth="1"/>
    <col min="13828" max="13828" width="8.5" style="1551" customWidth="1"/>
    <col min="13829" max="13829" width="8.69921875" style="1551" customWidth="1"/>
    <col min="13830" max="13830" width="13.09765625" style="1551" customWidth="1"/>
    <col min="13831" max="14080" width="9" style="1551"/>
    <col min="14081" max="14081" width="5.19921875" style="1551" customWidth="1"/>
    <col min="14082" max="14082" width="34.09765625" style="1551" customWidth="1"/>
    <col min="14083" max="14083" width="8.59765625" style="1551" customWidth="1"/>
    <col min="14084" max="14084" width="8.5" style="1551" customWidth="1"/>
    <col min="14085" max="14085" width="8.69921875" style="1551" customWidth="1"/>
    <col min="14086" max="14086" width="13.09765625" style="1551" customWidth="1"/>
    <col min="14087" max="14336" width="9" style="1551"/>
    <col min="14337" max="14337" width="5.19921875" style="1551" customWidth="1"/>
    <col min="14338" max="14338" width="34.09765625" style="1551" customWidth="1"/>
    <col min="14339" max="14339" width="8.59765625" style="1551" customWidth="1"/>
    <col min="14340" max="14340" width="8.5" style="1551" customWidth="1"/>
    <col min="14341" max="14341" width="8.69921875" style="1551" customWidth="1"/>
    <col min="14342" max="14342" width="13.09765625" style="1551" customWidth="1"/>
    <col min="14343" max="14592" width="9" style="1551"/>
    <col min="14593" max="14593" width="5.19921875" style="1551" customWidth="1"/>
    <col min="14594" max="14594" width="34.09765625" style="1551" customWidth="1"/>
    <col min="14595" max="14595" width="8.59765625" style="1551" customWidth="1"/>
    <col min="14596" max="14596" width="8.5" style="1551" customWidth="1"/>
    <col min="14597" max="14597" width="8.69921875" style="1551" customWidth="1"/>
    <col min="14598" max="14598" width="13.09765625" style="1551" customWidth="1"/>
    <col min="14599" max="14848" width="9" style="1551"/>
    <col min="14849" max="14849" width="5.19921875" style="1551" customWidth="1"/>
    <col min="14850" max="14850" width="34.09765625" style="1551" customWidth="1"/>
    <col min="14851" max="14851" width="8.59765625" style="1551" customWidth="1"/>
    <col min="14852" max="14852" width="8.5" style="1551" customWidth="1"/>
    <col min="14853" max="14853" width="8.69921875" style="1551" customWidth="1"/>
    <col min="14854" max="14854" width="13.09765625" style="1551" customWidth="1"/>
    <col min="14855" max="15104" width="9" style="1551"/>
    <col min="15105" max="15105" width="5.19921875" style="1551" customWidth="1"/>
    <col min="15106" max="15106" width="34.09765625" style="1551" customWidth="1"/>
    <col min="15107" max="15107" width="8.59765625" style="1551" customWidth="1"/>
    <col min="15108" max="15108" width="8.5" style="1551" customWidth="1"/>
    <col min="15109" max="15109" width="8.69921875" style="1551" customWidth="1"/>
    <col min="15110" max="15110" width="13.09765625" style="1551" customWidth="1"/>
    <col min="15111" max="15360" width="9" style="1551"/>
    <col min="15361" max="15361" width="5.19921875" style="1551" customWidth="1"/>
    <col min="15362" max="15362" width="34.09765625" style="1551" customWidth="1"/>
    <col min="15363" max="15363" width="8.59765625" style="1551" customWidth="1"/>
    <col min="15364" max="15364" width="8.5" style="1551" customWidth="1"/>
    <col min="15365" max="15365" width="8.69921875" style="1551" customWidth="1"/>
    <col min="15366" max="15366" width="13.09765625" style="1551" customWidth="1"/>
    <col min="15367" max="15616" width="9" style="1551"/>
    <col min="15617" max="15617" width="5.19921875" style="1551" customWidth="1"/>
    <col min="15618" max="15618" width="34.09765625" style="1551" customWidth="1"/>
    <col min="15619" max="15619" width="8.59765625" style="1551" customWidth="1"/>
    <col min="15620" max="15620" width="8.5" style="1551" customWidth="1"/>
    <col min="15621" max="15621" width="8.69921875" style="1551" customWidth="1"/>
    <col min="15622" max="15622" width="13.09765625" style="1551" customWidth="1"/>
    <col min="15623" max="15872" width="9" style="1551"/>
    <col min="15873" max="15873" width="5.19921875" style="1551" customWidth="1"/>
    <col min="15874" max="15874" width="34.09765625" style="1551" customWidth="1"/>
    <col min="15875" max="15875" width="8.59765625" style="1551" customWidth="1"/>
    <col min="15876" max="15876" width="8.5" style="1551" customWidth="1"/>
    <col min="15877" max="15877" width="8.69921875" style="1551" customWidth="1"/>
    <col min="15878" max="15878" width="13.09765625" style="1551" customWidth="1"/>
    <col min="15879" max="16128" width="9" style="1551"/>
    <col min="16129" max="16129" width="5.19921875" style="1551" customWidth="1"/>
    <col min="16130" max="16130" width="34.09765625" style="1551" customWidth="1"/>
    <col min="16131" max="16131" width="8.59765625" style="1551" customWidth="1"/>
    <col min="16132" max="16132" width="8.5" style="1551" customWidth="1"/>
    <col min="16133" max="16133" width="8.69921875" style="1551" customWidth="1"/>
    <col min="16134" max="16134" width="13.09765625" style="1551" customWidth="1"/>
    <col min="16135" max="16384" width="9" style="1551"/>
  </cols>
  <sheetData>
    <row r="1" spans="1:10" ht="20.100000000000001" customHeight="1">
      <c r="A1" s="3400" t="s">
        <v>5451</v>
      </c>
      <c r="B1" s="3400"/>
      <c r="C1" s="3400"/>
      <c r="D1" s="3400"/>
      <c r="E1" s="3400"/>
      <c r="F1" s="1802"/>
    </row>
    <row r="2" spans="1:10" ht="25.5" customHeight="1">
      <c r="A2" s="3401" t="s">
        <v>5452</v>
      </c>
      <c r="B2" s="3401"/>
      <c r="C2" s="3401"/>
      <c r="D2" s="3401"/>
      <c r="E2" s="3401"/>
      <c r="F2" s="1833"/>
    </row>
    <row r="3" spans="1:10" ht="14.25" customHeight="1">
      <c r="A3" s="3405" t="s">
        <v>2359</v>
      </c>
      <c r="B3" s="3402" t="s">
        <v>5079</v>
      </c>
      <c r="C3" s="1843" t="s">
        <v>1850</v>
      </c>
      <c r="D3" s="1843" t="s">
        <v>1851</v>
      </c>
      <c r="E3" s="1843" t="s">
        <v>5259</v>
      </c>
      <c r="F3" s="3399" t="s">
        <v>5151</v>
      </c>
    </row>
    <row r="4" spans="1:10" ht="14.25" customHeight="1">
      <c r="A4" s="3466"/>
      <c r="B4" s="3467"/>
      <c r="C4" s="1840">
        <v>1</v>
      </c>
      <c r="D4" s="1842">
        <v>2</v>
      </c>
      <c r="E4" s="1842" t="s">
        <v>5360</v>
      </c>
      <c r="F4" s="3399"/>
      <c r="J4" s="1581"/>
    </row>
    <row r="5" spans="1:10" ht="14.25" customHeight="1">
      <c r="A5" s="1840">
        <v>1</v>
      </c>
      <c r="B5" s="1803" t="s">
        <v>5453</v>
      </c>
      <c r="C5" s="2072">
        <f>特殊行业准备金审核表!C5</f>
        <v>0</v>
      </c>
      <c r="D5" s="2072">
        <f>特殊行业准备金审核表!D5</f>
        <v>0</v>
      </c>
      <c r="E5" s="2072">
        <f>特殊行业准备金审核表!E5</f>
        <v>0</v>
      </c>
      <c r="F5" s="1968"/>
    </row>
    <row r="6" spans="1:10" ht="14.25" customHeight="1">
      <c r="A6" s="1840">
        <v>2</v>
      </c>
      <c r="B6" s="1817" t="s">
        <v>5454</v>
      </c>
      <c r="C6" s="2072">
        <f>特殊行业准备金审核表!C6</f>
        <v>0</v>
      </c>
      <c r="D6" s="2072">
        <f>特殊行业准备金审核表!D6</f>
        <v>0</v>
      </c>
      <c r="E6" s="2072">
        <f>特殊行业准备金审核表!E6</f>
        <v>0</v>
      </c>
      <c r="F6" s="1968"/>
    </row>
    <row r="7" spans="1:10" ht="14.25" customHeight="1">
      <c r="A7" s="1840">
        <v>3</v>
      </c>
      <c r="B7" s="1809" t="s">
        <v>5455</v>
      </c>
      <c r="C7" s="2072">
        <f>特殊行业准备金审核表!C7</f>
        <v>0</v>
      </c>
      <c r="D7" s="2072">
        <f>特殊行业准备金审核表!D7</f>
        <v>0</v>
      </c>
      <c r="E7" s="2072">
        <f>特殊行业准备金审核表!E7</f>
        <v>0</v>
      </c>
      <c r="F7" s="1968"/>
    </row>
    <row r="8" spans="1:10" ht="14.25" customHeight="1">
      <c r="A8" s="1840">
        <v>4</v>
      </c>
      <c r="B8" s="1809" t="s">
        <v>5456</v>
      </c>
      <c r="C8" s="2072">
        <f>特殊行业准备金审核表!C8</f>
        <v>0</v>
      </c>
      <c r="D8" s="2072">
        <f>特殊行业准备金审核表!D8</f>
        <v>0</v>
      </c>
      <c r="E8" s="2072">
        <f>特殊行业准备金审核表!E8</f>
        <v>0</v>
      </c>
      <c r="F8" s="1968"/>
    </row>
    <row r="9" spans="1:10" ht="14.25" customHeight="1">
      <c r="A9" s="1840">
        <v>5</v>
      </c>
      <c r="B9" s="1809" t="s">
        <v>5457</v>
      </c>
      <c r="C9" s="2072">
        <f>特殊行业准备金审核表!C9</f>
        <v>0</v>
      </c>
      <c r="D9" s="2072">
        <f>特殊行业准备金审核表!D9</f>
        <v>0</v>
      </c>
      <c r="E9" s="2072">
        <f>特殊行业准备金审核表!E9</f>
        <v>0</v>
      </c>
      <c r="F9" s="1968"/>
    </row>
    <row r="10" spans="1:10" ht="14.25" customHeight="1">
      <c r="A10" s="1840">
        <v>6</v>
      </c>
      <c r="B10" s="1809" t="s">
        <v>5458</v>
      </c>
      <c r="C10" s="2072">
        <f>特殊行业准备金审核表!C10</f>
        <v>0</v>
      </c>
      <c r="D10" s="2072">
        <f>特殊行业准备金审核表!D10</f>
        <v>0</v>
      </c>
      <c r="E10" s="2072">
        <f>特殊行业准备金审核表!E10</f>
        <v>0</v>
      </c>
      <c r="F10" s="1968"/>
    </row>
    <row r="11" spans="1:10" ht="14.25" customHeight="1">
      <c r="A11" s="1840">
        <v>7</v>
      </c>
      <c r="B11" s="1809" t="s">
        <v>5459</v>
      </c>
      <c r="C11" s="2072">
        <f>特殊行业准备金审核表!C11</f>
        <v>0</v>
      </c>
      <c r="D11" s="2072">
        <f>特殊行业准备金审核表!D11</f>
        <v>0</v>
      </c>
      <c r="E11" s="2072">
        <f>特殊行业准备金审核表!E11</f>
        <v>0</v>
      </c>
      <c r="F11" s="1968"/>
    </row>
    <row r="12" spans="1:10" ht="14.25" customHeight="1">
      <c r="A12" s="1840">
        <v>8</v>
      </c>
      <c r="B12" s="1809" t="s">
        <v>5460</v>
      </c>
      <c r="C12" s="2072">
        <f>特殊行业准备金审核表!C12</f>
        <v>0</v>
      </c>
      <c r="D12" s="2072">
        <f>特殊行业准备金审核表!D12</f>
        <v>0</v>
      </c>
      <c r="E12" s="2072">
        <f>特殊行业准备金审核表!E12</f>
        <v>0</v>
      </c>
      <c r="F12" s="1968"/>
    </row>
    <row r="13" spans="1:10" ht="14.25" customHeight="1">
      <c r="A13" s="1840">
        <v>9</v>
      </c>
      <c r="B13" s="1809" t="s">
        <v>5461</v>
      </c>
      <c r="C13" s="2072">
        <f>特殊行业准备金审核表!C13</f>
        <v>0</v>
      </c>
      <c r="D13" s="2072">
        <f>特殊行业准备金审核表!D13</f>
        <v>0</v>
      </c>
      <c r="E13" s="2072">
        <f>特殊行业准备金审核表!E13</f>
        <v>0</v>
      </c>
      <c r="F13" s="1968"/>
      <c r="G13" s="1675" t="s">
        <v>6453</v>
      </c>
    </row>
    <row r="14" spans="1:10" ht="14.25" customHeight="1">
      <c r="A14" s="1840">
        <v>10</v>
      </c>
      <c r="B14" s="1809" t="s">
        <v>5369</v>
      </c>
      <c r="C14" s="2072">
        <f>特殊行业准备金审核表!C14</f>
        <v>0</v>
      </c>
      <c r="D14" s="2072">
        <f>特殊行业准备金审核表!D14</f>
        <v>0</v>
      </c>
      <c r="E14" s="2072">
        <f>特殊行业准备金审核表!E14</f>
        <v>0</v>
      </c>
      <c r="F14" s="1968"/>
    </row>
    <row r="15" spans="1:10" ht="14.25" customHeight="1">
      <c r="A15" s="1840">
        <v>11</v>
      </c>
      <c r="B15" s="1809" t="s">
        <v>5462</v>
      </c>
      <c r="C15" s="2072">
        <f>特殊行业准备金审核表!C15</f>
        <v>0</v>
      </c>
      <c r="D15" s="2072">
        <f>特殊行业准备金审核表!D15</f>
        <v>0</v>
      </c>
      <c r="E15" s="2072">
        <f>特殊行业准备金审核表!E15</f>
        <v>0</v>
      </c>
      <c r="F15" s="1968"/>
    </row>
    <row r="16" spans="1:10" ht="14.25" customHeight="1">
      <c r="A16" s="1840">
        <v>12</v>
      </c>
      <c r="B16" s="1809" t="s">
        <v>5463</v>
      </c>
      <c r="C16" s="2072">
        <f>特殊行业准备金审核表!C16</f>
        <v>0</v>
      </c>
      <c r="D16" s="2072">
        <f>特殊行业准备金审核表!D16</f>
        <v>0</v>
      </c>
      <c r="E16" s="2072">
        <f>特殊行业准备金审核表!E16</f>
        <v>0</v>
      </c>
      <c r="F16" s="1968"/>
    </row>
    <row r="17" spans="1:6" ht="14.25" customHeight="1">
      <c r="A17" s="1840">
        <v>13</v>
      </c>
      <c r="B17" s="1809" t="s">
        <v>5464</v>
      </c>
      <c r="C17" s="2072">
        <f>特殊行业准备金审核表!C17</f>
        <v>0</v>
      </c>
      <c r="D17" s="2072">
        <f>特殊行业准备金审核表!D17</f>
        <v>0</v>
      </c>
      <c r="E17" s="2072">
        <f>特殊行业准备金审核表!E17</f>
        <v>0</v>
      </c>
      <c r="F17" s="1968"/>
    </row>
    <row r="18" spans="1:6" ht="14.25" customHeight="1">
      <c r="A18" s="1840">
        <v>14</v>
      </c>
      <c r="B18" s="1809" t="s">
        <v>5465</v>
      </c>
      <c r="C18" s="2072">
        <f>特殊行业准备金审核表!C18</f>
        <v>0</v>
      </c>
      <c r="D18" s="2072">
        <f>特殊行业准备金审核表!D18</f>
        <v>0</v>
      </c>
      <c r="E18" s="2072">
        <f>特殊行业准备金审核表!E18</f>
        <v>0</v>
      </c>
      <c r="F18" s="1968"/>
    </row>
    <row r="19" spans="1:6" ht="14.25" customHeight="1">
      <c r="A19" s="1840">
        <v>15</v>
      </c>
      <c r="B19" s="1809" t="s">
        <v>269</v>
      </c>
      <c r="C19" s="2072">
        <f>特殊行业准备金审核表!C19</f>
        <v>0</v>
      </c>
      <c r="D19" s="2072">
        <f>特殊行业准备金审核表!D19</f>
        <v>0</v>
      </c>
      <c r="E19" s="2072">
        <f>特殊行业准备金审核表!E19</f>
        <v>0</v>
      </c>
      <c r="F19" s="1968"/>
    </row>
    <row r="20" spans="1:6" ht="14.25" customHeight="1">
      <c r="A20" s="1840">
        <v>16</v>
      </c>
      <c r="B20" s="1809" t="s">
        <v>5466</v>
      </c>
      <c r="C20" s="2072">
        <f>特殊行业准备金审核表!C20</f>
        <v>0</v>
      </c>
      <c r="D20" s="2072">
        <f>特殊行业准备金审核表!D20</f>
        <v>0</v>
      </c>
      <c r="E20" s="2072">
        <f>特殊行业准备金审核表!E20</f>
        <v>0</v>
      </c>
      <c r="F20" s="1968"/>
    </row>
    <row r="21" spans="1:6" ht="14.25" customHeight="1">
      <c r="A21" s="1840">
        <v>17</v>
      </c>
      <c r="B21" s="1809" t="s">
        <v>5467</v>
      </c>
      <c r="C21" s="2072">
        <f>特殊行业准备金审核表!C21</f>
        <v>0</v>
      </c>
      <c r="D21" s="2072">
        <f>特殊行业准备金审核表!D21</f>
        <v>0</v>
      </c>
      <c r="E21" s="2072">
        <f>特殊行业准备金审核表!E21</f>
        <v>0</v>
      </c>
      <c r="F21" s="1968"/>
    </row>
    <row r="22" spans="1:6" ht="14.25" customHeight="1">
      <c r="A22" s="1840">
        <v>18</v>
      </c>
      <c r="B22" s="1809" t="s">
        <v>5468</v>
      </c>
      <c r="C22" s="2072">
        <f>特殊行业准备金审核表!C22</f>
        <v>0</v>
      </c>
      <c r="D22" s="2072">
        <f>特殊行业准备金审核表!D22</f>
        <v>0</v>
      </c>
      <c r="E22" s="2072">
        <f>特殊行业准备金审核表!E22</f>
        <v>0</v>
      </c>
      <c r="F22" s="1968"/>
    </row>
    <row r="23" spans="1:6" ht="14.25" customHeight="1">
      <c r="A23" s="1840">
        <v>19</v>
      </c>
      <c r="B23" s="1809" t="s">
        <v>5469</v>
      </c>
      <c r="C23" s="2072">
        <f>特殊行业准备金审核表!C23</f>
        <v>0</v>
      </c>
      <c r="D23" s="2072">
        <f>特殊行业准备金审核表!D23</f>
        <v>0</v>
      </c>
      <c r="E23" s="2072">
        <f>特殊行业准备金审核表!E23</f>
        <v>0</v>
      </c>
      <c r="F23" s="1968"/>
    </row>
    <row r="24" spans="1:6" ht="14.25" customHeight="1">
      <c r="A24" s="1840">
        <v>20</v>
      </c>
      <c r="B24" s="1809" t="s">
        <v>269</v>
      </c>
      <c r="C24" s="2072">
        <f>特殊行业准备金审核表!C24</f>
        <v>0</v>
      </c>
      <c r="D24" s="2072">
        <f>特殊行业准备金审核表!D24</f>
        <v>0</v>
      </c>
      <c r="E24" s="2072">
        <f>特殊行业准备金审核表!E24</f>
        <v>0</v>
      </c>
      <c r="F24" s="1968"/>
    </row>
    <row r="25" spans="1:6" ht="14.25" customHeight="1">
      <c r="A25" s="1840">
        <v>21</v>
      </c>
      <c r="B25" s="1809" t="s">
        <v>5470</v>
      </c>
      <c r="C25" s="2072">
        <f>特殊行业准备金审核表!C25</f>
        <v>0</v>
      </c>
      <c r="D25" s="2072">
        <f>特殊行业准备金审核表!D25</f>
        <v>0</v>
      </c>
      <c r="E25" s="2072">
        <f>特殊行业准备金审核表!E25</f>
        <v>0</v>
      </c>
      <c r="F25" s="1968"/>
    </row>
    <row r="26" spans="1:6" ht="14.25" customHeight="1">
      <c r="A26" s="1840">
        <v>22</v>
      </c>
      <c r="B26" s="1809" t="s">
        <v>5471</v>
      </c>
      <c r="C26" s="2072">
        <f>特殊行业准备金审核表!C26</f>
        <v>0</v>
      </c>
      <c r="D26" s="2072">
        <f>特殊行业准备金审核表!D26</f>
        <v>0</v>
      </c>
      <c r="E26" s="2072">
        <f>特殊行业准备金审核表!E26</f>
        <v>0</v>
      </c>
      <c r="F26" s="1968"/>
    </row>
    <row r="27" spans="1:6" ht="14.25" customHeight="1">
      <c r="A27" s="1840">
        <v>23</v>
      </c>
      <c r="B27" s="1809" t="s">
        <v>5472</v>
      </c>
      <c r="C27" s="2072">
        <f>特殊行业准备金审核表!C27</f>
        <v>0</v>
      </c>
      <c r="D27" s="2072">
        <f>特殊行业准备金审核表!D27</f>
        <v>0</v>
      </c>
      <c r="E27" s="2072">
        <f>特殊行业准备金审核表!E27</f>
        <v>0</v>
      </c>
      <c r="F27" s="1968"/>
    </row>
    <row r="28" spans="1:6" ht="14.25" customHeight="1">
      <c r="A28" s="1840">
        <v>24</v>
      </c>
      <c r="B28" s="1809" t="s">
        <v>5202</v>
      </c>
      <c r="C28" s="2072">
        <f>特殊行业准备金审核表!C28</f>
        <v>0</v>
      </c>
      <c r="D28" s="2072">
        <f>特殊行业准备金审核表!D28</f>
        <v>0</v>
      </c>
      <c r="E28" s="2072">
        <f>特殊行业准备金审核表!E28</f>
        <v>0</v>
      </c>
      <c r="F28" s="1968"/>
    </row>
    <row r="29" spans="1:6" ht="14.25" customHeight="1">
      <c r="A29" s="1840">
        <v>25</v>
      </c>
      <c r="B29" s="1809" t="s">
        <v>5473</v>
      </c>
      <c r="C29" s="2072">
        <f>特殊行业准备金审核表!C29</f>
        <v>0</v>
      </c>
      <c r="D29" s="2072">
        <f>特殊行业准备金审核表!D29</f>
        <v>0</v>
      </c>
      <c r="E29" s="2072">
        <f>特殊行业准备金审核表!E29</f>
        <v>0</v>
      </c>
      <c r="F29" s="1968"/>
    </row>
    <row r="30" spans="1:6" ht="14.25" customHeight="1">
      <c r="A30" s="1840">
        <v>26</v>
      </c>
      <c r="B30" s="1811" t="s">
        <v>5474</v>
      </c>
      <c r="C30" s="2072">
        <f>特殊行业准备金审核表!C30</f>
        <v>0</v>
      </c>
      <c r="D30" s="2072">
        <f>特殊行业准备金审核表!D30</f>
        <v>0</v>
      </c>
      <c r="E30" s="2072">
        <f>特殊行业准备金审核表!E30</f>
        <v>0</v>
      </c>
      <c r="F30" s="1968"/>
    </row>
    <row r="31" spans="1:6" ht="14.25" customHeight="1">
      <c r="A31" s="1840">
        <v>27</v>
      </c>
      <c r="B31" s="1809" t="s">
        <v>5475</v>
      </c>
      <c r="C31" s="2072">
        <f>特殊行业准备金审核表!C31</f>
        <v>0</v>
      </c>
      <c r="D31" s="2072">
        <f>特殊行业准备金审核表!D31</f>
        <v>0</v>
      </c>
      <c r="E31" s="2072">
        <f>特殊行业准备金审核表!E31</f>
        <v>0</v>
      </c>
      <c r="F31" s="1968"/>
    </row>
    <row r="32" spans="1:6" ht="14.25" customHeight="1">
      <c r="A32" s="1840">
        <v>28</v>
      </c>
      <c r="B32" s="1811" t="s">
        <v>5202</v>
      </c>
      <c r="C32" s="2072">
        <f>特殊行业准备金审核表!C32</f>
        <v>0</v>
      </c>
      <c r="D32" s="2072">
        <f>特殊行业准备金审核表!D32</f>
        <v>0</v>
      </c>
      <c r="E32" s="2072">
        <f>特殊行业准备金审核表!E32</f>
        <v>0</v>
      </c>
      <c r="F32" s="1968"/>
    </row>
    <row r="33" spans="1:8" ht="14.25" customHeight="1">
      <c r="A33" s="1840">
        <v>29</v>
      </c>
      <c r="B33" s="1809" t="s">
        <v>5419</v>
      </c>
      <c r="C33" s="2072">
        <f>特殊行业准备金审核表!C33</f>
        <v>0</v>
      </c>
      <c r="D33" s="2072">
        <f>特殊行业准备金审核表!D33</f>
        <v>0</v>
      </c>
      <c r="E33" s="2072">
        <f>特殊行业准备金审核表!E33</f>
        <v>0</v>
      </c>
      <c r="F33" s="1968"/>
    </row>
    <row r="34" spans="1:8" ht="168.75" customHeight="1">
      <c r="A34" s="1840">
        <v>30</v>
      </c>
      <c r="B34" s="1818" t="s">
        <v>5476</v>
      </c>
      <c r="C34" s="2072">
        <f>特殊行业准备金审核表!C34</f>
        <v>0</v>
      </c>
      <c r="D34" s="2072">
        <f>特殊行业准备金审核表!D34</f>
        <v>0</v>
      </c>
      <c r="E34" s="2072">
        <f>特殊行业准备金审核表!E34</f>
        <v>0</v>
      </c>
      <c r="F34" s="1819" t="s">
        <v>5477</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984375" defaultRowHeight="15.6"/>
  <cols>
    <col min="1" max="1" width="4" style="1532" customWidth="1"/>
    <col min="2" max="2" width="7.19921875" style="1532" customWidth="1"/>
    <col min="3" max="3" width="6.09765625" style="1532" customWidth="1"/>
    <col min="4" max="13" width="11.5" style="1532" customWidth="1"/>
    <col min="14" max="14" width="14.69921875" style="1532" customWidth="1"/>
    <col min="15" max="256" width="12.3984375" style="1532"/>
    <col min="257" max="257" width="5.09765625" style="1532" customWidth="1"/>
    <col min="258" max="258" width="8" style="1532" customWidth="1"/>
    <col min="259" max="259" width="6.19921875" style="1532" customWidth="1"/>
    <col min="260" max="260" width="8.8984375" style="1532" customWidth="1"/>
    <col min="261" max="261" width="9.8984375" style="1532" customWidth="1"/>
    <col min="262" max="262" width="8.69921875" style="1532" customWidth="1"/>
    <col min="263" max="263" width="8.59765625" style="1532" customWidth="1"/>
    <col min="264" max="264" width="8.5" style="1532" customWidth="1"/>
    <col min="265" max="265" width="8.09765625" style="1532" customWidth="1"/>
    <col min="266" max="266" width="8.3984375" style="1532" customWidth="1"/>
    <col min="267" max="267" width="7" style="1532" customWidth="1"/>
    <col min="268" max="269" width="9.8984375" style="1532" customWidth="1"/>
    <col min="270" max="270" width="14.69921875" style="1532" customWidth="1"/>
    <col min="271" max="512" width="12.3984375" style="1532"/>
    <col min="513" max="513" width="5.09765625" style="1532" customWidth="1"/>
    <col min="514" max="514" width="8" style="1532" customWidth="1"/>
    <col min="515" max="515" width="6.19921875" style="1532" customWidth="1"/>
    <col min="516" max="516" width="8.8984375" style="1532" customWidth="1"/>
    <col min="517" max="517" width="9.8984375" style="1532" customWidth="1"/>
    <col min="518" max="518" width="8.69921875" style="1532" customWidth="1"/>
    <col min="519" max="519" width="8.59765625" style="1532" customWidth="1"/>
    <col min="520" max="520" width="8.5" style="1532" customWidth="1"/>
    <col min="521" max="521" width="8.09765625" style="1532" customWidth="1"/>
    <col min="522" max="522" width="8.3984375" style="1532" customWidth="1"/>
    <col min="523" max="523" width="7" style="1532" customWidth="1"/>
    <col min="524" max="525" width="9.8984375" style="1532" customWidth="1"/>
    <col min="526" max="526" width="14.69921875" style="1532" customWidth="1"/>
    <col min="527" max="768" width="12.3984375" style="1532"/>
    <col min="769" max="769" width="5.09765625" style="1532" customWidth="1"/>
    <col min="770" max="770" width="8" style="1532" customWidth="1"/>
    <col min="771" max="771" width="6.19921875" style="1532" customWidth="1"/>
    <col min="772" max="772" width="8.8984375" style="1532" customWidth="1"/>
    <col min="773" max="773" width="9.8984375" style="1532" customWidth="1"/>
    <col min="774" max="774" width="8.69921875" style="1532" customWidth="1"/>
    <col min="775" max="775" width="8.59765625" style="1532" customWidth="1"/>
    <col min="776" max="776" width="8.5" style="1532" customWidth="1"/>
    <col min="777" max="777" width="8.09765625" style="1532" customWidth="1"/>
    <col min="778" max="778" width="8.3984375" style="1532" customWidth="1"/>
    <col min="779" max="779" width="7" style="1532" customWidth="1"/>
    <col min="780" max="781" width="9.8984375" style="1532" customWidth="1"/>
    <col min="782" max="782" width="14.69921875" style="1532" customWidth="1"/>
    <col min="783" max="1024" width="12.3984375" style="1532"/>
    <col min="1025" max="1025" width="5.09765625" style="1532" customWidth="1"/>
    <col min="1026" max="1026" width="8" style="1532" customWidth="1"/>
    <col min="1027" max="1027" width="6.19921875" style="1532" customWidth="1"/>
    <col min="1028" max="1028" width="8.8984375" style="1532" customWidth="1"/>
    <col min="1029" max="1029" width="9.8984375" style="1532" customWidth="1"/>
    <col min="1030" max="1030" width="8.69921875" style="1532" customWidth="1"/>
    <col min="1031" max="1031" width="8.59765625" style="1532" customWidth="1"/>
    <col min="1032" max="1032" width="8.5" style="1532" customWidth="1"/>
    <col min="1033" max="1033" width="8.09765625" style="1532" customWidth="1"/>
    <col min="1034" max="1034" width="8.3984375" style="1532" customWidth="1"/>
    <col min="1035" max="1035" width="7" style="1532" customWidth="1"/>
    <col min="1036" max="1037" width="9.8984375" style="1532" customWidth="1"/>
    <col min="1038" max="1038" width="14.69921875" style="1532" customWidth="1"/>
    <col min="1039" max="1280" width="12.3984375" style="1532"/>
    <col min="1281" max="1281" width="5.09765625" style="1532" customWidth="1"/>
    <col min="1282" max="1282" width="8" style="1532" customWidth="1"/>
    <col min="1283" max="1283" width="6.19921875" style="1532" customWidth="1"/>
    <col min="1284" max="1284" width="8.8984375" style="1532" customWidth="1"/>
    <col min="1285" max="1285" width="9.8984375" style="1532" customWidth="1"/>
    <col min="1286" max="1286" width="8.69921875" style="1532" customWidth="1"/>
    <col min="1287" max="1287" width="8.59765625" style="1532" customWidth="1"/>
    <col min="1288" max="1288" width="8.5" style="1532" customWidth="1"/>
    <col min="1289" max="1289" width="8.09765625" style="1532" customWidth="1"/>
    <col min="1290" max="1290" width="8.3984375" style="1532" customWidth="1"/>
    <col min="1291" max="1291" width="7" style="1532" customWidth="1"/>
    <col min="1292" max="1293" width="9.8984375" style="1532" customWidth="1"/>
    <col min="1294" max="1294" width="14.69921875" style="1532" customWidth="1"/>
    <col min="1295" max="1536" width="12.3984375" style="1532"/>
    <col min="1537" max="1537" width="5.09765625" style="1532" customWidth="1"/>
    <col min="1538" max="1538" width="8" style="1532" customWidth="1"/>
    <col min="1539" max="1539" width="6.19921875" style="1532" customWidth="1"/>
    <col min="1540" max="1540" width="8.8984375" style="1532" customWidth="1"/>
    <col min="1541" max="1541" width="9.8984375" style="1532" customWidth="1"/>
    <col min="1542" max="1542" width="8.69921875" style="1532" customWidth="1"/>
    <col min="1543" max="1543" width="8.59765625" style="1532" customWidth="1"/>
    <col min="1544" max="1544" width="8.5" style="1532" customWidth="1"/>
    <col min="1545" max="1545" width="8.09765625" style="1532" customWidth="1"/>
    <col min="1546" max="1546" width="8.3984375" style="1532" customWidth="1"/>
    <col min="1547" max="1547" width="7" style="1532" customWidth="1"/>
    <col min="1548" max="1549" width="9.8984375" style="1532" customWidth="1"/>
    <col min="1550" max="1550" width="14.69921875" style="1532" customWidth="1"/>
    <col min="1551" max="1792" width="12.3984375" style="1532"/>
    <col min="1793" max="1793" width="5.09765625" style="1532" customWidth="1"/>
    <col min="1794" max="1794" width="8" style="1532" customWidth="1"/>
    <col min="1795" max="1795" width="6.19921875" style="1532" customWidth="1"/>
    <col min="1796" max="1796" width="8.8984375" style="1532" customWidth="1"/>
    <col min="1797" max="1797" width="9.8984375" style="1532" customWidth="1"/>
    <col min="1798" max="1798" width="8.69921875" style="1532" customWidth="1"/>
    <col min="1799" max="1799" width="8.59765625" style="1532" customWidth="1"/>
    <col min="1800" max="1800" width="8.5" style="1532" customWidth="1"/>
    <col min="1801" max="1801" width="8.09765625" style="1532" customWidth="1"/>
    <col min="1802" max="1802" width="8.3984375" style="1532" customWidth="1"/>
    <col min="1803" max="1803" width="7" style="1532" customWidth="1"/>
    <col min="1804" max="1805" width="9.8984375" style="1532" customWidth="1"/>
    <col min="1806" max="1806" width="14.69921875" style="1532" customWidth="1"/>
    <col min="1807" max="2048" width="12.3984375" style="1532"/>
    <col min="2049" max="2049" width="5.09765625" style="1532" customWidth="1"/>
    <col min="2050" max="2050" width="8" style="1532" customWidth="1"/>
    <col min="2051" max="2051" width="6.19921875" style="1532" customWidth="1"/>
    <col min="2052" max="2052" width="8.8984375" style="1532" customWidth="1"/>
    <col min="2053" max="2053" width="9.8984375" style="1532" customWidth="1"/>
    <col min="2054" max="2054" width="8.69921875" style="1532" customWidth="1"/>
    <col min="2055" max="2055" width="8.59765625" style="1532" customWidth="1"/>
    <col min="2056" max="2056" width="8.5" style="1532" customWidth="1"/>
    <col min="2057" max="2057" width="8.09765625" style="1532" customWidth="1"/>
    <col min="2058" max="2058" width="8.3984375" style="1532" customWidth="1"/>
    <col min="2059" max="2059" width="7" style="1532" customWidth="1"/>
    <col min="2060" max="2061" width="9.8984375" style="1532" customWidth="1"/>
    <col min="2062" max="2062" width="14.69921875" style="1532" customWidth="1"/>
    <col min="2063" max="2304" width="12.3984375" style="1532"/>
    <col min="2305" max="2305" width="5.09765625" style="1532" customWidth="1"/>
    <col min="2306" max="2306" width="8" style="1532" customWidth="1"/>
    <col min="2307" max="2307" width="6.19921875" style="1532" customWidth="1"/>
    <col min="2308" max="2308" width="8.8984375" style="1532" customWidth="1"/>
    <col min="2309" max="2309" width="9.8984375" style="1532" customWidth="1"/>
    <col min="2310" max="2310" width="8.69921875" style="1532" customWidth="1"/>
    <col min="2311" max="2311" width="8.59765625" style="1532" customWidth="1"/>
    <col min="2312" max="2312" width="8.5" style="1532" customWidth="1"/>
    <col min="2313" max="2313" width="8.09765625" style="1532" customWidth="1"/>
    <col min="2314" max="2314" width="8.3984375" style="1532" customWidth="1"/>
    <col min="2315" max="2315" width="7" style="1532" customWidth="1"/>
    <col min="2316" max="2317" width="9.8984375" style="1532" customWidth="1"/>
    <col min="2318" max="2318" width="14.69921875" style="1532" customWidth="1"/>
    <col min="2319" max="2560" width="12.3984375" style="1532"/>
    <col min="2561" max="2561" width="5.09765625" style="1532" customWidth="1"/>
    <col min="2562" max="2562" width="8" style="1532" customWidth="1"/>
    <col min="2563" max="2563" width="6.19921875" style="1532" customWidth="1"/>
    <col min="2564" max="2564" width="8.8984375" style="1532" customWidth="1"/>
    <col min="2565" max="2565" width="9.8984375" style="1532" customWidth="1"/>
    <col min="2566" max="2566" width="8.69921875" style="1532" customWidth="1"/>
    <col min="2567" max="2567" width="8.59765625" style="1532" customWidth="1"/>
    <col min="2568" max="2568" width="8.5" style="1532" customWidth="1"/>
    <col min="2569" max="2569" width="8.09765625" style="1532" customWidth="1"/>
    <col min="2570" max="2570" width="8.3984375" style="1532" customWidth="1"/>
    <col min="2571" max="2571" width="7" style="1532" customWidth="1"/>
    <col min="2572" max="2573" width="9.8984375" style="1532" customWidth="1"/>
    <col min="2574" max="2574" width="14.69921875" style="1532" customWidth="1"/>
    <col min="2575" max="2816" width="12.3984375" style="1532"/>
    <col min="2817" max="2817" width="5.09765625" style="1532" customWidth="1"/>
    <col min="2818" max="2818" width="8" style="1532" customWidth="1"/>
    <col min="2819" max="2819" width="6.19921875" style="1532" customWidth="1"/>
    <col min="2820" max="2820" width="8.8984375" style="1532" customWidth="1"/>
    <col min="2821" max="2821" width="9.8984375" style="1532" customWidth="1"/>
    <col min="2822" max="2822" width="8.69921875" style="1532" customWidth="1"/>
    <col min="2823" max="2823" width="8.59765625" style="1532" customWidth="1"/>
    <col min="2824" max="2824" width="8.5" style="1532" customWidth="1"/>
    <col min="2825" max="2825" width="8.09765625" style="1532" customWidth="1"/>
    <col min="2826" max="2826" width="8.3984375" style="1532" customWidth="1"/>
    <col min="2827" max="2827" width="7" style="1532" customWidth="1"/>
    <col min="2828" max="2829" width="9.8984375" style="1532" customWidth="1"/>
    <col min="2830" max="2830" width="14.69921875" style="1532" customWidth="1"/>
    <col min="2831" max="3072" width="12.3984375" style="1532"/>
    <col min="3073" max="3073" width="5.09765625" style="1532" customWidth="1"/>
    <col min="3074" max="3074" width="8" style="1532" customWidth="1"/>
    <col min="3075" max="3075" width="6.19921875" style="1532" customWidth="1"/>
    <col min="3076" max="3076" width="8.8984375" style="1532" customWidth="1"/>
    <col min="3077" max="3077" width="9.8984375" style="1532" customWidth="1"/>
    <col min="3078" max="3078" width="8.69921875" style="1532" customWidth="1"/>
    <col min="3079" max="3079" width="8.59765625" style="1532" customWidth="1"/>
    <col min="3080" max="3080" width="8.5" style="1532" customWidth="1"/>
    <col min="3081" max="3081" width="8.09765625" style="1532" customWidth="1"/>
    <col min="3082" max="3082" width="8.3984375" style="1532" customWidth="1"/>
    <col min="3083" max="3083" width="7" style="1532" customWidth="1"/>
    <col min="3084" max="3085" width="9.8984375" style="1532" customWidth="1"/>
    <col min="3086" max="3086" width="14.69921875" style="1532" customWidth="1"/>
    <col min="3087" max="3328" width="12.3984375" style="1532"/>
    <col min="3329" max="3329" width="5.09765625" style="1532" customWidth="1"/>
    <col min="3330" max="3330" width="8" style="1532" customWidth="1"/>
    <col min="3331" max="3331" width="6.19921875" style="1532" customWidth="1"/>
    <col min="3332" max="3332" width="8.8984375" style="1532" customWidth="1"/>
    <col min="3333" max="3333" width="9.8984375" style="1532" customWidth="1"/>
    <col min="3334" max="3334" width="8.69921875" style="1532" customWidth="1"/>
    <col min="3335" max="3335" width="8.59765625" style="1532" customWidth="1"/>
    <col min="3336" max="3336" width="8.5" style="1532" customWidth="1"/>
    <col min="3337" max="3337" width="8.09765625" style="1532" customWidth="1"/>
    <col min="3338" max="3338" width="8.3984375" style="1532" customWidth="1"/>
    <col min="3339" max="3339" width="7" style="1532" customWidth="1"/>
    <col min="3340" max="3341" width="9.8984375" style="1532" customWidth="1"/>
    <col min="3342" max="3342" width="14.69921875" style="1532" customWidth="1"/>
    <col min="3343" max="3584" width="12.3984375" style="1532"/>
    <col min="3585" max="3585" width="5.09765625" style="1532" customWidth="1"/>
    <col min="3586" max="3586" width="8" style="1532" customWidth="1"/>
    <col min="3587" max="3587" width="6.19921875" style="1532" customWidth="1"/>
    <col min="3588" max="3588" width="8.8984375" style="1532" customWidth="1"/>
    <col min="3589" max="3589" width="9.8984375" style="1532" customWidth="1"/>
    <col min="3590" max="3590" width="8.69921875" style="1532" customWidth="1"/>
    <col min="3591" max="3591" width="8.59765625" style="1532" customWidth="1"/>
    <col min="3592" max="3592" width="8.5" style="1532" customWidth="1"/>
    <col min="3593" max="3593" width="8.09765625" style="1532" customWidth="1"/>
    <col min="3594" max="3594" width="8.3984375" style="1532" customWidth="1"/>
    <col min="3595" max="3595" width="7" style="1532" customWidth="1"/>
    <col min="3596" max="3597" width="9.8984375" style="1532" customWidth="1"/>
    <col min="3598" max="3598" width="14.69921875" style="1532" customWidth="1"/>
    <col min="3599" max="3840" width="12.3984375" style="1532"/>
    <col min="3841" max="3841" width="5.09765625" style="1532" customWidth="1"/>
    <col min="3842" max="3842" width="8" style="1532" customWidth="1"/>
    <col min="3843" max="3843" width="6.19921875" style="1532" customWidth="1"/>
    <col min="3844" max="3844" width="8.8984375" style="1532" customWidth="1"/>
    <col min="3845" max="3845" width="9.8984375" style="1532" customWidth="1"/>
    <col min="3846" max="3846" width="8.69921875" style="1532" customWidth="1"/>
    <col min="3847" max="3847" width="8.59765625" style="1532" customWidth="1"/>
    <col min="3848" max="3848" width="8.5" style="1532" customWidth="1"/>
    <col min="3849" max="3849" width="8.09765625" style="1532" customWidth="1"/>
    <col min="3850" max="3850" width="8.3984375" style="1532" customWidth="1"/>
    <col min="3851" max="3851" width="7" style="1532" customWidth="1"/>
    <col min="3852" max="3853" width="9.8984375" style="1532" customWidth="1"/>
    <col min="3854" max="3854" width="14.69921875" style="1532" customWidth="1"/>
    <col min="3855" max="4096" width="12.3984375" style="1532"/>
    <col min="4097" max="4097" width="5.09765625" style="1532" customWidth="1"/>
    <col min="4098" max="4098" width="8" style="1532" customWidth="1"/>
    <col min="4099" max="4099" width="6.19921875" style="1532" customWidth="1"/>
    <col min="4100" max="4100" width="8.8984375" style="1532" customWidth="1"/>
    <col min="4101" max="4101" width="9.8984375" style="1532" customWidth="1"/>
    <col min="4102" max="4102" width="8.69921875" style="1532" customWidth="1"/>
    <col min="4103" max="4103" width="8.59765625" style="1532" customWidth="1"/>
    <col min="4104" max="4104" width="8.5" style="1532" customWidth="1"/>
    <col min="4105" max="4105" width="8.09765625" style="1532" customWidth="1"/>
    <col min="4106" max="4106" width="8.3984375" style="1532" customWidth="1"/>
    <col min="4107" max="4107" width="7" style="1532" customWidth="1"/>
    <col min="4108" max="4109" width="9.8984375" style="1532" customWidth="1"/>
    <col min="4110" max="4110" width="14.69921875" style="1532" customWidth="1"/>
    <col min="4111" max="4352" width="12.3984375" style="1532"/>
    <col min="4353" max="4353" width="5.09765625" style="1532" customWidth="1"/>
    <col min="4354" max="4354" width="8" style="1532" customWidth="1"/>
    <col min="4355" max="4355" width="6.19921875" style="1532" customWidth="1"/>
    <col min="4356" max="4356" width="8.8984375" style="1532" customWidth="1"/>
    <col min="4357" max="4357" width="9.8984375" style="1532" customWidth="1"/>
    <col min="4358" max="4358" width="8.69921875" style="1532" customWidth="1"/>
    <col min="4359" max="4359" width="8.59765625" style="1532" customWidth="1"/>
    <col min="4360" max="4360" width="8.5" style="1532" customWidth="1"/>
    <col min="4361" max="4361" width="8.09765625" style="1532" customWidth="1"/>
    <col min="4362" max="4362" width="8.3984375" style="1532" customWidth="1"/>
    <col min="4363" max="4363" width="7" style="1532" customWidth="1"/>
    <col min="4364" max="4365" width="9.8984375" style="1532" customWidth="1"/>
    <col min="4366" max="4366" width="14.69921875" style="1532" customWidth="1"/>
    <col min="4367" max="4608" width="12.3984375" style="1532"/>
    <col min="4609" max="4609" width="5.09765625" style="1532" customWidth="1"/>
    <col min="4610" max="4610" width="8" style="1532" customWidth="1"/>
    <col min="4611" max="4611" width="6.19921875" style="1532" customWidth="1"/>
    <col min="4612" max="4612" width="8.8984375" style="1532" customWidth="1"/>
    <col min="4613" max="4613" width="9.8984375" style="1532" customWidth="1"/>
    <col min="4614" max="4614" width="8.69921875" style="1532" customWidth="1"/>
    <col min="4615" max="4615" width="8.59765625" style="1532" customWidth="1"/>
    <col min="4616" max="4616" width="8.5" style="1532" customWidth="1"/>
    <col min="4617" max="4617" width="8.09765625" style="1532" customWidth="1"/>
    <col min="4618" max="4618" width="8.3984375" style="1532" customWidth="1"/>
    <col min="4619" max="4619" width="7" style="1532" customWidth="1"/>
    <col min="4620" max="4621" width="9.8984375" style="1532" customWidth="1"/>
    <col min="4622" max="4622" width="14.69921875" style="1532" customWidth="1"/>
    <col min="4623" max="4864" width="12.3984375" style="1532"/>
    <col min="4865" max="4865" width="5.09765625" style="1532" customWidth="1"/>
    <col min="4866" max="4866" width="8" style="1532" customWidth="1"/>
    <col min="4867" max="4867" width="6.19921875" style="1532" customWidth="1"/>
    <col min="4868" max="4868" width="8.8984375" style="1532" customWidth="1"/>
    <col min="4869" max="4869" width="9.8984375" style="1532" customWidth="1"/>
    <col min="4870" max="4870" width="8.69921875" style="1532" customWidth="1"/>
    <col min="4871" max="4871" width="8.59765625" style="1532" customWidth="1"/>
    <col min="4872" max="4872" width="8.5" style="1532" customWidth="1"/>
    <col min="4873" max="4873" width="8.09765625" style="1532" customWidth="1"/>
    <col min="4874" max="4874" width="8.3984375" style="1532" customWidth="1"/>
    <col min="4875" max="4875" width="7" style="1532" customWidth="1"/>
    <col min="4876" max="4877" width="9.8984375" style="1532" customWidth="1"/>
    <col min="4878" max="4878" width="14.69921875" style="1532" customWidth="1"/>
    <col min="4879" max="5120" width="12.3984375" style="1532"/>
    <col min="5121" max="5121" width="5.09765625" style="1532" customWidth="1"/>
    <col min="5122" max="5122" width="8" style="1532" customWidth="1"/>
    <col min="5123" max="5123" width="6.19921875" style="1532" customWidth="1"/>
    <col min="5124" max="5124" width="8.8984375" style="1532" customWidth="1"/>
    <col min="5125" max="5125" width="9.8984375" style="1532" customWidth="1"/>
    <col min="5126" max="5126" width="8.69921875" style="1532" customWidth="1"/>
    <col min="5127" max="5127" width="8.59765625" style="1532" customWidth="1"/>
    <col min="5128" max="5128" width="8.5" style="1532" customWidth="1"/>
    <col min="5129" max="5129" width="8.09765625" style="1532" customWidth="1"/>
    <col min="5130" max="5130" width="8.3984375" style="1532" customWidth="1"/>
    <col min="5131" max="5131" width="7" style="1532" customWidth="1"/>
    <col min="5132" max="5133" width="9.8984375" style="1532" customWidth="1"/>
    <col min="5134" max="5134" width="14.69921875" style="1532" customWidth="1"/>
    <col min="5135" max="5376" width="12.3984375" style="1532"/>
    <col min="5377" max="5377" width="5.09765625" style="1532" customWidth="1"/>
    <col min="5378" max="5378" width="8" style="1532" customWidth="1"/>
    <col min="5379" max="5379" width="6.19921875" style="1532" customWidth="1"/>
    <col min="5380" max="5380" width="8.8984375" style="1532" customWidth="1"/>
    <col min="5381" max="5381" width="9.8984375" style="1532" customWidth="1"/>
    <col min="5382" max="5382" width="8.69921875" style="1532" customWidth="1"/>
    <col min="5383" max="5383" width="8.59765625" style="1532" customWidth="1"/>
    <col min="5384" max="5384" width="8.5" style="1532" customWidth="1"/>
    <col min="5385" max="5385" width="8.09765625" style="1532" customWidth="1"/>
    <col min="5386" max="5386" width="8.3984375" style="1532" customWidth="1"/>
    <col min="5387" max="5387" width="7" style="1532" customWidth="1"/>
    <col min="5388" max="5389" width="9.8984375" style="1532" customWidth="1"/>
    <col min="5390" max="5390" width="14.69921875" style="1532" customWidth="1"/>
    <col min="5391" max="5632" width="12.3984375" style="1532"/>
    <col min="5633" max="5633" width="5.09765625" style="1532" customWidth="1"/>
    <col min="5634" max="5634" width="8" style="1532" customWidth="1"/>
    <col min="5635" max="5635" width="6.19921875" style="1532" customWidth="1"/>
    <col min="5636" max="5636" width="8.8984375" style="1532" customWidth="1"/>
    <col min="5637" max="5637" width="9.8984375" style="1532" customWidth="1"/>
    <col min="5638" max="5638" width="8.69921875" style="1532" customWidth="1"/>
    <col min="5639" max="5639" width="8.59765625" style="1532" customWidth="1"/>
    <col min="5640" max="5640" width="8.5" style="1532" customWidth="1"/>
    <col min="5641" max="5641" width="8.09765625" style="1532" customWidth="1"/>
    <col min="5642" max="5642" width="8.3984375" style="1532" customWidth="1"/>
    <col min="5643" max="5643" width="7" style="1532" customWidth="1"/>
    <col min="5644" max="5645" width="9.8984375" style="1532" customWidth="1"/>
    <col min="5646" max="5646" width="14.69921875" style="1532" customWidth="1"/>
    <col min="5647" max="5888" width="12.3984375" style="1532"/>
    <col min="5889" max="5889" width="5.09765625" style="1532" customWidth="1"/>
    <col min="5890" max="5890" width="8" style="1532" customWidth="1"/>
    <col min="5891" max="5891" width="6.19921875" style="1532" customWidth="1"/>
    <col min="5892" max="5892" width="8.8984375" style="1532" customWidth="1"/>
    <col min="5893" max="5893" width="9.8984375" style="1532" customWidth="1"/>
    <col min="5894" max="5894" width="8.69921875" style="1532" customWidth="1"/>
    <col min="5895" max="5895" width="8.59765625" style="1532" customWidth="1"/>
    <col min="5896" max="5896" width="8.5" style="1532" customWidth="1"/>
    <col min="5897" max="5897" width="8.09765625" style="1532" customWidth="1"/>
    <col min="5898" max="5898" width="8.3984375" style="1532" customWidth="1"/>
    <col min="5899" max="5899" width="7" style="1532" customWidth="1"/>
    <col min="5900" max="5901" width="9.8984375" style="1532" customWidth="1"/>
    <col min="5902" max="5902" width="14.69921875" style="1532" customWidth="1"/>
    <col min="5903" max="6144" width="12.3984375" style="1532"/>
    <col min="6145" max="6145" width="5.09765625" style="1532" customWidth="1"/>
    <col min="6146" max="6146" width="8" style="1532" customWidth="1"/>
    <col min="6147" max="6147" width="6.19921875" style="1532" customWidth="1"/>
    <col min="6148" max="6148" width="8.8984375" style="1532" customWidth="1"/>
    <col min="6149" max="6149" width="9.8984375" style="1532" customWidth="1"/>
    <col min="6150" max="6150" width="8.69921875" style="1532" customWidth="1"/>
    <col min="6151" max="6151" width="8.59765625" style="1532" customWidth="1"/>
    <col min="6152" max="6152" width="8.5" style="1532" customWidth="1"/>
    <col min="6153" max="6153" width="8.09765625" style="1532" customWidth="1"/>
    <col min="6154" max="6154" width="8.3984375" style="1532" customWidth="1"/>
    <col min="6155" max="6155" width="7" style="1532" customWidth="1"/>
    <col min="6156" max="6157" width="9.8984375" style="1532" customWidth="1"/>
    <col min="6158" max="6158" width="14.69921875" style="1532" customWidth="1"/>
    <col min="6159" max="6400" width="12.3984375" style="1532"/>
    <col min="6401" max="6401" width="5.09765625" style="1532" customWidth="1"/>
    <col min="6402" max="6402" width="8" style="1532" customWidth="1"/>
    <col min="6403" max="6403" width="6.19921875" style="1532" customWidth="1"/>
    <col min="6404" max="6404" width="8.8984375" style="1532" customWidth="1"/>
    <col min="6405" max="6405" width="9.8984375" style="1532" customWidth="1"/>
    <col min="6406" max="6406" width="8.69921875" style="1532" customWidth="1"/>
    <col min="6407" max="6407" width="8.59765625" style="1532" customWidth="1"/>
    <col min="6408" max="6408" width="8.5" style="1532" customWidth="1"/>
    <col min="6409" max="6409" width="8.09765625" style="1532" customWidth="1"/>
    <col min="6410" max="6410" width="8.3984375" style="1532" customWidth="1"/>
    <col min="6411" max="6411" width="7" style="1532" customWidth="1"/>
    <col min="6412" max="6413" width="9.8984375" style="1532" customWidth="1"/>
    <col min="6414" max="6414" width="14.69921875" style="1532" customWidth="1"/>
    <col min="6415" max="6656" width="12.3984375" style="1532"/>
    <col min="6657" max="6657" width="5.09765625" style="1532" customWidth="1"/>
    <col min="6658" max="6658" width="8" style="1532" customWidth="1"/>
    <col min="6659" max="6659" width="6.19921875" style="1532" customWidth="1"/>
    <col min="6660" max="6660" width="8.8984375" style="1532" customWidth="1"/>
    <col min="6661" max="6661" width="9.8984375" style="1532" customWidth="1"/>
    <col min="6662" max="6662" width="8.69921875" style="1532" customWidth="1"/>
    <col min="6663" max="6663" width="8.59765625" style="1532" customWidth="1"/>
    <col min="6664" max="6664" width="8.5" style="1532" customWidth="1"/>
    <col min="6665" max="6665" width="8.09765625" style="1532" customWidth="1"/>
    <col min="6666" max="6666" width="8.3984375" style="1532" customWidth="1"/>
    <col min="6667" max="6667" width="7" style="1532" customWidth="1"/>
    <col min="6668" max="6669" width="9.8984375" style="1532" customWidth="1"/>
    <col min="6670" max="6670" width="14.69921875" style="1532" customWidth="1"/>
    <col min="6671" max="6912" width="12.3984375" style="1532"/>
    <col min="6913" max="6913" width="5.09765625" style="1532" customWidth="1"/>
    <col min="6914" max="6914" width="8" style="1532" customWidth="1"/>
    <col min="6915" max="6915" width="6.19921875" style="1532" customWidth="1"/>
    <col min="6916" max="6916" width="8.8984375" style="1532" customWidth="1"/>
    <col min="6917" max="6917" width="9.8984375" style="1532" customWidth="1"/>
    <col min="6918" max="6918" width="8.69921875" style="1532" customWidth="1"/>
    <col min="6919" max="6919" width="8.59765625" style="1532" customWidth="1"/>
    <col min="6920" max="6920" width="8.5" style="1532" customWidth="1"/>
    <col min="6921" max="6921" width="8.09765625" style="1532" customWidth="1"/>
    <col min="6922" max="6922" width="8.3984375" style="1532" customWidth="1"/>
    <col min="6923" max="6923" width="7" style="1532" customWidth="1"/>
    <col min="6924" max="6925" width="9.8984375" style="1532" customWidth="1"/>
    <col min="6926" max="6926" width="14.69921875" style="1532" customWidth="1"/>
    <col min="6927" max="7168" width="12.3984375" style="1532"/>
    <col min="7169" max="7169" width="5.09765625" style="1532" customWidth="1"/>
    <col min="7170" max="7170" width="8" style="1532" customWidth="1"/>
    <col min="7171" max="7171" width="6.19921875" style="1532" customWidth="1"/>
    <col min="7172" max="7172" width="8.8984375" style="1532" customWidth="1"/>
    <col min="7173" max="7173" width="9.8984375" style="1532" customWidth="1"/>
    <col min="7174" max="7174" width="8.69921875" style="1532" customWidth="1"/>
    <col min="7175" max="7175" width="8.59765625" style="1532" customWidth="1"/>
    <col min="7176" max="7176" width="8.5" style="1532" customWidth="1"/>
    <col min="7177" max="7177" width="8.09765625" style="1532" customWidth="1"/>
    <col min="7178" max="7178" width="8.3984375" style="1532" customWidth="1"/>
    <col min="7179" max="7179" width="7" style="1532" customWidth="1"/>
    <col min="7180" max="7181" width="9.8984375" style="1532" customWidth="1"/>
    <col min="7182" max="7182" width="14.69921875" style="1532" customWidth="1"/>
    <col min="7183" max="7424" width="12.3984375" style="1532"/>
    <col min="7425" max="7425" width="5.09765625" style="1532" customWidth="1"/>
    <col min="7426" max="7426" width="8" style="1532" customWidth="1"/>
    <col min="7427" max="7427" width="6.19921875" style="1532" customWidth="1"/>
    <col min="7428" max="7428" width="8.8984375" style="1532" customWidth="1"/>
    <col min="7429" max="7429" width="9.8984375" style="1532" customWidth="1"/>
    <col min="7430" max="7430" width="8.69921875" style="1532" customWidth="1"/>
    <col min="7431" max="7431" width="8.59765625" style="1532" customWidth="1"/>
    <col min="7432" max="7432" width="8.5" style="1532" customWidth="1"/>
    <col min="7433" max="7433" width="8.09765625" style="1532" customWidth="1"/>
    <col min="7434" max="7434" width="8.3984375" style="1532" customWidth="1"/>
    <col min="7435" max="7435" width="7" style="1532" customWidth="1"/>
    <col min="7436" max="7437" width="9.8984375" style="1532" customWidth="1"/>
    <col min="7438" max="7438" width="14.69921875" style="1532" customWidth="1"/>
    <col min="7439" max="7680" width="12.3984375" style="1532"/>
    <col min="7681" max="7681" width="5.09765625" style="1532" customWidth="1"/>
    <col min="7682" max="7682" width="8" style="1532" customWidth="1"/>
    <col min="7683" max="7683" width="6.19921875" style="1532" customWidth="1"/>
    <col min="7684" max="7684" width="8.8984375" style="1532" customWidth="1"/>
    <col min="7685" max="7685" width="9.8984375" style="1532" customWidth="1"/>
    <col min="7686" max="7686" width="8.69921875" style="1532" customWidth="1"/>
    <col min="7687" max="7687" width="8.59765625" style="1532" customWidth="1"/>
    <col min="7688" max="7688" width="8.5" style="1532" customWidth="1"/>
    <col min="7689" max="7689" width="8.09765625" style="1532" customWidth="1"/>
    <col min="7690" max="7690" width="8.3984375" style="1532" customWidth="1"/>
    <col min="7691" max="7691" width="7" style="1532" customWidth="1"/>
    <col min="7692" max="7693" width="9.8984375" style="1532" customWidth="1"/>
    <col min="7694" max="7694" width="14.69921875" style="1532" customWidth="1"/>
    <col min="7695" max="7936" width="12.3984375" style="1532"/>
    <col min="7937" max="7937" width="5.09765625" style="1532" customWidth="1"/>
    <col min="7938" max="7938" width="8" style="1532" customWidth="1"/>
    <col min="7939" max="7939" width="6.19921875" style="1532" customWidth="1"/>
    <col min="7940" max="7940" width="8.8984375" style="1532" customWidth="1"/>
    <col min="7941" max="7941" width="9.8984375" style="1532" customWidth="1"/>
    <col min="7942" max="7942" width="8.69921875" style="1532" customWidth="1"/>
    <col min="7943" max="7943" width="8.59765625" style="1532" customWidth="1"/>
    <col min="7944" max="7944" width="8.5" style="1532" customWidth="1"/>
    <col min="7945" max="7945" width="8.09765625" style="1532" customWidth="1"/>
    <col min="7946" max="7946" width="8.3984375" style="1532" customWidth="1"/>
    <col min="7947" max="7947" width="7" style="1532" customWidth="1"/>
    <col min="7948" max="7949" width="9.8984375" style="1532" customWidth="1"/>
    <col min="7950" max="7950" width="14.69921875" style="1532" customWidth="1"/>
    <col min="7951" max="8192" width="12.3984375" style="1532"/>
    <col min="8193" max="8193" width="5.09765625" style="1532" customWidth="1"/>
    <col min="8194" max="8194" width="8" style="1532" customWidth="1"/>
    <col min="8195" max="8195" width="6.19921875" style="1532" customWidth="1"/>
    <col min="8196" max="8196" width="8.8984375" style="1532" customWidth="1"/>
    <col min="8197" max="8197" width="9.8984375" style="1532" customWidth="1"/>
    <col min="8198" max="8198" width="8.69921875" style="1532" customWidth="1"/>
    <col min="8199" max="8199" width="8.59765625" style="1532" customWidth="1"/>
    <col min="8200" max="8200" width="8.5" style="1532" customWidth="1"/>
    <col min="8201" max="8201" width="8.09765625" style="1532" customWidth="1"/>
    <col min="8202" max="8202" width="8.3984375" style="1532" customWidth="1"/>
    <col min="8203" max="8203" width="7" style="1532" customWidth="1"/>
    <col min="8204" max="8205" width="9.8984375" style="1532" customWidth="1"/>
    <col min="8206" max="8206" width="14.69921875" style="1532" customWidth="1"/>
    <col min="8207" max="8448" width="12.3984375" style="1532"/>
    <col min="8449" max="8449" width="5.09765625" style="1532" customWidth="1"/>
    <col min="8450" max="8450" width="8" style="1532" customWidth="1"/>
    <col min="8451" max="8451" width="6.19921875" style="1532" customWidth="1"/>
    <col min="8452" max="8452" width="8.8984375" style="1532" customWidth="1"/>
    <col min="8453" max="8453" width="9.8984375" style="1532" customWidth="1"/>
    <col min="8454" max="8454" width="8.69921875" style="1532" customWidth="1"/>
    <col min="8455" max="8455" width="8.59765625" style="1532" customWidth="1"/>
    <col min="8456" max="8456" width="8.5" style="1532" customWidth="1"/>
    <col min="8457" max="8457" width="8.09765625" style="1532" customWidth="1"/>
    <col min="8458" max="8458" width="8.3984375" style="1532" customWidth="1"/>
    <col min="8459" max="8459" width="7" style="1532" customWidth="1"/>
    <col min="8460" max="8461" width="9.8984375" style="1532" customWidth="1"/>
    <col min="8462" max="8462" width="14.69921875" style="1532" customWidth="1"/>
    <col min="8463" max="8704" width="12.3984375" style="1532"/>
    <col min="8705" max="8705" width="5.09765625" style="1532" customWidth="1"/>
    <col min="8706" max="8706" width="8" style="1532" customWidth="1"/>
    <col min="8707" max="8707" width="6.19921875" style="1532" customWidth="1"/>
    <col min="8708" max="8708" width="8.8984375" style="1532" customWidth="1"/>
    <col min="8709" max="8709" width="9.8984375" style="1532" customWidth="1"/>
    <col min="8710" max="8710" width="8.69921875" style="1532" customWidth="1"/>
    <col min="8711" max="8711" width="8.59765625" style="1532" customWidth="1"/>
    <col min="8712" max="8712" width="8.5" style="1532" customWidth="1"/>
    <col min="8713" max="8713" width="8.09765625" style="1532" customWidth="1"/>
    <col min="8714" max="8714" width="8.3984375" style="1532" customWidth="1"/>
    <col min="8715" max="8715" width="7" style="1532" customWidth="1"/>
    <col min="8716" max="8717" width="9.8984375" style="1532" customWidth="1"/>
    <col min="8718" max="8718" width="14.69921875" style="1532" customWidth="1"/>
    <col min="8719" max="8960" width="12.3984375" style="1532"/>
    <col min="8961" max="8961" width="5.09765625" style="1532" customWidth="1"/>
    <col min="8962" max="8962" width="8" style="1532" customWidth="1"/>
    <col min="8963" max="8963" width="6.19921875" style="1532" customWidth="1"/>
    <col min="8964" max="8964" width="8.8984375" style="1532" customWidth="1"/>
    <col min="8965" max="8965" width="9.8984375" style="1532" customWidth="1"/>
    <col min="8966" max="8966" width="8.69921875" style="1532" customWidth="1"/>
    <col min="8967" max="8967" width="8.59765625" style="1532" customWidth="1"/>
    <col min="8968" max="8968" width="8.5" style="1532" customWidth="1"/>
    <col min="8969" max="8969" width="8.09765625" style="1532" customWidth="1"/>
    <col min="8970" max="8970" width="8.3984375" style="1532" customWidth="1"/>
    <col min="8971" max="8971" width="7" style="1532" customWidth="1"/>
    <col min="8972" max="8973" width="9.8984375" style="1532" customWidth="1"/>
    <col min="8974" max="8974" width="14.69921875" style="1532" customWidth="1"/>
    <col min="8975" max="9216" width="12.3984375" style="1532"/>
    <col min="9217" max="9217" width="5.09765625" style="1532" customWidth="1"/>
    <col min="9218" max="9218" width="8" style="1532" customWidth="1"/>
    <col min="9219" max="9219" width="6.19921875" style="1532" customWidth="1"/>
    <col min="9220" max="9220" width="8.8984375" style="1532" customWidth="1"/>
    <col min="9221" max="9221" width="9.8984375" style="1532" customWidth="1"/>
    <col min="9222" max="9222" width="8.69921875" style="1532" customWidth="1"/>
    <col min="9223" max="9223" width="8.59765625" style="1532" customWidth="1"/>
    <col min="9224" max="9224" width="8.5" style="1532" customWidth="1"/>
    <col min="9225" max="9225" width="8.09765625" style="1532" customWidth="1"/>
    <col min="9226" max="9226" width="8.3984375" style="1532" customWidth="1"/>
    <col min="9227" max="9227" width="7" style="1532" customWidth="1"/>
    <col min="9228" max="9229" width="9.8984375" style="1532" customWidth="1"/>
    <col min="9230" max="9230" width="14.69921875" style="1532" customWidth="1"/>
    <col min="9231" max="9472" width="12.3984375" style="1532"/>
    <col min="9473" max="9473" width="5.09765625" style="1532" customWidth="1"/>
    <col min="9474" max="9474" width="8" style="1532" customWidth="1"/>
    <col min="9475" max="9475" width="6.19921875" style="1532" customWidth="1"/>
    <col min="9476" max="9476" width="8.8984375" style="1532" customWidth="1"/>
    <col min="9477" max="9477" width="9.8984375" style="1532" customWidth="1"/>
    <col min="9478" max="9478" width="8.69921875" style="1532" customWidth="1"/>
    <col min="9479" max="9479" width="8.59765625" style="1532" customWidth="1"/>
    <col min="9480" max="9480" width="8.5" style="1532" customWidth="1"/>
    <col min="9481" max="9481" width="8.09765625" style="1532" customWidth="1"/>
    <col min="9482" max="9482" width="8.3984375" style="1532" customWidth="1"/>
    <col min="9483" max="9483" width="7" style="1532" customWidth="1"/>
    <col min="9484" max="9485" width="9.8984375" style="1532" customWidth="1"/>
    <col min="9486" max="9486" width="14.69921875" style="1532" customWidth="1"/>
    <col min="9487" max="9728" width="12.3984375" style="1532"/>
    <col min="9729" max="9729" width="5.09765625" style="1532" customWidth="1"/>
    <col min="9730" max="9730" width="8" style="1532" customWidth="1"/>
    <col min="9731" max="9731" width="6.19921875" style="1532" customWidth="1"/>
    <col min="9732" max="9732" width="8.8984375" style="1532" customWidth="1"/>
    <col min="9733" max="9733" width="9.8984375" style="1532" customWidth="1"/>
    <col min="9734" max="9734" width="8.69921875" style="1532" customWidth="1"/>
    <col min="9735" max="9735" width="8.59765625" style="1532" customWidth="1"/>
    <col min="9736" max="9736" width="8.5" style="1532" customWidth="1"/>
    <col min="9737" max="9737" width="8.09765625" style="1532" customWidth="1"/>
    <col min="9738" max="9738" width="8.3984375" style="1532" customWidth="1"/>
    <col min="9739" max="9739" width="7" style="1532" customWidth="1"/>
    <col min="9740" max="9741" width="9.8984375" style="1532" customWidth="1"/>
    <col min="9742" max="9742" width="14.69921875" style="1532" customWidth="1"/>
    <col min="9743" max="9984" width="12.3984375" style="1532"/>
    <col min="9985" max="9985" width="5.09765625" style="1532" customWidth="1"/>
    <col min="9986" max="9986" width="8" style="1532" customWidth="1"/>
    <col min="9987" max="9987" width="6.19921875" style="1532" customWidth="1"/>
    <col min="9988" max="9988" width="8.8984375" style="1532" customWidth="1"/>
    <col min="9989" max="9989" width="9.8984375" style="1532" customWidth="1"/>
    <col min="9990" max="9990" width="8.69921875" style="1532" customWidth="1"/>
    <col min="9991" max="9991" width="8.59765625" style="1532" customWidth="1"/>
    <col min="9992" max="9992" width="8.5" style="1532" customWidth="1"/>
    <col min="9993" max="9993" width="8.09765625" style="1532" customWidth="1"/>
    <col min="9994" max="9994" width="8.3984375" style="1532" customWidth="1"/>
    <col min="9995" max="9995" width="7" style="1532" customWidth="1"/>
    <col min="9996" max="9997" width="9.8984375" style="1532" customWidth="1"/>
    <col min="9998" max="9998" width="14.69921875" style="1532" customWidth="1"/>
    <col min="9999" max="10240" width="12.3984375" style="1532"/>
    <col min="10241" max="10241" width="5.09765625" style="1532" customWidth="1"/>
    <col min="10242" max="10242" width="8" style="1532" customWidth="1"/>
    <col min="10243" max="10243" width="6.19921875" style="1532" customWidth="1"/>
    <col min="10244" max="10244" width="8.8984375" style="1532" customWidth="1"/>
    <col min="10245" max="10245" width="9.8984375" style="1532" customWidth="1"/>
    <col min="10246" max="10246" width="8.69921875" style="1532" customWidth="1"/>
    <col min="10247" max="10247" width="8.59765625" style="1532" customWidth="1"/>
    <col min="10248" max="10248" width="8.5" style="1532" customWidth="1"/>
    <col min="10249" max="10249" width="8.09765625" style="1532" customWidth="1"/>
    <col min="10250" max="10250" width="8.3984375" style="1532" customWidth="1"/>
    <col min="10251" max="10251" width="7" style="1532" customWidth="1"/>
    <col min="10252" max="10253" width="9.8984375" style="1532" customWidth="1"/>
    <col min="10254" max="10254" width="14.69921875" style="1532" customWidth="1"/>
    <col min="10255" max="10496" width="12.3984375" style="1532"/>
    <col min="10497" max="10497" width="5.09765625" style="1532" customWidth="1"/>
    <col min="10498" max="10498" width="8" style="1532" customWidth="1"/>
    <col min="10499" max="10499" width="6.19921875" style="1532" customWidth="1"/>
    <col min="10500" max="10500" width="8.8984375" style="1532" customWidth="1"/>
    <col min="10501" max="10501" width="9.8984375" style="1532" customWidth="1"/>
    <col min="10502" max="10502" width="8.69921875" style="1532" customWidth="1"/>
    <col min="10503" max="10503" width="8.59765625" style="1532" customWidth="1"/>
    <col min="10504" max="10504" width="8.5" style="1532" customWidth="1"/>
    <col min="10505" max="10505" width="8.09765625" style="1532" customWidth="1"/>
    <col min="10506" max="10506" width="8.3984375" style="1532" customWidth="1"/>
    <col min="10507" max="10507" width="7" style="1532" customWidth="1"/>
    <col min="10508" max="10509" width="9.8984375" style="1532" customWidth="1"/>
    <col min="10510" max="10510" width="14.69921875" style="1532" customWidth="1"/>
    <col min="10511" max="10752" width="12.3984375" style="1532"/>
    <col min="10753" max="10753" width="5.09765625" style="1532" customWidth="1"/>
    <col min="10754" max="10754" width="8" style="1532" customWidth="1"/>
    <col min="10755" max="10755" width="6.19921875" style="1532" customWidth="1"/>
    <col min="10756" max="10756" width="8.8984375" style="1532" customWidth="1"/>
    <col min="10757" max="10757" width="9.8984375" style="1532" customWidth="1"/>
    <col min="10758" max="10758" width="8.69921875" style="1532" customWidth="1"/>
    <col min="10759" max="10759" width="8.59765625" style="1532" customWidth="1"/>
    <col min="10760" max="10760" width="8.5" style="1532" customWidth="1"/>
    <col min="10761" max="10761" width="8.09765625" style="1532" customWidth="1"/>
    <col min="10762" max="10762" width="8.3984375" style="1532" customWidth="1"/>
    <col min="10763" max="10763" width="7" style="1532" customWidth="1"/>
    <col min="10764" max="10765" width="9.8984375" style="1532" customWidth="1"/>
    <col min="10766" max="10766" width="14.69921875" style="1532" customWidth="1"/>
    <col min="10767" max="11008" width="12.3984375" style="1532"/>
    <col min="11009" max="11009" width="5.09765625" style="1532" customWidth="1"/>
    <col min="11010" max="11010" width="8" style="1532" customWidth="1"/>
    <col min="11011" max="11011" width="6.19921875" style="1532" customWidth="1"/>
    <col min="11012" max="11012" width="8.8984375" style="1532" customWidth="1"/>
    <col min="11013" max="11013" width="9.8984375" style="1532" customWidth="1"/>
    <col min="11014" max="11014" width="8.69921875" style="1532" customWidth="1"/>
    <col min="11015" max="11015" width="8.59765625" style="1532" customWidth="1"/>
    <col min="11016" max="11016" width="8.5" style="1532" customWidth="1"/>
    <col min="11017" max="11017" width="8.09765625" style="1532" customWidth="1"/>
    <col min="11018" max="11018" width="8.3984375" style="1532" customWidth="1"/>
    <col min="11019" max="11019" width="7" style="1532" customWidth="1"/>
    <col min="11020" max="11021" width="9.8984375" style="1532" customWidth="1"/>
    <col min="11022" max="11022" width="14.69921875" style="1532" customWidth="1"/>
    <col min="11023" max="11264" width="12.3984375" style="1532"/>
    <col min="11265" max="11265" width="5.09765625" style="1532" customWidth="1"/>
    <col min="11266" max="11266" width="8" style="1532" customWidth="1"/>
    <col min="11267" max="11267" width="6.19921875" style="1532" customWidth="1"/>
    <col min="11268" max="11268" width="8.8984375" style="1532" customWidth="1"/>
    <col min="11269" max="11269" width="9.8984375" style="1532" customWidth="1"/>
    <col min="11270" max="11270" width="8.69921875" style="1532" customWidth="1"/>
    <col min="11271" max="11271" width="8.59765625" style="1532" customWidth="1"/>
    <col min="11272" max="11272" width="8.5" style="1532" customWidth="1"/>
    <col min="11273" max="11273" width="8.09765625" style="1532" customWidth="1"/>
    <col min="11274" max="11274" width="8.3984375" style="1532" customWidth="1"/>
    <col min="11275" max="11275" width="7" style="1532" customWidth="1"/>
    <col min="11276" max="11277" width="9.8984375" style="1532" customWidth="1"/>
    <col min="11278" max="11278" width="14.69921875" style="1532" customWidth="1"/>
    <col min="11279" max="11520" width="12.3984375" style="1532"/>
    <col min="11521" max="11521" width="5.09765625" style="1532" customWidth="1"/>
    <col min="11522" max="11522" width="8" style="1532" customWidth="1"/>
    <col min="11523" max="11523" width="6.19921875" style="1532" customWidth="1"/>
    <col min="11524" max="11524" width="8.8984375" style="1532" customWidth="1"/>
    <col min="11525" max="11525" width="9.8984375" style="1532" customWidth="1"/>
    <col min="11526" max="11526" width="8.69921875" style="1532" customWidth="1"/>
    <col min="11527" max="11527" width="8.59765625" style="1532" customWidth="1"/>
    <col min="11528" max="11528" width="8.5" style="1532" customWidth="1"/>
    <col min="11529" max="11529" width="8.09765625" style="1532" customWidth="1"/>
    <col min="11530" max="11530" width="8.3984375" style="1532" customWidth="1"/>
    <col min="11531" max="11531" width="7" style="1532" customWidth="1"/>
    <col min="11532" max="11533" width="9.8984375" style="1532" customWidth="1"/>
    <col min="11534" max="11534" width="14.69921875" style="1532" customWidth="1"/>
    <col min="11535" max="11776" width="12.3984375" style="1532"/>
    <col min="11777" max="11777" width="5.09765625" style="1532" customWidth="1"/>
    <col min="11778" max="11778" width="8" style="1532" customWidth="1"/>
    <col min="11779" max="11779" width="6.19921875" style="1532" customWidth="1"/>
    <col min="11780" max="11780" width="8.8984375" style="1532" customWidth="1"/>
    <col min="11781" max="11781" width="9.8984375" style="1532" customWidth="1"/>
    <col min="11782" max="11782" width="8.69921875" style="1532" customWidth="1"/>
    <col min="11783" max="11783" width="8.59765625" style="1532" customWidth="1"/>
    <col min="11784" max="11784" width="8.5" style="1532" customWidth="1"/>
    <col min="11785" max="11785" width="8.09765625" style="1532" customWidth="1"/>
    <col min="11786" max="11786" width="8.3984375" style="1532" customWidth="1"/>
    <col min="11787" max="11787" width="7" style="1532" customWidth="1"/>
    <col min="11788" max="11789" width="9.8984375" style="1532" customWidth="1"/>
    <col min="11790" max="11790" width="14.69921875" style="1532" customWidth="1"/>
    <col min="11791" max="12032" width="12.3984375" style="1532"/>
    <col min="12033" max="12033" width="5.09765625" style="1532" customWidth="1"/>
    <col min="12034" max="12034" width="8" style="1532" customWidth="1"/>
    <col min="12035" max="12035" width="6.19921875" style="1532" customWidth="1"/>
    <col min="12036" max="12036" width="8.8984375" style="1532" customWidth="1"/>
    <col min="12037" max="12037" width="9.8984375" style="1532" customWidth="1"/>
    <col min="12038" max="12038" width="8.69921875" style="1532" customWidth="1"/>
    <col min="12039" max="12039" width="8.59765625" style="1532" customWidth="1"/>
    <col min="12040" max="12040" width="8.5" style="1532" customWidth="1"/>
    <col min="12041" max="12041" width="8.09765625" style="1532" customWidth="1"/>
    <col min="12042" max="12042" width="8.3984375" style="1532" customWidth="1"/>
    <col min="12043" max="12043" width="7" style="1532" customWidth="1"/>
    <col min="12044" max="12045" width="9.8984375" style="1532" customWidth="1"/>
    <col min="12046" max="12046" width="14.69921875" style="1532" customWidth="1"/>
    <col min="12047" max="12288" width="12.3984375" style="1532"/>
    <col min="12289" max="12289" width="5.09765625" style="1532" customWidth="1"/>
    <col min="12290" max="12290" width="8" style="1532" customWidth="1"/>
    <col min="12291" max="12291" width="6.19921875" style="1532" customWidth="1"/>
    <col min="12292" max="12292" width="8.8984375" style="1532" customWidth="1"/>
    <col min="12293" max="12293" width="9.8984375" style="1532" customWidth="1"/>
    <col min="12294" max="12294" width="8.69921875" style="1532" customWidth="1"/>
    <col min="12295" max="12295" width="8.59765625" style="1532" customWidth="1"/>
    <col min="12296" max="12296" width="8.5" style="1532" customWidth="1"/>
    <col min="12297" max="12297" width="8.09765625" style="1532" customWidth="1"/>
    <col min="12298" max="12298" width="8.3984375" style="1532" customWidth="1"/>
    <col min="12299" max="12299" width="7" style="1532" customWidth="1"/>
    <col min="12300" max="12301" width="9.8984375" style="1532" customWidth="1"/>
    <col min="12302" max="12302" width="14.69921875" style="1532" customWidth="1"/>
    <col min="12303" max="12544" width="12.3984375" style="1532"/>
    <col min="12545" max="12545" width="5.09765625" style="1532" customWidth="1"/>
    <col min="12546" max="12546" width="8" style="1532" customWidth="1"/>
    <col min="12547" max="12547" width="6.19921875" style="1532" customWidth="1"/>
    <col min="12548" max="12548" width="8.8984375" style="1532" customWidth="1"/>
    <col min="12549" max="12549" width="9.8984375" style="1532" customWidth="1"/>
    <col min="12550" max="12550" width="8.69921875" style="1532" customWidth="1"/>
    <col min="12551" max="12551" width="8.59765625" style="1532" customWidth="1"/>
    <col min="12552" max="12552" width="8.5" style="1532" customWidth="1"/>
    <col min="12553" max="12553" width="8.09765625" style="1532" customWidth="1"/>
    <col min="12554" max="12554" width="8.3984375" style="1532" customWidth="1"/>
    <col min="12555" max="12555" width="7" style="1532" customWidth="1"/>
    <col min="12556" max="12557" width="9.8984375" style="1532" customWidth="1"/>
    <col min="12558" max="12558" width="14.69921875" style="1532" customWidth="1"/>
    <col min="12559" max="12800" width="12.3984375" style="1532"/>
    <col min="12801" max="12801" width="5.09765625" style="1532" customWidth="1"/>
    <col min="12802" max="12802" width="8" style="1532" customWidth="1"/>
    <col min="12803" max="12803" width="6.19921875" style="1532" customWidth="1"/>
    <col min="12804" max="12804" width="8.8984375" style="1532" customWidth="1"/>
    <col min="12805" max="12805" width="9.8984375" style="1532" customWidth="1"/>
    <col min="12806" max="12806" width="8.69921875" style="1532" customWidth="1"/>
    <col min="12807" max="12807" width="8.59765625" style="1532" customWidth="1"/>
    <col min="12808" max="12808" width="8.5" style="1532" customWidth="1"/>
    <col min="12809" max="12809" width="8.09765625" style="1532" customWidth="1"/>
    <col min="12810" max="12810" width="8.3984375" style="1532" customWidth="1"/>
    <col min="12811" max="12811" width="7" style="1532" customWidth="1"/>
    <col min="12812" max="12813" width="9.8984375" style="1532" customWidth="1"/>
    <col min="12814" max="12814" width="14.69921875" style="1532" customWidth="1"/>
    <col min="12815" max="13056" width="12.3984375" style="1532"/>
    <col min="13057" max="13057" width="5.09765625" style="1532" customWidth="1"/>
    <col min="13058" max="13058" width="8" style="1532" customWidth="1"/>
    <col min="13059" max="13059" width="6.19921875" style="1532" customWidth="1"/>
    <col min="13060" max="13060" width="8.8984375" style="1532" customWidth="1"/>
    <col min="13061" max="13061" width="9.8984375" style="1532" customWidth="1"/>
    <col min="13062" max="13062" width="8.69921875" style="1532" customWidth="1"/>
    <col min="13063" max="13063" width="8.59765625" style="1532" customWidth="1"/>
    <col min="13064" max="13064" width="8.5" style="1532" customWidth="1"/>
    <col min="13065" max="13065" width="8.09765625" style="1532" customWidth="1"/>
    <col min="13066" max="13066" width="8.3984375" style="1532" customWidth="1"/>
    <col min="13067" max="13067" width="7" style="1532" customWidth="1"/>
    <col min="13068" max="13069" width="9.8984375" style="1532" customWidth="1"/>
    <col min="13070" max="13070" width="14.69921875" style="1532" customWidth="1"/>
    <col min="13071" max="13312" width="12.3984375" style="1532"/>
    <col min="13313" max="13313" width="5.09765625" style="1532" customWidth="1"/>
    <col min="13314" max="13314" width="8" style="1532" customWidth="1"/>
    <col min="13315" max="13315" width="6.19921875" style="1532" customWidth="1"/>
    <col min="13316" max="13316" width="8.8984375" style="1532" customWidth="1"/>
    <col min="13317" max="13317" width="9.8984375" style="1532" customWidth="1"/>
    <col min="13318" max="13318" width="8.69921875" style="1532" customWidth="1"/>
    <col min="13319" max="13319" width="8.59765625" style="1532" customWidth="1"/>
    <col min="13320" max="13320" width="8.5" style="1532" customWidth="1"/>
    <col min="13321" max="13321" width="8.09765625" style="1532" customWidth="1"/>
    <col min="13322" max="13322" width="8.3984375" style="1532" customWidth="1"/>
    <col min="13323" max="13323" width="7" style="1532" customWidth="1"/>
    <col min="13324" max="13325" width="9.8984375" style="1532" customWidth="1"/>
    <col min="13326" max="13326" width="14.69921875" style="1532" customWidth="1"/>
    <col min="13327" max="13568" width="12.3984375" style="1532"/>
    <col min="13569" max="13569" width="5.09765625" style="1532" customWidth="1"/>
    <col min="13570" max="13570" width="8" style="1532" customWidth="1"/>
    <col min="13571" max="13571" width="6.19921875" style="1532" customWidth="1"/>
    <col min="13572" max="13572" width="8.8984375" style="1532" customWidth="1"/>
    <col min="13573" max="13573" width="9.8984375" style="1532" customWidth="1"/>
    <col min="13574" max="13574" width="8.69921875" style="1532" customWidth="1"/>
    <col min="13575" max="13575" width="8.59765625" style="1532" customWidth="1"/>
    <col min="13576" max="13576" width="8.5" style="1532" customWidth="1"/>
    <col min="13577" max="13577" width="8.09765625" style="1532" customWidth="1"/>
    <col min="13578" max="13578" width="8.3984375" style="1532" customWidth="1"/>
    <col min="13579" max="13579" width="7" style="1532" customWidth="1"/>
    <col min="13580" max="13581" width="9.8984375" style="1532" customWidth="1"/>
    <col min="13582" max="13582" width="14.69921875" style="1532" customWidth="1"/>
    <col min="13583" max="13824" width="12.3984375" style="1532"/>
    <col min="13825" max="13825" width="5.09765625" style="1532" customWidth="1"/>
    <col min="13826" max="13826" width="8" style="1532" customWidth="1"/>
    <col min="13827" max="13827" width="6.19921875" style="1532" customWidth="1"/>
    <col min="13828" max="13828" width="8.8984375" style="1532" customWidth="1"/>
    <col min="13829" max="13829" width="9.8984375" style="1532" customWidth="1"/>
    <col min="13830" max="13830" width="8.69921875" style="1532" customWidth="1"/>
    <col min="13831" max="13831" width="8.59765625" style="1532" customWidth="1"/>
    <col min="13832" max="13832" width="8.5" style="1532" customWidth="1"/>
    <col min="13833" max="13833" width="8.09765625" style="1532" customWidth="1"/>
    <col min="13834" max="13834" width="8.3984375" style="1532" customWidth="1"/>
    <col min="13835" max="13835" width="7" style="1532" customWidth="1"/>
    <col min="13836" max="13837" width="9.8984375" style="1532" customWidth="1"/>
    <col min="13838" max="13838" width="14.69921875" style="1532" customWidth="1"/>
    <col min="13839" max="14080" width="12.3984375" style="1532"/>
    <col min="14081" max="14081" width="5.09765625" style="1532" customWidth="1"/>
    <col min="14082" max="14082" width="8" style="1532" customWidth="1"/>
    <col min="14083" max="14083" width="6.19921875" style="1532" customWidth="1"/>
    <col min="14084" max="14084" width="8.8984375" style="1532" customWidth="1"/>
    <col min="14085" max="14085" width="9.8984375" style="1532" customWidth="1"/>
    <col min="14086" max="14086" width="8.69921875" style="1532" customWidth="1"/>
    <col min="14087" max="14087" width="8.59765625" style="1532" customWidth="1"/>
    <col min="14088" max="14088" width="8.5" style="1532" customWidth="1"/>
    <col min="14089" max="14089" width="8.09765625" style="1532" customWidth="1"/>
    <col min="14090" max="14090" width="8.3984375" style="1532" customWidth="1"/>
    <col min="14091" max="14091" width="7" style="1532" customWidth="1"/>
    <col min="14092" max="14093" width="9.8984375" style="1532" customWidth="1"/>
    <col min="14094" max="14094" width="14.69921875" style="1532" customWidth="1"/>
    <col min="14095" max="14336" width="12.3984375" style="1532"/>
    <col min="14337" max="14337" width="5.09765625" style="1532" customWidth="1"/>
    <col min="14338" max="14338" width="8" style="1532" customWidth="1"/>
    <col min="14339" max="14339" width="6.19921875" style="1532" customWidth="1"/>
    <col min="14340" max="14340" width="8.8984375" style="1532" customWidth="1"/>
    <col min="14341" max="14341" width="9.8984375" style="1532" customWidth="1"/>
    <col min="14342" max="14342" width="8.69921875" style="1532" customWidth="1"/>
    <col min="14343" max="14343" width="8.59765625" style="1532" customWidth="1"/>
    <col min="14344" max="14344" width="8.5" style="1532" customWidth="1"/>
    <col min="14345" max="14345" width="8.09765625" style="1532" customWidth="1"/>
    <col min="14346" max="14346" width="8.3984375" style="1532" customWidth="1"/>
    <col min="14347" max="14347" width="7" style="1532" customWidth="1"/>
    <col min="14348" max="14349" width="9.8984375" style="1532" customWidth="1"/>
    <col min="14350" max="14350" width="14.69921875" style="1532" customWidth="1"/>
    <col min="14351" max="14592" width="12.3984375" style="1532"/>
    <col min="14593" max="14593" width="5.09765625" style="1532" customWidth="1"/>
    <col min="14594" max="14594" width="8" style="1532" customWidth="1"/>
    <col min="14595" max="14595" width="6.19921875" style="1532" customWidth="1"/>
    <col min="14596" max="14596" width="8.8984375" style="1532" customWidth="1"/>
    <col min="14597" max="14597" width="9.8984375" style="1532" customWidth="1"/>
    <col min="14598" max="14598" width="8.69921875" style="1532" customWidth="1"/>
    <col min="14599" max="14599" width="8.59765625" style="1532" customWidth="1"/>
    <col min="14600" max="14600" width="8.5" style="1532" customWidth="1"/>
    <col min="14601" max="14601" width="8.09765625" style="1532" customWidth="1"/>
    <col min="14602" max="14602" width="8.3984375" style="1532" customWidth="1"/>
    <col min="14603" max="14603" width="7" style="1532" customWidth="1"/>
    <col min="14604" max="14605" width="9.8984375" style="1532" customWidth="1"/>
    <col min="14606" max="14606" width="14.69921875" style="1532" customWidth="1"/>
    <col min="14607" max="14848" width="12.3984375" style="1532"/>
    <col min="14849" max="14849" width="5.09765625" style="1532" customWidth="1"/>
    <col min="14850" max="14850" width="8" style="1532" customWidth="1"/>
    <col min="14851" max="14851" width="6.19921875" style="1532" customWidth="1"/>
    <col min="14852" max="14852" width="8.8984375" style="1532" customWidth="1"/>
    <col min="14853" max="14853" width="9.8984375" style="1532" customWidth="1"/>
    <col min="14854" max="14854" width="8.69921875" style="1532" customWidth="1"/>
    <col min="14855" max="14855" width="8.59765625" style="1532" customWidth="1"/>
    <col min="14856" max="14856" width="8.5" style="1532" customWidth="1"/>
    <col min="14857" max="14857" width="8.09765625" style="1532" customWidth="1"/>
    <col min="14858" max="14858" width="8.3984375" style="1532" customWidth="1"/>
    <col min="14859" max="14859" width="7" style="1532" customWidth="1"/>
    <col min="14860" max="14861" width="9.8984375" style="1532" customWidth="1"/>
    <col min="14862" max="14862" width="14.69921875" style="1532" customWidth="1"/>
    <col min="14863" max="15104" width="12.3984375" style="1532"/>
    <col min="15105" max="15105" width="5.09765625" style="1532" customWidth="1"/>
    <col min="15106" max="15106" width="8" style="1532" customWidth="1"/>
    <col min="15107" max="15107" width="6.19921875" style="1532" customWidth="1"/>
    <col min="15108" max="15108" width="8.8984375" style="1532" customWidth="1"/>
    <col min="15109" max="15109" width="9.8984375" style="1532" customWidth="1"/>
    <col min="15110" max="15110" width="8.69921875" style="1532" customWidth="1"/>
    <col min="15111" max="15111" width="8.59765625" style="1532" customWidth="1"/>
    <col min="15112" max="15112" width="8.5" style="1532" customWidth="1"/>
    <col min="15113" max="15113" width="8.09765625" style="1532" customWidth="1"/>
    <col min="15114" max="15114" width="8.3984375" style="1532" customWidth="1"/>
    <col min="15115" max="15115" width="7" style="1532" customWidth="1"/>
    <col min="15116" max="15117" width="9.8984375" style="1532" customWidth="1"/>
    <col min="15118" max="15118" width="14.69921875" style="1532" customWidth="1"/>
    <col min="15119" max="15360" width="12.3984375" style="1532"/>
    <col min="15361" max="15361" width="5.09765625" style="1532" customWidth="1"/>
    <col min="15362" max="15362" width="8" style="1532" customWidth="1"/>
    <col min="15363" max="15363" width="6.19921875" style="1532" customWidth="1"/>
    <col min="15364" max="15364" width="8.8984375" style="1532" customWidth="1"/>
    <col min="15365" max="15365" width="9.8984375" style="1532" customWidth="1"/>
    <col min="15366" max="15366" width="8.69921875" style="1532" customWidth="1"/>
    <col min="15367" max="15367" width="8.59765625" style="1532" customWidth="1"/>
    <col min="15368" max="15368" width="8.5" style="1532" customWidth="1"/>
    <col min="15369" max="15369" width="8.09765625" style="1532" customWidth="1"/>
    <col min="15370" max="15370" width="8.3984375" style="1532" customWidth="1"/>
    <col min="15371" max="15371" width="7" style="1532" customWidth="1"/>
    <col min="15372" max="15373" width="9.8984375" style="1532" customWidth="1"/>
    <col min="15374" max="15374" width="14.69921875" style="1532" customWidth="1"/>
    <col min="15375" max="15616" width="12.3984375" style="1532"/>
    <col min="15617" max="15617" width="5.09765625" style="1532" customWidth="1"/>
    <col min="15618" max="15618" width="8" style="1532" customWidth="1"/>
    <col min="15619" max="15619" width="6.19921875" style="1532" customWidth="1"/>
    <col min="15620" max="15620" width="8.8984375" style="1532" customWidth="1"/>
    <col min="15621" max="15621" width="9.8984375" style="1532" customWidth="1"/>
    <col min="15622" max="15622" width="8.69921875" style="1532" customWidth="1"/>
    <col min="15623" max="15623" width="8.59765625" style="1532" customWidth="1"/>
    <col min="15624" max="15624" width="8.5" style="1532" customWidth="1"/>
    <col min="15625" max="15625" width="8.09765625" style="1532" customWidth="1"/>
    <col min="15626" max="15626" width="8.3984375" style="1532" customWidth="1"/>
    <col min="15627" max="15627" width="7" style="1532" customWidth="1"/>
    <col min="15628" max="15629" width="9.8984375" style="1532" customWidth="1"/>
    <col min="15630" max="15630" width="14.69921875" style="1532" customWidth="1"/>
    <col min="15631" max="15872" width="12.3984375" style="1532"/>
    <col min="15873" max="15873" width="5.09765625" style="1532" customWidth="1"/>
    <col min="15874" max="15874" width="8" style="1532" customWidth="1"/>
    <col min="15875" max="15875" width="6.19921875" style="1532" customWidth="1"/>
    <col min="15876" max="15876" width="8.8984375" style="1532" customWidth="1"/>
    <col min="15877" max="15877" width="9.8984375" style="1532" customWidth="1"/>
    <col min="15878" max="15878" width="8.69921875" style="1532" customWidth="1"/>
    <col min="15879" max="15879" width="8.59765625" style="1532" customWidth="1"/>
    <col min="15880" max="15880" width="8.5" style="1532" customWidth="1"/>
    <col min="15881" max="15881" width="8.09765625" style="1532" customWidth="1"/>
    <col min="15882" max="15882" width="8.3984375" style="1532" customWidth="1"/>
    <col min="15883" max="15883" width="7" style="1532" customWidth="1"/>
    <col min="15884" max="15885" width="9.8984375" style="1532" customWidth="1"/>
    <col min="15886" max="15886" width="14.69921875" style="1532" customWidth="1"/>
    <col min="15887" max="16128" width="12.3984375" style="1532"/>
    <col min="16129" max="16129" width="5.09765625" style="1532" customWidth="1"/>
    <col min="16130" max="16130" width="8" style="1532" customWidth="1"/>
    <col min="16131" max="16131" width="6.19921875" style="1532" customWidth="1"/>
    <col min="16132" max="16132" width="8.8984375" style="1532" customWidth="1"/>
    <col min="16133" max="16133" width="9.8984375" style="1532" customWidth="1"/>
    <col min="16134" max="16134" width="8.69921875" style="1532" customWidth="1"/>
    <col min="16135" max="16135" width="8.59765625" style="1532" customWidth="1"/>
    <col min="16136" max="16136" width="8.5" style="1532" customWidth="1"/>
    <col min="16137" max="16137" width="8.09765625" style="1532" customWidth="1"/>
    <col min="16138" max="16138" width="8.3984375" style="1532" customWidth="1"/>
    <col min="16139" max="16139" width="7" style="1532" customWidth="1"/>
    <col min="16140" max="16141" width="9.8984375" style="1532" customWidth="1"/>
    <col min="16142" max="16142" width="14.69921875" style="1532" customWidth="1"/>
    <col min="16143" max="16384" width="12.3984375" style="1532"/>
  </cols>
  <sheetData>
    <row r="1" spans="1:15" s="1533" customFormat="1" ht="20.100000000000001" customHeight="1">
      <c r="A1" s="3400" t="s">
        <v>5478</v>
      </c>
      <c r="B1" s="3400"/>
      <c r="C1" s="3400"/>
      <c r="D1" s="3400"/>
      <c r="E1" s="3400"/>
      <c r="F1" s="3400"/>
      <c r="G1" s="3400"/>
      <c r="H1" s="3400"/>
      <c r="I1" s="3400"/>
      <c r="J1" s="3400"/>
      <c r="K1" s="3400"/>
      <c r="L1" s="3400"/>
      <c r="M1" s="3400"/>
      <c r="N1" s="2018"/>
    </row>
    <row r="2" spans="1:15" s="1536" customFormat="1" ht="25.5" customHeight="1">
      <c r="A2" s="3401" t="s">
        <v>1347</v>
      </c>
      <c r="B2" s="3401"/>
      <c r="C2" s="3401"/>
      <c r="D2" s="3401"/>
      <c r="E2" s="3401"/>
      <c r="F2" s="3401"/>
      <c r="G2" s="3401"/>
      <c r="H2" s="3401"/>
      <c r="I2" s="3401"/>
      <c r="J2" s="3401"/>
      <c r="K2" s="3401"/>
      <c r="L2" s="3401"/>
      <c r="M2" s="3401"/>
      <c r="N2" s="1935"/>
    </row>
    <row r="3" spans="1:15" s="1537" customFormat="1" ht="14.25" customHeight="1">
      <c r="A3" s="3402" t="s">
        <v>1853</v>
      </c>
      <c r="B3" s="3402" t="s">
        <v>665</v>
      </c>
      <c r="C3" s="3402" t="s">
        <v>16</v>
      </c>
      <c r="D3" s="3405" t="s">
        <v>1621</v>
      </c>
      <c r="E3" s="3405" t="s">
        <v>5479</v>
      </c>
      <c r="F3" s="3405" t="s">
        <v>5480</v>
      </c>
      <c r="G3" s="3399" t="s">
        <v>5481</v>
      </c>
      <c r="H3" s="3399"/>
      <c r="I3" s="3399"/>
      <c r="J3" s="3399"/>
      <c r="K3" s="3399"/>
      <c r="L3" s="3405" t="s">
        <v>1861</v>
      </c>
      <c r="M3" s="3405" t="s">
        <v>1862</v>
      </c>
      <c r="N3" s="3405" t="s">
        <v>4899</v>
      </c>
    </row>
    <row r="4" spans="1:15" s="1537" customFormat="1" ht="41.25" customHeight="1">
      <c r="A4" s="3403"/>
      <c r="B4" s="3403"/>
      <c r="C4" s="3403"/>
      <c r="D4" s="3409"/>
      <c r="E4" s="3409"/>
      <c r="F4" s="3409"/>
      <c r="G4" s="1846" t="s">
        <v>1348</v>
      </c>
      <c r="H4" s="1846" t="s">
        <v>1349</v>
      </c>
      <c r="I4" s="1846" t="s">
        <v>1350</v>
      </c>
      <c r="J4" s="1846" t="s">
        <v>1351</v>
      </c>
      <c r="K4" s="1846" t="s">
        <v>5482</v>
      </c>
      <c r="L4" s="3409"/>
      <c r="M4" s="3409"/>
      <c r="N4" s="3409"/>
    </row>
    <row r="5" spans="1:15" s="1537" customFormat="1" ht="33.75" customHeight="1">
      <c r="A5" s="3404"/>
      <c r="B5" s="3404"/>
      <c r="C5" s="1846">
        <v>1</v>
      </c>
      <c r="D5" s="1846">
        <v>2</v>
      </c>
      <c r="E5" s="1846">
        <v>3</v>
      </c>
      <c r="F5" s="2185">
        <v>4</v>
      </c>
      <c r="G5" s="1846">
        <v>5</v>
      </c>
      <c r="H5" s="1846">
        <v>6</v>
      </c>
      <c r="I5" s="1846">
        <v>7</v>
      </c>
      <c r="J5" s="1846">
        <v>8</v>
      </c>
      <c r="K5" s="1846">
        <v>9</v>
      </c>
      <c r="L5" s="1846">
        <v>10</v>
      </c>
      <c r="M5" s="1846">
        <v>11</v>
      </c>
      <c r="N5" s="1829"/>
    </row>
    <row r="6" spans="1:15" s="1537" customFormat="1" ht="14.25" customHeight="1">
      <c r="A6" s="1846">
        <v>1</v>
      </c>
      <c r="B6" s="1846" t="s">
        <v>6629</v>
      </c>
      <c r="C6" s="1855">
        <f>C7-1</f>
        <v>2011</v>
      </c>
      <c r="D6" s="2072">
        <f>补亏!C12-补亏!D12</f>
        <v>0</v>
      </c>
      <c r="E6" s="2072">
        <f>补亏!E12</f>
        <v>0</v>
      </c>
      <c r="F6" s="2072">
        <f>IF(D6&gt;0,E6,补亏!F12)</f>
        <v>0</v>
      </c>
      <c r="G6" s="2075">
        <f>IF(补亏!F12&gt;=0,0,IF(补亏!F13&lt;=0,0,IF((补亏!F13+补亏!F12)&gt;=0,-补亏!F12,补亏!F13)))</f>
        <v>0</v>
      </c>
      <c r="H6" s="2075">
        <f>IF(补亏!F14&lt;=0,0,IF(补亏!F12&gt;=0,0,IF(-补亏!F12-G6-补亏!F14&gt;=0,补亏!F14,-补亏!F12-G6)))</f>
        <v>0</v>
      </c>
      <c r="I6" s="2075">
        <f>IF(补亏!F15&lt;=0,0,IF(补亏!F12&gt;=0,0,IF(补亏!F15-(-补亏!F12-G6-H6)&gt;0,(-补亏!F12-G6-H6),补亏!F15)))</f>
        <v>0</v>
      </c>
      <c r="J6" s="2075">
        <f>IF(补亏!F16&lt;=0,0,IF(补亏!F12&gt;=0,0,IF(补亏!F16&gt;-补亏!F12-G6-H6-I6,-补亏!F12-G6-H6-I6,补亏!F16)))</f>
        <v>0</v>
      </c>
      <c r="K6" s="2075">
        <f>SUM(G6:J6)</f>
        <v>0</v>
      </c>
      <c r="L6" s="2075">
        <f ca="1">IF(补亏!F17&lt;0,0,IF(补亏!F12&gt;0,0,IF((ABS(补亏!F12)-K6)&gt;'A100000中华人民共和国企业所得税年度纳税申报表（A类）'!D22,'A100000中华人民共和国企业所得税年度纳税申报表（A类）'!D22,ABS(补亏!F12)-K6)))</f>
        <v>0</v>
      </c>
      <c r="M6" s="1954" t="s">
        <v>1859</v>
      </c>
      <c r="N6" s="1829"/>
    </row>
    <row r="7" spans="1:15" s="1537" customFormat="1" ht="14.25" customHeight="1">
      <c r="A7" s="1846">
        <v>2</v>
      </c>
      <c r="B7" s="1846" t="s">
        <v>1348</v>
      </c>
      <c r="C7" s="1855">
        <f>C8-1</f>
        <v>2012</v>
      </c>
      <c r="D7" s="2072">
        <f>补亏!C13-补亏!D13</f>
        <v>0</v>
      </c>
      <c r="E7" s="2072">
        <f>补亏!E13</f>
        <v>0</v>
      </c>
      <c r="F7" s="2186">
        <f>IF(D7&gt;0,E7,补亏!F13)</f>
        <v>0</v>
      </c>
      <c r="G7" s="1954" t="s">
        <v>1859</v>
      </c>
      <c r="H7" s="2075">
        <f>IF(补亏!F14&lt;=0,0,IF(补亏!F13&gt;=0,0,IF(补亏!F14-H6+补亏!F13&gt;0,-补亏!F13,补亏!F14-H6)))</f>
        <v>0</v>
      </c>
      <c r="I7" s="2075">
        <f>IF(补亏!F15&lt;=0,0,IF(补亏!F13&gt;=0,0,IF(-SUMIF(一至三年,"&lt;0")-G6-H6-I6-H7&gt;=0,IF(补亏!F15-I6-(-补亏!F13-H7)&gt;=0,-补亏!F13-H7,补亏!F15-I6),0)))</f>
        <v>0</v>
      </c>
      <c r="J7" s="2075">
        <f>IF(补亏!F16&lt;=0,0,IF(补亏!F13&gt;=0,0,IF(-SUMIF(补亏!F13:F16,"&lt;0")-K6-I7-I8-H7&gt;0,IF(补亏!F16-J6&gt;-补亏!F13-H7-I7,-补亏!F13-H7-I7,补亏!F16-J6),0)))</f>
        <v>0</v>
      </c>
      <c r="K7" s="2075">
        <f>SUM(G7:J7)</f>
        <v>0</v>
      </c>
      <c r="L7" s="2075">
        <f ca="1">IF(补亏!F17-L6&lt;0,0,IF(补亏!F13&gt;0,0,IF((补亏!F17-L6)&gt;(-补亏!F13-K7),-补亏!F13-K7,补亏!F17-L6)))</f>
        <v>0</v>
      </c>
      <c r="M7" s="2075">
        <f ca="1">IF(补亏!F13&gt;0,0,ABS(补亏!F13)-K7-L7)</f>
        <v>0</v>
      </c>
      <c r="N7" s="1829"/>
    </row>
    <row r="8" spans="1:15" s="1537" customFormat="1" ht="14.25" customHeight="1">
      <c r="A8" s="1846">
        <v>3</v>
      </c>
      <c r="B8" s="1846" t="s">
        <v>1349</v>
      </c>
      <c r="C8" s="1855">
        <f>C9-1</f>
        <v>2013</v>
      </c>
      <c r="D8" s="2072">
        <f>补亏!C14-补亏!D14</f>
        <v>0</v>
      </c>
      <c r="E8" s="2072">
        <f>补亏!E14</f>
        <v>0</v>
      </c>
      <c r="F8" s="2186">
        <f>IF(D8&gt;0,E8,补亏!F14)</f>
        <v>0</v>
      </c>
      <c r="G8" s="1954" t="s">
        <v>1859</v>
      </c>
      <c r="H8" s="1954" t="s">
        <v>1859</v>
      </c>
      <c r="I8" s="2075">
        <f>IF(补亏!F15&lt;=0,0,IF(补亏!F14&gt;=0,0,IF(-SUMIF(一至三年,"&lt;0")-G6-H6-I6-H7-I7&gt;0,IF(补亏!F15-I6-I7+补亏!F14&gt;0,-补亏!F14,补亏!F15-I6-I7),0)))</f>
        <v>0</v>
      </c>
      <c r="J8" s="2075">
        <f>IF(补亏!F16&lt;=0,0,IF(补亏!F14&gt;=0,0,IF(-SUMIF(补亏!F13:F16,"&lt;0")&gt;K6+K7+I8,IF(补亏!F16-J6-J7&gt;-补亏!F14-I8,-补亏!F14-I8,补亏!F16-J6-J7),0)))</f>
        <v>0</v>
      </c>
      <c r="K8" s="2075">
        <f>SUM(G8:J8)</f>
        <v>0</v>
      </c>
      <c r="L8" s="2075">
        <f ca="1">IF(补亏!F17-L6-L7&lt;0,0,IF(补亏!F14&gt;0,0,IF(-补亏!F14-K8&gt;补亏!F17-L6-L7,补亏!F17-L6-L7,-补亏!F14-K8)))</f>
        <v>0</v>
      </c>
      <c r="M8" s="2075">
        <f ca="1">IF(补亏!F14&gt;0,0,ABS(补亏!F14)-K8-L8)</f>
        <v>0</v>
      </c>
      <c r="N8" s="1829"/>
    </row>
    <row r="9" spans="1:15" s="1537" customFormat="1" ht="14.25" customHeight="1">
      <c r="A9" s="1846">
        <v>4</v>
      </c>
      <c r="B9" s="1846" t="s">
        <v>1350</v>
      </c>
      <c r="C9" s="1855">
        <f>C10-1</f>
        <v>2014</v>
      </c>
      <c r="D9" s="2072">
        <f>补亏!C15-补亏!D15</f>
        <v>0</v>
      </c>
      <c r="E9" s="2072">
        <f>补亏!E15</f>
        <v>0</v>
      </c>
      <c r="F9" s="2186">
        <f>IF(D9&gt;0,E9,补亏!F15)</f>
        <v>0</v>
      </c>
      <c r="G9" s="1954" t="s">
        <v>1859</v>
      </c>
      <c r="H9" s="1954" t="s">
        <v>1859</v>
      </c>
      <c r="I9" s="1954" t="s">
        <v>1859</v>
      </c>
      <c r="J9" s="2075">
        <f>IF(补亏!F16&lt;=0,0,IF(补亏!F15&gt;=0,0,IF(-SUMIF(补亏!F13:F16,"&lt;0")-K6-K7-K8&gt;0,IF(补亏!F16-J6-J7-J8&gt;-补亏!F15,-补亏!F15,补亏!F16-J6-J7-J8),0)))</f>
        <v>0</v>
      </c>
      <c r="K9" s="2075">
        <f>SUM(G9:J9)</f>
        <v>0</v>
      </c>
      <c r="L9" s="2075">
        <f ca="1">IF(补亏!F17-L6-L7-L8&lt;0,0,IF(补亏!F15&gt;0,0,IF((补亏!F17-L6-L7-L8)&gt;-补亏!F15-K9,-补亏!F15-K9,补亏!F17-L6-L7-L8)))</f>
        <v>0</v>
      </c>
      <c r="M9" s="2075">
        <f ca="1">IF(补亏!F15&gt;0,0,ABS(补亏!F15)-K9-L9)</f>
        <v>0</v>
      </c>
      <c r="N9" s="1829"/>
    </row>
    <row r="10" spans="1:15" s="1537" customFormat="1" ht="14.25" customHeight="1">
      <c r="A10" s="1846">
        <v>5</v>
      </c>
      <c r="B10" s="1846" t="s">
        <v>1351</v>
      </c>
      <c r="C10" s="1855">
        <f>C11-1</f>
        <v>2015</v>
      </c>
      <c r="D10" s="2072">
        <f>补亏!C16-补亏!D16</f>
        <v>0</v>
      </c>
      <c r="E10" s="2072">
        <f>补亏!E16</f>
        <v>0</v>
      </c>
      <c r="F10" s="2186">
        <f>IF(D10&gt;0,E10,补亏!F16)</f>
        <v>0</v>
      </c>
      <c r="G10" s="1954" t="s">
        <v>1859</v>
      </c>
      <c r="H10" s="1954" t="s">
        <v>1859</v>
      </c>
      <c r="I10" s="1954" t="s">
        <v>1859</v>
      </c>
      <c r="J10" s="1954" t="s">
        <v>1859</v>
      </c>
      <c r="K10" s="2075">
        <f>SUM(G10:J10)</f>
        <v>0</v>
      </c>
      <c r="L10" s="2075">
        <f ca="1">IF(补亏!F17-L6-L7-L8-L9&lt;0,0,IF(补亏!F16&gt;0,0,IF((-补亏!F16-K10)&gt;(补亏!F17-L6-L7-L8-L9),(补亏!F17-L6-L7-L8-L9),-补亏!F16-K10)))</f>
        <v>0</v>
      </c>
      <c r="M10" s="2075">
        <f ca="1">IF(补亏!F16&gt;0,0,ABS(补亏!F16)-K10-L10)</f>
        <v>0</v>
      </c>
      <c r="N10" s="1829"/>
    </row>
    <row r="11" spans="1:15" s="1537" customFormat="1" ht="14.25" customHeight="1">
      <c r="A11" s="1846">
        <v>6</v>
      </c>
      <c r="B11" s="1846" t="s">
        <v>5483</v>
      </c>
      <c r="C11" s="1855">
        <f>基本情况!B4</f>
        <v>2016</v>
      </c>
      <c r="D11" s="2072">
        <f ca="1">'A100000中华人民共和国企业所得税年度纳税申报表（A类）'!D22</f>
        <v>0</v>
      </c>
      <c r="E11" s="2072">
        <f>补亏!E17</f>
        <v>0</v>
      </c>
      <c r="F11" s="2075">
        <f ca="1">IF(D11&lt;0,D11+E11,E11)</f>
        <v>0</v>
      </c>
      <c r="G11" s="1954" t="s">
        <v>1859</v>
      </c>
      <c r="H11" s="1954" t="s">
        <v>1859</v>
      </c>
      <c r="I11" s="1954" t="s">
        <v>1859</v>
      </c>
      <c r="J11" s="1954" t="s">
        <v>1859</v>
      </c>
      <c r="K11" s="1954" t="s">
        <v>1859</v>
      </c>
      <c r="L11" s="2075">
        <f ca="1">SUM(L6:L10)</f>
        <v>0</v>
      </c>
      <c r="M11" s="2075">
        <f ca="1">IF(补亏!F17&gt;0,0,ABS(补亏!F17)-L11)</f>
        <v>0</v>
      </c>
      <c r="N11" s="1829"/>
    </row>
    <row r="12" spans="1:15" s="1537" customFormat="1" ht="225" customHeight="1">
      <c r="A12" s="1954">
        <v>7</v>
      </c>
      <c r="B12" s="3958" t="s">
        <v>5484</v>
      </c>
      <c r="C12" s="3486"/>
      <c r="D12" s="3486"/>
      <c r="E12" s="3486"/>
      <c r="F12" s="3486"/>
      <c r="G12" s="3486"/>
      <c r="H12" s="3486"/>
      <c r="I12" s="3486"/>
      <c r="J12" s="3486"/>
      <c r="K12" s="3486"/>
      <c r="L12" s="3917"/>
      <c r="M12" s="2075">
        <f ca="1">SUM(M7:M11)</f>
        <v>0</v>
      </c>
      <c r="N12" s="1996" t="s">
        <v>5485</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t="s">
        <v>5486</v>
      </c>
      <c r="B1" s="3400"/>
      <c r="C1" s="3400"/>
      <c r="D1" s="2015"/>
    </row>
    <row r="2" spans="1:5" ht="25.5" customHeight="1">
      <c r="A2" s="3401" t="s">
        <v>5487</v>
      </c>
      <c r="B2" s="3401"/>
      <c r="C2" s="3401"/>
      <c r="D2" s="1834"/>
    </row>
    <row r="3" spans="1:5">
      <c r="A3" s="1835" t="s">
        <v>1853</v>
      </c>
      <c r="B3" s="1835" t="s">
        <v>1627</v>
      </c>
      <c r="C3" s="1835" t="s">
        <v>5014</v>
      </c>
      <c r="D3" s="1835" t="s">
        <v>5488</v>
      </c>
    </row>
    <row r="4" spans="1:5">
      <c r="A4" s="1835">
        <v>1</v>
      </c>
      <c r="B4" s="1836" t="s">
        <v>5489</v>
      </c>
      <c r="C4" s="2072">
        <f>免税、减计收入及加计扣除优惠审核表!C4</f>
        <v>0</v>
      </c>
      <c r="D4" s="1974"/>
      <c r="E4" s="1575"/>
    </row>
    <row r="5" spans="1:5">
      <c r="A5" s="1835">
        <v>2</v>
      </c>
      <c r="B5" s="1836" t="s">
        <v>5490</v>
      </c>
      <c r="C5" s="2072">
        <f>免税、减计收入及加计扣除优惠审核表!C5</f>
        <v>0</v>
      </c>
      <c r="D5" s="1974"/>
      <c r="E5" s="1575"/>
    </row>
    <row r="6" spans="1:5" ht="32.25" customHeight="1">
      <c r="A6" s="1837">
        <v>3</v>
      </c>
      <c r="B6" s="1838" t="s">
        <v>5491</v>
      </c>
      <c r="C6" s="2072">
        <f>免税、减计收入及加计扣除优惠审核表!C6</f>
        <v>0</v>
      </c>
      <c r="D6" s="1976" t="s">
        <v>5492</v>
      </c>
    </row>
    <row r="7" spans="1:5">
      <c r="A7" s="1835">
        <v>4</v>
      </c>
      <c r="B7" s="1836" t="s">
        <v>5493</v>
      </c>
      <c r="C7" s="2072">
        <f>免税、减计收入及加计扣除优惠审核表!C7</f>
        <v>0</v>
      </c>
      <c r="D7" s="1977"/>
    </row>
    <row r="8" spans="1:5">
      <c r="A8" s="1835">
        <v>5</v>
      </c>
      <c r="B8" s="1836" t="s">
        <v>5494</v>
      </c>
      <c r="C8" s="2072">
        <f>免税、减计收入及加计扣除优惠审核表!C8</f>
        <v>0</v>
      </c>
      <c r="D8" s="1977"/>
    </row>
    <row r="9" spans="1:5">
      <c r="A9" s="1835">
        <v>6</v>
      </c>
      <c r="B9" s="1836" t="s">
        <v>5495</v>
      </c>
      <c r="C9" s="2072">
        <f>免税、减计收入及加计扣除优惠审核表!C9</f>
        <v>0</v>
      </c>
      <c r="D9" s="1977"/>
    </row>
    <row r="10" spans="1:5">
      <c r="A10" s="1835">
        <v>7</v>
      </c>
      <c r="B10" s="1836" t="s">
        <v>5496</v>
      </c>
      <c r="C10" s="2072">
        <f>免税、减计收入及加计扣除优惠审核表!C10</f>
        <v>0</v>
      </c>
      <c r="D10" s="1977"/>
    </row>
    <row r="11" spans="1:5">
      <c r="A11" s="1835">
        <v>8</v>
      </c>
      <c r="B11" s="1836" t="s">
        <v>5497</v>
      </c>
      <c r="C11" s="2072">
        <f>免税、减计收入及加计扣除优惠审核表!C11</f>
        <v>0</v>
      </c>
      <c r="D11" s="1977"/>
    </row>
    <row r="12" spans="1:5">
      <c r="A12" s="1835">
        <v>9</v>
      </c>
      <c r="B12" s="1836" t="s">
        <v>5498</v>
      </c>
      <c r="C12" s="2072">
        <f>免税、减计收入及加计扣除优惠审核表!C12</f>
        <v>0</v>
      </c>
      <c r="D12" s="1977"/>
      <c r="E12" s="1675" t="s">
        <v>6455</v>
      </c>
    </row>
    <row r="13" spans="1:5">
      <c r="A13" s="1835">
        <v>10</v>
      </c>
      <c r="B13" s="1836" t="s">
        <v>5499</v>
      </c>
      <c r="C13" s="2072">
        <f>免税、减计收入及加计扣除优惠审核表!C13</f>
        <v>0</v>
      </c>
      <c r="D13" s="1977"/>
    </row>
    <row r="14" spans="1:5">
      <c r="A14" s="1835">
        <v>11</v>
      </c>
      <c r="B14" s="1836" t="s">
        <v>5500</v>
      </c>
      <c r="C14" s="2072">
        <f>免税、减计收入及加计扣除优惠审核表!C14</f>
        <v>0</v>
      </c>
      <c r="D14" s="1977"/>
    </row>
    <row r="15" spans="1:5">
      <c r="A15" s="1835">
        <v>12</v>
      </c>
      <c r="B15" s="1836" t="s">
        <v>5501</v>
      </c>
      <c r="C15" s="2072">
        <f>免税、减计收入及加计扣除优惠审核表!C15</f>
        <v>0</v>
      </c>
      <c r="D15" s="1977"/>
    </row>
    <row r="16" spans="1:5">
      <c r="A16" s="1835">
        <v>13</v>
      </c>
      <c r="B16" s="1836" t="s">
        <v>5502</v>
      </c>
      <c r="C16" s="2072">
        <f>免税、减计收入及加计扣除优惠审核表!C16</f>
        <v>0</v>
      </c>
      <c r="D16" s="1977"/>
    </row>
    <row r="17" spans="1:4">
      <c r="A17" s="1835">
        <v>14</v>
      </c>
      <c r="B17" s="1836" t="s">
        <v>5503</v>
      </c>
      <c r="C17" s="2072">
        <f>免税、减计收入及加计扣除优惠审核表!C17</f>
        <v>0</v>
      </c>
      <c r="D17" s="1977"/>
    </row>
    <row r="18" spans="1:4">
      <c r="A18" s="1835">
        <v>15</v>
      </c>
      <c r="B18" s="1836" t="s">
        <v>5504</v>
      </c>
      <c r="C18" s="2072">
        <f>免税、减计收入及加计扣除优惠审核表!C18</f>
        <v>0</v>
      </c>
      <c r="D18" s="1977"/>
    </row>
    <row r="19" spans="1:4" ht="27.75" customHeight="1">
      <c r="A19" s="1835">
        <v>16</v>
      </c>
      <c r="B19" s="1836" t="s">
        <v>5505</v>
      </c>
      <c r="C19" s="2072">
        <f>免税、减计收入及加计扣除优惠审核表!C19</f>
        <v>0</v>
      </c>
      <c r="D19" s="1976" t="s">
        <v>5506</v>
      </c>
    </row>
    <row r="20" spans="1:4">
      <c r="A20" s="1835">
        <v>17</v>
      </c>
      <c r="B20" s="1836" t="s">
        <v>5507</v>
      </c>
      <c r="C20" s="2072">
        <f>免税、减计收入及加计扣除优惠审核表!C20</f>
        <v>0</v>
      </c>
      <c r="D20" s="1978"/>
    </row>
    <row r="21" spans="1:4" ht="24">
      <c r="A21" s="1835">
        <v>18</v>
      </c>
      <c r="B21" s="1836" t="s">
        <v>5508</v>
      </c>
      <c r="C21" s="2072">
        <f>免税、减计收入及加计扣除优惠审核表!C21</f>
        <v>0</v>
      </c>
      <c r="D21" s="1976" t="s">
        <v>5509</v>
      </c>
    </row>
    <row r="22" spans="1:4">
      <c r="A22" s="1835">
        <v>19</v>
      </c>
      <c r="B22" s="1836" t="s">
        <v>5510</v>
      </c>
      <c r="C22" s="2072">
        <f>免税、减计收入及加计扣除优惠审核表!C22</f>
        <v>0</v>
      </c>
      <c r="D22" s="1977"/>
    </row>
    <row r="23" spans="1:4">
      <c r="A23" s="1835">
        <v>20</v>
      </c>
      <c r="B23" s="1836" t="s">
        <v>5511</v>
      </c>
      <c r="C23" s="2072">
        <f>免税、减计收入及加计扣除优惠审核表!C23</f>
        <v>0</v>
      </c>
      <c r="D23" s="1977"/>
    </row>
    <row r="24" spans="1:4">
      <c r="A24" s="1835">
        <v>21</v>
      </c>
      <c r="B24" s="1836" t="s">
        <v>5512</v>
      </c>
      <c r="C24" s="2072">
        <f>免税、减计收入及加计扣除优惠审核表!C24</f>
        <v>0</v>
      </c>
      <c r="D24" s="1977"/>
    </row>
    <row r="25" spans="1:4" ht="36">
      <c r="A25" s="1837">
        <v>22</v>
      </c>
      <c r="B25" s="1838" t="s">
        <v>5513</v>
      </c>
      <c r="C25" s="2072">
        <f>免税、减计收入及加计扣除优惠审核表!C25</f>
        <v>0</v>
      </c>
      <c r="D25" s="1976" t="s">
        <v>5514</v>
      </c>
    </row>
    <row r="26" spans="1:4" ht="24">
      <c r="A26" s="1835">
        <v>23</v>
      </c>
      <c r="B26" s="1839" t="s">
        <v>5515</v>
      </c>
      <c r="C26" s="2072">
        <f>免税、减计收入及加计扣除优惠审核表!C26</f>
        <v>0</v>
      </c>
      <c r="D26" s="1977"/>
    </row>
    <row r="27" spans="1:4">
      <c r="A27" s="1835">
        <v>24</v>
      </c>
      <c r="B27" s="1836" t="s">
        <v>5516</v>
      </c>
      <c r="C27" s="2072">
        <f>免税、减计收入及加计扣除优惠审核表!C27</f>
        <v>0</v>
      </c>
      <c r="D27" s="1977"/>
    </row>
    <row r="28" spans="1:4">
      <c r="A28" s="1835">
        <v>25</v>
      </c>
      <c r="B28" s="1836" t="s">
        <v>5517</v>
      </c>
      <c r="C28" s="2072">
        <f>免税、减计收入及加计扣除优惠审核表!C28</f>
        <v>0</v>
      </c>
      <c r="D28" s="1977"/>
    </row>
    <row r="29" spans="1:4">
      <c r="A29" s="1835">
        <v>26</v>
      </c>
      <c r="B29" s="1836" t="s">
        <v>5518</v>
      </c>
      <c r="C29" s="2072">
        <f>免税、减计收入及加计扣除优惠审核表!C29</f>
        <v>0</v>
      </c>
      <c r="D29" s="1977"/>
    </row>
    <row r="30" spans="1:4" ht="24">
      <c r="A30" s="1835">
        <v>27</v>
      </c>
      <c r="B30" s="1836" t="s">
        <v>5519</v>
      </c>
      <c r="C30" s="2072">
        <f>免税、减计收入及加计扣除优惠审核表!C30</f>
        <v>0</v>
      </c>
      <c r="D30" s="1978" t="s">
        <v>5520</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5.6"/>
  <cols>
    <col min="1" max="1" width="4.19921875" style="1584" hidden="1" customWidth="1"/>
    <col min="2" max="2" width="18.3984375" style="1584" customWidth="1"/>
    <col min="3" max="3" width="6.5" style="1584" customWidth="1"/>
    <col min="4" max="4" width="10.19921875" style="1584" customWidth="1"/>
    <col min="5" max="5" width="5.3984375" style="1584" customWidth="1"/>
    <col min="6" max="6" width="9.5" style="1584" customWidth="1"/>
    <col min="7" max="11" width="10.19921875" style="1584" customWidth="1"/>
    <col min="12" max="12" width="6.3984375" style="1584" customWidth="1"/>
    <col min="13" max="17" width="10.19921875"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00" t="s">
        <v>5521</v>
      </c>
      <c r="B1" s="3400"/>
      <c r="C1" s="3400"/>
      <c r="D1" s="3400"/>
      <c r="E1" s="3400"/>
      <c r="F1" s="3400"/>
      <c r="G1" s="3400"/>
      <c r="H1" s="3400"/>
      <c r="I1" s="3400"/>
      <c r="J1" s="3400"/>
      <c r="K1" s="3400"/>
      <c r="L1" s="3400"/>
      <c r="M1" s="3400"/>
      <c r="N1" s="3400"/>
      <c r="O1" s="3400"/>
      <c r="P1" s="3400"/>
      <c r="Q1" s="3400"/>
      <c r="R1" s="3959"/>
    </row>
    <row r="2" spans="1:19" ht="36.75" customHeight="1">
      <c r="A2" s="3401" t="s">
        <v>5522</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7690</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7691</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958"/>
      <c r="S5" s="1586"/>
    </row>
    <row r="6" spans="1:19" ht="14.25" customHeight="1">
      <c r="A6" s="1582">
        <v>1</v>
      </c>
      <c r="B6" s="1869" t="str">
        <f>IF(股息红利优惠审核表!B6=0,"",股息红利优惠审核表!B6)</f>
        <v/>
      </c>
      <c r="C6" s="1869" t="str">
        <f>IF(股息红利优惠审核表!C6=0,"",股息红利优惠审核表!C6)</f>
        <v/>
      </c>
      <c r="D6" s="2072">
        <f>股息红利优惠审核表!D6</f>
        <v>0</v>
      </c>
      <c r="E6" s="2072">
        <f>股息红利优惠审核表!E6</f>
        <v>0</v>
      </c>
      <c r="F6" s="1869" t="str">
        <f>IF(B6="","",TEXT(股息红利优惠审核表!F6,"yyyy-mm-dd"))</f>
        <v/>
      </c>
      <c r="G6" s="2072">
        <f>股息红利优惠审核表!G6</f>
        <v>0</v>
      </c>
      <c r="H6" s="2072">
        <f>股息红利优惠审核表!H6</f>
        <v>0</v>
      </c>
      <c r="I6" s="2072">
        <f>股息红利优惠审核表!I6</f>
        <v>0</v>
      </c>
      <c r="J6" s="2072">
        <f>股息红利优惠审核表!J6</f>
        <v>0</v>
      </c>
      <c r="K6" s="2072">
        <f>股息红利优惠审核表!K6</f>
        <v>0</v>
      </c>
      <c r="L6" s="2072">
        <f>股息红利优惠审核表!L6</f>
        <v>0</v>
      </c>
      <c r="M6" s="2072">
        <f>股息红利优惠审核表!M6</f>
        <v>0</v>
      </c>
      <c r="N6" s="2072">
        <f>股息红利优惠审核表!N6</f>
        <v>0</v>
      </c>
      <c r="O6" s="2072">
        <f>股息红利优惠审核表!O6</f>
        <v>0</v>
      </c>
      <c r="P6" s="2072">
        <f>股息红利优惠审核表!P6</f>
        <v>0</v>
      </c>
      <c r="Q6" s="2072">
        <f>股息红利优惠审核表!Q6</f>
        <v>0</v>
      </c>
      <c r="R6" s="1979"/>
    </row>
    <row r="7" spans="1:19" ht="14.25" customHeight="1">
      <c r="A7" s="1582">
        <v>2</v>
      </c>
      <c r="B7" s="1869" t="str">
        <f>IF(股息红利优惠审核表!B7=0,"",股息红利优惠审核表!B7)</f>
        <v/>
      </c>
      <c r="C7" s="1869" t="str">
        <f>IF(股息红利优惠审核表!C7=0,"",股息红利优惠审核表!C7)</f>
        <v/>
      </c>
      <c r="D7" s="2072">
        <f>股息红利优惠审核表!D7</f>
        <v>0</v>
      </c>
      <c r="E7" s="2072">
        <f>股息红利优惠审核表!E7</f>
        <v>0</v>
      </c>
      <c r="F7" s="1869" t="str">
        <f>IF(B7="","",TEXT(股息红利优惠审核表!F7,"yyyy-mm-dd"))</f>
        <v/>
      </c>
      <c r="G7" s="2072">
        <f>股息红利优惠审核表!G7</f>
        <v>0</v>
      </c>
      <c r="H7" s="2072">
        <f>股息红利优惠审核表!H7</f>
        <v>0</v>
      </c>
      <c r="I7" s="2072">
        <f>股息红利优惠审核表!I7</f>
        <v>0</v>
      </c>
      <c r="J7" s="2072">
        <f>股息红利优惠审核表!J7</f>
        <v>0</v>
      </c>
      <c r="K7" s="2072">
        <f>股息红利优惠审核表!K7</f>
        <v>0</v>
      </c>
      <c r="L7" s="2072">
        <f>股息红利优惠审核表!L7</f>
        <v>0</v>
      </c>
      <c r="M7" s="2072">
        <f>股息红利优惠审核表!M7</f>
        <v>0</v>
      </c>
      <c r="N7" s="2072">
        <f>股息红利优惠审核表!N7</f>
        <v>0</v>
      </c>
      <c r="O7" s="2072">
        <f>股息红利优惠审核表!O7</f>
        <v>0</v>
      </c>
      <c r="P7" s="2072">
        <f>股息红利优惠审核表!P7</f>
        <v>0</v>
      </c>
      <c r="Q7" s="2072">
        <f>股息红利优惠审核表!Q7</f>
        <v>0</v>
      </c>
      <c r="R7" s="1979"/>
    </row>
    <row r="8" spans="1:19" ht="14.25" customHeight="1">
      <c r="A8" s="1582">
        <v>3</v>
      </c>
      <c r="B8" s="1869" t="str">
        <f>IF(股息红利优惠审核表!B8=0,"",股息红利优惠审核表!B8)</f>
        <v/>
      </c>
      <c r="C8" s="1869" t="str">
        <f>IF(股息红利优惠审核表!C8=0,"",股息红利优惠审核表!C8)</f>
        <v/>
      </c>
      <c r="D8" s="2072">
        <f>股息红利优惠审核表!D8</f>
        <v>0</v>
      </c>
      <c r="E8" s="2072">
        <f>股息红利优惠审核表!E8</f>
        <v>0</v>
      </c>
      <c r="F8" s="1869" t="str">
        <f>IF(B8="","",TEXT(股息红利优惠审核表!F8,"yyyy-mm-dd"))</f>
        <v/>
      </c>
      <c r="G8" s="2072">
        <f>股息红利优惠审核表!G8</f>
        <v>0</v>
      </c>
      <c r="H8" s="2072">
        <f>股息红利优惠审核表!H8</f>
        <v>0</v>
      </c>
      <c r="I8" s="2072">
        <f>股息红利优惠审核表!I8</f>
        <v>0</v>
      </c>
      <c r="J8" s="2072">
        <f>股息红利优惠审核表!J8</f>
        <v>0</v>
      </c>
      <c r="K8" s="2072">
        <f>股息红利优惠审核表!K8</f>
        <v>0</v>
      </c>
      <c r="L8" s="2072">
        <f>股息红利优惠审核表!L8</f>
        <v>0</v>
      </c>
      <c r="M8" s="2072">
        <f>股息红利优惠审核表!M8</f>
        <v>0</v>
      </c>
      <c r="N8" s="2072">
        <f>股息红利优惠审核表!N8</f>
        <v>0</v>
      </c>
      <c r="O8" s="2072">
        <f>股息红利优惠审核表!O8</f>
        <v>0</v>
      </c>
      <c r="P8" s="2072">
        <f>股息红利优惠审核表!P8</f>
        <v>0</v>
      </c>
      <c r="Q8" s="2072">
        <f>股息红利优惠审核表!Q8</f>
        <v>0</v>
      </c>
      <c r="R8" s="1979"/>
      <c r="S8" s="1770" t="s">
        <v>6457</v>
      </c>
    </row>
    <row r="9" spans="1:19" ht="14.25" customHeight="1">
      <c r="A9" s="1582">
        <v>4</v>
      </c>
      <c r="B9" s="1869" t="str">
        <f>IF(股息红利优惠审核表!B9=0,"",股息红利优惠审核表!B9)</f>
        <v/>
      </c>
      <c r="C9" s="1869" t="str">
        <f>IF(股息红利优惠审核表!C9=0,"",股息红利优惠审核表!C9)</f>
        <v/>
      </c>
      <c r="D9" s="2072">
        <f>股息红利优惠审核表!D9</f>
        <v>0</v>
      </c>
      <c r="E9" s="2072">
        <f>股息红利优惠审核表!E9</f>
        <v>0</v>
      </c>
      <c r="F9" s="1869" t="str">
        <f>IF(B9="","",TEXT(股息红利优惠审核表!F9,"yyyy-mm-dd"))</f>
        <v/>
      </c>
      <c r="G9" s="2072">
        <f>股息红利优惠审核表!G9</f>
        <v>0</v>
      </c>
      <c r="H9" s="2072">
        <f>股息红利优惠审核表!H9</f>
        <v>0</v>
      </c>
      <c r="I9" s="2072">
        <f>股息红利优惠审核表!I9</f>
        <v>0</v>
      </c>
      <c r="J9" s="2072">
        <f>股息红利优惠审核表!J9</f>
        <v>0</v>
      </c>
      <c r="K9" s="2072">
        <f>股息红利优惠审核表!K9</f>
        <v>0</v>
      </c>
      <c r="L9" s="2072">
        <f>股息红利优惠审核表!L9</f>
        <v>0</v>
      </c>
      <c r="M9" s="2072">
        <f>股息红利优惠审核表!M9</f>
        <v>0</v>
      </c>
      <c r="N9" s="2072">
        <f>股息红利优惠审核表!N9</f>
        <v>0</v>
      </c>
      <c r="O9" s="2072">
        <f>股息红利优惠审核表!O9</f>
        <v>0</v>
      </c>
      <c r="P9" s="2072">
        <f>股息红利优惠审核表!P9</f>
        <v>0</v>
      </c>
      <c r="Q9" s="2072">
        <f>股息红利优惠审核表!Q9</f>
        <v>0</v>
      </c>
      <c r="R9" s="1979"/>
    </row>
    <row r="10" spans="1:19" ht="14.25" customHeight="1">
      <c r="A10" s="1582">
        <v>5</v>
      </c>
      <c r="B10" s="1869" t="str">
        <f>IF(股息红利优惠审核表!B10=0,"",股息红利优惠审核表!B10)</f>
        <v/>
      </c>
      <c r="C10" s="1869" t="str">
        <f>IF(股息红利优惠审核表!C10=0,"",股息红利优惠审核表!C10)</f>
        <v/>
      </c>
      <c r="D10" s="2072">
        <f>股息红利优惠审核表!D10</f>
        <v>0</v>
      </c>
      <c r="E10" s="2072">
        <f>股息红利优惠审核表!E10</f>
        <v>0</v>
      </c>
      <c r="F10" s="1869" t="str">
        <f>IF(B10="","",TEXT(股息红利优惠审核表!F10,"yyyy-mm-dd"))</f>
        <v/>
      </c>
      <c r="G10" s="2072">
        <f>股息红利优惠审核表!G10</f>
        <v>0</v>
      </c>
      <c r="H10" s="2072">
        <f>股息红利优惠审核表!H10</f>
        <v>0</v>
      </c>
      <c r="I10" s="2072">
        <f>股息红利优惠审核表!I10</f>
        <v>0</v>
      </c>
      <c r="J10" s="2072">
        <f>股息红利优惠审核表!J10</f>
        <v>0</v>
      </c>
      <c r="K10" s="2072">
        <f>股息红利优惠审核表!K10</f>
        <v>0</v>
      </c>
      <c r="L10" s="2072">
        <f>股息红利优惠审核表!L10</f>
        <v>0</v>
      </c>
      <c r="M10" s="2072">
        <f>股息红利优惠审核表!M10</f>
        <v>0</v>
      </c>
      <c r="N10" s="2072">
        <f>股息红利优惠审核表!N10</f>
        <v>0</v>
      </c>
      <c r="O10" s="2072">
        <f>股息红利优惠审核表!O10</f>
        <v>0</v>
      </c>
      <c r="P10" s="2072">
        <f>股息红利优惠审核表!P10</f>
        <v>0</v>
      </c>
      <c r="Q10" s="2072">
        <f>股息红利优惠审核表!Q10</f>
        <v>0</v>
      </c>
      <c r="R10" s="1979"/>
    </row>
    <row r="11" spans="1:19" ht="14.25" customHeight="1">
      <c r="A11" s="1582">
        <v>6</v>
      </c>
      <c r="B11" s="1869" t="str">
        <f>IF(股息红利优惠审核表!B11=0,"",股息红利优惠审核表!B11)</f>
        <v/>
      </c>
      <c r="C11" s="1869" t="str">
        <f>IF(股息红利优惠审核表!C11=0,"",股息红利优惠审核表!C11)</f>
        <v/>
      </c>
      <c r="D11" s="2072">
        <f>股息红利优惠审核表!D11</f>
        <v>0</v>
      </c>
      <c r="E11" s="2072">
        <f>股息红利优惠审核表!E11</f>
        <v>0</v>
      </c>
      <c r="F11" s="1869" t="str">
        <f>IF(B11="","",TEXT(股息红利优惠审核表!F11,"yyyy-mm-dd"))</f>
        <v/>
      </c>
      <c r="G11" s="2072">
        <f>股息红利优惠审核表!G11</f>
        <v>0</v>
      </c>
      <c r="H11" s="2072">
        <f>股息红利优惠审核表!H11</f>
        <v>0</v>
      </c>
      <c r="I11" s="2072">
        <f>股息红利优惠审核表!I11</f>
        <v>0</v>
      </c>
      <c r="J11" s="2072">
        <f>股息红利优惠审核表!J11</f>
        <v>0</v>
      </c>
      <c r="K11" s="2072">
        <f>股息红利优惠审核表!K11</f>
        <v>0</v>
      </c>
      <c r="L11" s="2072">
        <f>股息红利优惠审核表!L11</f>
        <v>0</v>
      </c>
      <c r="M11" s="2072">
        <f>股息红利优惠审核表!M11</f>
        <v>0</v>
      </c>
      <c r="N11" s="2072">
        <f>股息红利优惠审核表!N11</f>
        <v>0</v>
      </c>
      <c r="O11" s="2072">
        <f>股息红利优惠审核表!O11</f>
        <v>0</v>
      </c>
      <c r="P11" s="2072">
        <f>股息红利优惠审核表!P11</f>
        <v>0</v>
      </c>
      <c r="Q11" s="2072">
        <f>股息红利优惠审核表!Q11</f>
        <v>0</v>
      </c>
      <c r="R11" s="1979"/>
    </row>
    <row r="12" spans="1:19" ht="14.25" customHeight="1">
      <c r="A12" s="1582">
        <v>7</v>
      </c>
      <c r="B12" s="1869" t="str">
        <f>IF(股息红利优惠审核表!B12=0,"",股息红利优惠审核表!B12)</f>
        <v/>
      </c>
      <c r="C12" s="1869" t="str">
        <f>IF(股息红利优惠审核表!C12=0,"",股息红利优惠审核表!C12)</f>
        <v/>
      </c>
      <c r="D12" s="2072">
        <f>股息红利优惠审核表!D12</f>
        <v>0</v>
      </c>
      <c r="E12" s="2072">
        <f>股息红利优惠审核表!E12</f>
        <v>0</v>
      </c>
      <c r="F12" s="1869" t="str">
        <f>IF(B12="","",TEXT(股息红利优惠审核表!F12,"yyyy-mm-dd"))</f>
        <v/>
      </c>
      <c r="G12" s="2072">
        <f>股息红利优惠审核表!G12</f>
        <v>0</v>
      </c>
      <c r="H12" s="2072">
        <f>股息红利优惠审核表!H12</f>
        <v>0</v>
      </c>
      <c r="I12" s="2072">
        <f>股息红利优惠审核表!I12</f>
        <v>0</v>
      </c>
      <c r="J12" s="2072">
        <f>股息红利优惠审核表!J12</f>
        <v>0</v>
      </c>
      <c r="K12" s="2072">
        <f>股息红利优惠审核表!K12</f>
        <v>0</v>
      </c>
      <c r="L12" s="2072">
        <f>股息红利优惠审核表!L12</f>
        <v>0</v>
      </c>
      <c r="M12" s="2072">
        <f>股息红利优惠审核表!M12</f>
        <v>0</v>
      </c>
      <c r="N12" s="2072">
        <f>股息红利优惠审核表!N12</f>
        <v>0</v>
      </c>
      <c r="O12" s="2072">
        <f>股息红利优惠审核表!O12</f>
        <v>0</v>
      </c>
      <c r="P12" s="2072">
        <f>股息红利优惠审核表!P12</f>
        <v>0</v>
      </c>
      <c r="Q12" s="2072">
        <f>股息红利优惠审核表!Q12</f>
        <v>0</v>
      </c>
      <c r="R12" s="1979"/>
    </row>
    <row r="13" spans="1:19" ht="14.25" customHeight="1">
      <c r="A13" s="1582">
        <v>8</v>
      </c>
      <c r="B13" s="1869" t="str">
        <f>IF(股息红利优惠审核表!B13=0,"",股息红利优惠审核表!B13)</f>
        <v/>
      </c>
      <c r="C13" s="1869" t="str">
        <f>IF(股息红利优惠审核表!C13=0,"",股息红利优惠审核表!C13)</f>
        <v/>
      </c>
      <c r="D13" s="2072">
        <f>股息红利优惠审核表!D13</f>
        <v>0</v>
      </c>
      <c r="E13" s="2072">
        <f>股息红利优惠审核表!E13</f>
        <v>0</v>
      </c>
      <c r="F13" s="1869" t="str">
        <f>IF(B13="","",TEXT(股息红利优惠审核表!F13,"yyyy-mm-dd"))</f>
        <v/>
      </c>
      <c r="G13" s="2072">
        <f>股息红利优惠审核表!G13</f>
        <v>0</v>
      </c>
      <c r="H13" s="2072">
        <f>股息红利优惠审核表!H13</f>
        <v>0</v>
      </c>
      <c r="I13" s="2072">
        <f>股息红利优惠审核表!I13</f>
        <v>0</v>
      </c>
      <c r="J13" s="2072">
        <f>股息红利优惠审核表!J13</f>
        <v>0</v>
      </c>
      <c r="K13" s="2072">
        <f>股息红利优惠审核表!K13</f>
        <v>0</v>
      </c>
      <c r="L13" s="2072">
        <f>股息红利优惠审核表!L13</f>
        <v>0</v>
      </c>
      <c r="M13" s="2072">
        <f>股息红利优惠审核表!M13</f>
        <v>0</v>
      </c>
      <c r="N13" s="2072">
        <f>股息红利优惠审核表!N13</f>
        <v>0</v>
      </c>
      <c r="O13" s="2072">
        <f>股息红利优惠审核表!O13</f>
        <v>0</v>
      </c>
      <c r="P13" s="2072">
        <f>股息红利优惠审核表!P13</f>
        <v>0</v>
      </c>
      <c r="Q13" s="2072">
        <f>股息红利优惠审核表!Q13</f>
        <v>0</v>
      </c>
      <c r="R13" s="1979"/>
    </row>
    <row r="14" spans="1:19" ht="14.25" customHeight="1">
      <c r="A14" s="1582">
        <v>9</v>
      </c>
      <c r="B14" s="1869" t="str">
        <f>IF(股息红利优惠审核表!B14=0,"",股息红利优惠审核表!B14)</f>
        <v/>
      </c>
      <c r="C14" s="1869" t="str">
        <f>IF(股息红利优惠审核表!C14=0,"",股息红利优惠审核表!C14)</f>
        <v/>
      </c>
      <c r="D14" s="2072">
        <f>股息红利优惠审核表!D14</f>
        <v>0</v>
      </c>
      <c r="E14" s="2072">
        <f>股息红利优惠审核表!E14</f>
        <v>0</v>
      </c>
      <c r="F14" s="1869" t="str">
        <f>IF(B14="","",TEXT(股息红利优惠审核表!F14,"yyyy-mm-dd"))</f>
        <v/>
      </c>
      <c r="G14" s="2072">
        <f>股息红利优惠审核表!G14</f>
        <v>0</v>
      </c>
      <c r="H14" s="2072">
        <f>股息红利优惠审核表!H14</f>
        <v>0</v>
      </c>
      <c r="I14" s="2072">
        <f>股息红利优惠审核表!I14</f>
        <v>0</v>
      </c>
      <c r="J14" s="2072">
        <f>股息红利优惠审核表!J14</f>
        <v>0</v>
      </c>
      <c r="K14" s="2072">
        <f>股息红利优惠审核表!K14</f>
        <v>0</v>
      </c>
      <c r="L14" s="2072">
        <f>股息红利优惠审核表!L14</f>
        <v>0</v>
      </c>
      <c r="M14" s="2072">
        <f>股息红利优惠审核表!M14</f>
        <v>0</v>
      </c>
      <c r="N14" s="2072">
        <f>股息红利优惠审核表!N14</f>
        <v>0</v>
      </c>
      <c r="O14" s="2072">
        <f>股息红利优惠审核表!O14</f>
        <v>0</v>
      </c>
      <c r="P14" s="2072">
        <f>股息红利优惠审核表!P14</f>
        <v>0</v>
      </c>
      <c r="Q14" s="2072">
        <f>股息红利优惠审核表!Q14</f>
        <v>0</v>
      </c>
      <c r="R14" s="1979"/>
    </row>
    <row r="15" spans="1:19" ht="89.25" customHeight="1">
      <c r="A15" s="1588" t="s">
        <v>5541</v>
      </c>
      <c r="B15" s="1836" t="str">
        <f>股息红利优惠审核表!B15</f>
        <v>合计</v>
      </c>
      <c r="C15" s="1959" t="s">
        <v>5542</v>
      </c>
      <c r="D15" s="1959" t="s">
        <v>5542</v>
      </c>
      <c r="E15" s="1959" t="s">
        <v>5542</v>
      </c>
      <c r="F15" s="1959" t="s">
        <v>5542</v>
      </c>
      <c r="G15" s="2072">
        <f>股息红利优惠审核表!G15</f>
        <v>0</v>
      </c>
      <c r="H15" s="1959" t="s">
        <v>5542</v>
      </c>
      <c r="I15" s="1959" t="s">
        <v>5542</v>
      </c>
      <c r="J15" s="2072">
        <f>股息红利优惠审核表!J15</f>
        <v>0</v>
      </c>
      <c r="K15" s="1959" t="s">
        <v>5542</v>
      </c>
      <c r="L15" s="1959" t="s">
        <v>5542</v>
      </c>
      <c r="M15" s="1959" t="s">
        <v>5542</v>
      </c>
      <c r="N15" s="1959" t="s">
        <v>5542</v>
      </c>
      <c r="O15" s="1959" t="s">
        <v>5542</v>
      </c>
      <c r="P15" s="2072">
        <f>股息红利优惠审核表!P15</f>
        <v>0</v>
      </c>
      <c r="Q15" s="2072">
        <f>股息红利优惠审核表!Q15</f>
        <v>0</v>
      </c>
      <c r="R15" s="1978" t="s">
        <v>5543</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5.6"/>
  <cols>
    <col min="1" max="1" width="5.69921875" style="1590" customWidth="1"/>
    <col min="2" max="2" width="14.8984375" style="1590" customWidth="1"/>
    <col min="3" max="7" width="11.5" style="1590" customWidth="1"/>
    <col min="8" max="8" width="7.3984375" style="1590" customWidth="1"/>
    <col min="9" max="11" width="11.5" style="1590" customWidth="1"/>
    <col min="12" max="12" width="8"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4" s="1583" customFormat="1" ht="20.100000000000001" customHeight="1">
      <c r="A1" s="3400" t="s">
        <v>5544</v>
      </c>
      <c r="B1" s="3400"/>
      <c r="C1" s="3400"/>
      <c r="D1" s="3400"/>
      <c r="E1" s="3400"/>
      <c r="F1" s="3400"/>
      <c r="G1" s="3400"/>
      <c r="H1" s="3400"/>
      <c r="I1" s="3400"/>
      <c r="J1" s="3400"/>
      <c r="K1" s="3400"/>
      <c r="L1" s="2021"/>
    </row>
    <row r="2" spans="1:14" s="1589" customFormat="1" ht="25.5" customHeight="1">
      <c r="A2" s="3401" t="s">
        <v>5545</v>
      </c>
      <c r="B2" s="3401"/>
      <c r="C2" s="3401"/>
      <c r="D2" s="3401"/>
      <c r="E2" s="3401"/>
      <c r="F2" s="3401"/>
      <c r="G2" s="3401"/>
      <c r="H2" s="3401"/>
      <c r="I2" s="3401"/>
      <c r="J2" s="3401"/>
      <c r="K2" s="3401"/>
      <c r="L2" s="1865"/>
    </row>
    <row r="3" spans="1:14" ht="29.25" customHeight="1">
      <c r="A3" s="3402" t="s">
        <v>2434</v>
      </c>
      <c r="B3" s="3405" t="s">
        <v>5546</v>
      </c>
      <c r="C3" s="3407" t="s">
        <v>5547</v>
      </c>
      <c r="D3" s="3407"/>
      <c r="E3" s="3407"/>
      <c r="F3" s="3407" t="s">
        <v>5548</v>
      </c>
      <c r="G3" s="3407" t="s">
        <v>5549</v>
      </c>
      <c r="H3" s="3407" t="s">
        <v>5550</v>
      </c>
      <c r="I3" s="3407" t="s">
        <v>5551</v>
      </c>
      <c r="J3" s="3407" t="s">
        <v>5552</v>
      </c>
      <c r="K3" s="3407" t="s">
        <v>5553</v>
      </c>
      <c r="L3" s="3407" t="s">
        <v>4899</v>
      </c>
    </row>
    <row r="4" spans="1:14" ht="36" customHeight="1">
      <c r="A4" s="3403"/>
      <c r="B4" s="3409"/>
      <c r="C4" s="1864" t="s">
        <v>5554</v>
      </c>
      <c r="D4" s="1864" t="s">
        <v>5555</v>
      </c>
      <c r="E4" s="1864" t="s">
        <v>5556</v>
      </c>
      <c r="F4" s="3407"/>
      <c r="G4" s="3407"/>
      <c r="H4" s="3407"/>
      <c r="I4" s="3407"/>
      <c r="J4" s="3407"/>
      <c r="K4" s="3407"/>
      <c r="L4" s="3407"/>
    </row>
    <row r="5" spans="1:14" ht="14.25" customHeight="1">
      <c r="A5" s="3404"/>
      <c r="B5" s="1835">
        <v>1</v>
      </c>
      <c r="C5" s="1835">
        <v>2</v>
      </c>
      <c r="D5" s="1835">
        <v>3</v>
      </c>
      <c r="E5" s="1835">
        <v>4</v>
      </c>
      <c r="F5" s="1835">
        <v>5</v>
      </c>
      <c r="G5" s="1835">
        <v>6</v>
      </c>
      <c r="H5" s="1835">
        <v>7</v>
      </c>
      <c r="I5" s="1835">
        <v>8</v>
      </c>
      <c r="J5" s="1835">
        <v>9</v>
      </c>
      <c r="K5" s="1835" t="s">
        <v>5557</v>
      </c>
      <c r="L5" s="1980"/>
    </row>
    <row r="6" spans="1:14" ht="14.25" customHeight="1">
      <c r="A6" s="1835">
        <v>1</v>
      </c>
      <c r="B6" s="1869" t="str">
        <f>综合利用资源生产产品取得的收入优惠审核表!B6&amp;""</f>
        <v/>
      </c>
      <c r="C6" s="1869" t="str">
        <f>IF(B6="","",TEXT(综合利用资源生产产品取得的收入优惠审核表!C6,"yyyy-mm-dd"))</f>
        <v/>
      </c>
      <c r="D6" s="1869" t="str">
        <f>综合利用资源生产产品取得的收入优惠审核表!D6&amp;""</f>
        <v/>
      </c>
      <c r="E6" s="1869" t="str">
        <f>综合利用资源生产产品取得的收入优惠审核表!E6&amp;""</f>
        <v/>
      </c>
      <c r="F6" s="1869" t="str">
        <f>综合利用资源生产产品取得的收入优惠审核表!F6&amp;""</f>
        <v/>
      </c>
      <c r="G6" s="1869" t="str">
        <f>综合利用资源生产产品取得的收入优惠审核表!G6&amp;""</f>
        <v/>
      </c>
      <c r="H6" s="2566" t="str">
        <f>IF($B6="","",综合利用资源生产产品取得的收入优惠审核表!H6)</f>
        <v/>
      </c>
      <c r="I6" s="1869" t="str">
        <f>综合利用资源生产产品取得的收入优惠审核表!I6&amp;""</f>
        <v/>
      </c>
      <c r="J6" s="2072" t="str">
        <f>IF($B6="","",综合利用资源生产产品取得的收入优惠审核表!J6)</f>
        <v/>
      </c>
      <c r="K6" s="2072" t="str">
        <f>IF($B6="","",综合利用资源生产产品取得的收入优惠审核表!K6)</f>
        <v/>
      </c>
      <c r="L6" s="1980"/>
    </row>
    <row r="7" spans="1:14" ht="14.25" customHeight="1">
      <c r="A7" s="1835">
        <v>2</v>
      </c>
      <c r="B7" s="1869" t="str">
        <f>综合利用资源生产产品取得的收入优惠审核表!B7&amp;""</f>
        <v/>
      </c>
      <c r="C7" s="1869" t="str">
        <f>IF(B7="","",TEXT(综合利用资源生产产品取得的收入优惠审核表!C7,"yyyy-mm-dd"))</f>
        <v/>
      </c>
      <c r="D7" s="1869" t="str">
        <f>综合利用资源生产产品取得的收入优惠审核表!D7&amp;""</f>
        <v/>
      </c>
      <c r="E7" s="1869" t="str">
        <f>综合利用资源生产产品取得的收入优惠审核表!E7&amp;""</f>
        <v/>
      </c>
      <c r="F7" s="1869" t="str">
        <f>综合利用资源生产产品取得的收入优惠审核表!F7&amp;""</f>
        <v/>
      </c>
      <c r="G7" s="1869" t="str">
        <f>综合利用资源生产产品取得的收入优惠审核表!G7&amp;""</f>
        <v/>
      </c>
      <c r="H7" s="2566" t="str">
        <f>IF($B7="","",综合利用资源生产产品取得的收入优惠审核表!H7)</f>
        <v/>
      </c>
      <c r="I7" s="1869" t="str">
        <f>综合利用资源生产产品取得的收入优惠审核表!I7&amp;""</f>
        <v/>
      </c>
      <c r="J7" s="2072" t="str">
        <f>IF($B7="","",综合利用资源生产产品取得的收入优惠审核表!J7)</f>
        <v/>
      </c>
      <c r="K7" s="2072" t="str">
        <f>IF($B7="","",综合利用资源生产产品取得的收入优惠审核表!K7)</f>
        <v/>
      </c>
      <c r="L7" s="1980"/>
    </row>
    <row r="8" spans="1:14" ht="14.25" customHeight="1">
      <c r="A8" s="1835">
        <v>3</v>
      </c>
      <c r="B8" s="1869" t="str">
        <f>综合利用资源生产产品取得的收入优惠审核表!B8&amp;""</f>
        <v/>
      </c>
      <c r="C8" s="1869" t="str">
        <f>IF(B8="","",TEXT(综合利用资源生产产品取得的收入优惠审核表!C8,"yyyy-mm-dd"))</f>
        <v/>
      </c>
      <c r="D8" s="1869" t="str">
        <f>综合利用资源生产产品取得的收入优惠审核表!D8&amp;""</f>
        <v/>
      </c>
      <c r="E8" s="1869" t="str">
        <f>综合利用资源生产产品取得的收入优惠审核表!E8&amp;""</f>
        <v/>
      </c>
      <c r="F8" s="1869" t="str">
        <f>综合利用资源生产产品取得的收入优惠审核表!F8&amp;""</f>
        <v/>
      </c>
      <c r="G8" s="1869" t="str">
        <f>综合利用资源生产产品取得的收入优惠审核表!G8&amp;""</f>
        <v/>
      </c>
      <c r="H8" s="2566" t="str">
        <f>IF($B8="","",综合利用资源生产产品取得的收入优惠审核表!H8)</f>
        <v/>
      </c>
      <c r="I8" s="1869" t="str">
        <f>综合利用资源生产产品取得的收入优惠审核表!I8&amp;""</f>
        <v/>
      </c>
      <c r="J8" s="2072" t="str">
        <f>IF($B8="","",综合利用资源生产产品取得的收入优惠审核表!J8)</f>
        <v/>
      </c>
      <c r="K8" s="2072" t="str">
        <f>IF($B8="","",综合利用资源生产产品取得的收入优惠审核表!K8)</f>
        <v/>
      </c>
      <c r="L8" s="1980"/>
    </row>
    <row r="9" spans="1:14" ht="14.25" customHeight="1">
      <c r="A9" s="1835">
        <v>4</v>
      </c>
      <c r="B9" s="1869" t="str">
        <f>综合利用资源生产产品取得的收入优惠审核表!B9&amp;""</f>
        <v/>
      </c>
      <c r="C9" s="1869" t="str">
        <f>IF(B9="","",TEXT(综合利用资源生产产品取得的收入优惠审核表!C9,"yyyy-mm-dd"))</f>
        <v/>
      </c>
      <c r="D9" s="1869" t="str">
        <f>综合利用资源生产产品取得的收入优惠审核表!D9&amp;""</f>
        <v/>
      </c>
      <c r="E9" s="1869" t="str">
        <f>综合利用资源生产产品取得的收入优惠审核表!E9&amp;""</f>
        <v/>
      </c>
      <c r="F9" s="1869" t="str">
        <f>综合利用资源生产产品取得的收入优惠审核表!F9&amp;""</f>
        <v/>
      </c>
      <c r="G9" s="1869" t="str">
        <f>综合利用资源生产产品取得的收入优惠审核表!G9&amp;""</f>
        <v/>
      </c>
      <c r="H9" s="2566" t="str">
        <f>IF($B9="","",综合利用资源生产产品取得的收入优惠审核表!H9)</f>
        <v/>
      </c>
      <c r="I9" s="1869" t="str">
        <f>综合利用资源生产产品取得的收入优惠审核表!I9&amp;""</f>
        <v/>
      </c>
      <c r="J9" s="2072" t="str">
        <f>IF($B9="","",综合利用资源生产产品取得的收入优惠审核表!J9)</f>
        <v/>
      </c>
      <c r="K9" s="2072" t="str">
        <f>IF($B9="","",综合利用资源生产产品取得的收入优惠审核表!K9)</f>
        <v/>
      </c>
      <c r="L9" s="1980"/>
    </row>
    <row r="10" spans="1:14" ht="14.25" customHeight="1">
      <c r="A10" s="1835">
        <v>5</v>
      </c>
      <c r="B10" s="1869" t="str">
        <f>综合利用资源生产产品取得的收入优惠审核表!B10&amp;""</f>
        <v/>
      </c>
      <c r="C10" s="1869" t="str">
        <f>IF(B10="","",TEXT(综合利用资源生产产品取得的收入优惠审核表!C10,"yyyy-mm-dd"))</f>
        <v/>
      </c>
      <c r="D10" s="1869" t="str">
        <f>综合利用资源生产产品取得的收入优惠审核表!D10&amp;""</f>
        <v/>
      </c>
      <c r="E10" s="1869" t="str">
        <f>综合利用资源生产产品取得的收入优惠审核表!E10&amp;""</f>
        <v/>
      </c>
      <c r="F10" s="1869" t="str">
        <f>综合利用资源生产产品取得的收入优惠审核表!F10&amp;""</f>
        <v/>
      </c>
      <c r="G10" s="1869" t="str">
        <f>综合利用资源生产产品取得的收入优惠审核表!G10&amp;""</f>
        <v/>
      </c>
      <c r="H10" s="2566" t="str">
        <f>IF($B10="","",综合利用资源生产产品取得的收入优惠审核表!H10)</f>
        <v/>
      </c>
      <c r="I10" s="1869" t="str">
        <f>综合利用资源生产产品取得的收入优惠审核表!I10&amp;""</f>
        <v/>
      </c>
      <c r="J10" s="2072" t="str">
        <f>IF($B10="","",综合利用资源生产产品取得的收入优惠审核表!J10)</f>
        <v/>
      </c>
      <c r="K10" s="2072" t="str">
        <f>IF($B10="","",综合利用资源生产产品取得的收入优惠审核表!K10)</f>
        <v/>
      </c>
      <c r="L10" s="1980"/>
    </row>
    <row r="11" spans="1:14" ht="14.25" customHeight="1">
      <c r="A11" s="1835">
        <v>6</v>
      </c>
      <c r="B11" s="1869" t="str">
        <f>综合利用资源生产产品取得的收入优惠审核表!B11&amp;""</f>
        <v/>
      </c>
      <c r="C11" s="1869" t="str">
        <f>IF(B11="","",TEXT(综合利用资源生产产品取得的收入优惠审核表!C11,"yyyy-mm-dd"))</f>
        <v/>
      </c>
      <c r="D11" s="1869" t="str">
        <f>综合利用资源生产产品取得的收入优惠审核表!D11&amp;""</f>
        <v/>
      </c>
      <c r="E11" s="1869" t="str">
        <f>综合利用资源生产产品取得的收入优惠审核表!E11&amp;""</f>
        <v/>
      </c>
      <c r="F11" s="1869" t="str">
        <f>综合利用资源生产产品取得的收入优惠审核表!F11&amp;""</f>
        <v/>
      </c>
      <c r="G11" s="1869" t="str">
        <f>综合利用资源生产产品取得的收入优惠审核表!G11&amp;""</f>
        <v/>
      </c>
      <c r="H11" s="2566" t="str">
        <f>IF($B11="","",综合利用资源生产产品取得的收入优惠审核表!H11)</f>
        <v/>
      </c>
      <c r="I11" s="1869" t="str">
        <f>综合利用资源生产产品取得的收入优惠审核表!I11&amp;""</f>
        <v/>
      </c>
      <c r="J11" s="2072" t="str">
        <f>IF($B11="","",综合利用资源生产产品取得的收入优惠审核表!J11)</f>
        <v/>
      </c>
      <c r="K11" s="2072" t="str">
        <f>IF($B11="","",综合利用资源生产产品取得的收入优惠审核表!K11)</f>
        <v/>
      </c>
      <c r="L11" s="1980"/>
    </row>
    <row r="12" spans="1:14" ht="14.25" customHeight="1">
      <c r="A12" s="1835">
        <v>7</v>
      </c>
      <c r="B12" s="1869" t="str">
        <f>综合利用资源生产产品取得的收入优惠审核表!B12&amp;""</f>
        <v/>
      </c>
      <c r="C12" s="1869" t="str">
        <f>IF(B12="","",TEXT(综合利用资源生产产品取得的收入优惠审核表!C12,"yyyy-mm-dd"))</f>
        <v/>
      </c>
      <c r="D12" s="1869" t="str">
        <f>综合利用资源生产产品取得的收入优惠审核表!D12&amp;""</f>
        <v/>
      </c>
      <c r="E12" s="1869" t="str">
        <f>综合利用资源生产产品取得的收入优惠审核表!E12&amp;""</f>
        <v/>
      </c>
      <c r="F12" s="1869" t="str">
        <f>综合利用资源生产产品取得的收入优惠审核表!F12&amp;""</f>
        <v/>
      </c>
      <c r="G12" s="1869" t="str">
        <f>综合利用资源生产产品取得的收入优惠审核表!G12&amp;""</f>
        <v/>
      </c>
      <c r="H12" s="2566" t="str">
        <f>IF($B12="","",综合利用资源生产产品取得的收入优惠审核表!H12)</f>
        <v/>
      </c>
      <c r="I12" s="1869" t="str">
        <f>综合利用资源生产产品取得的收入优惠审核表!I12&amp;""</f>
        <v/>
      </c>
      <c r="J12" s="2072" t="str">
        <f>IF($B12="","",综合利用资源生产产品取得的收入优惠审核表!J12)</f>
        <v/>
      </c>
      <c r="K12" s="2072" t="str">
        <f>IF($B12="","",综合利用资源生产产品取得的收入优惠审核表!K12)</f>
        <v/>
      </c>
      <c r="L12" s="1980"/>
      <c r="M12" s="1770" t="s">
        <v>6459</v>
      </c>
    </row>
    <row r="13" spans="1:14" ht="14.25" customHeight="1">
      <c r="A13" s="1835">
        <v>8</v>
      </c>
      <c r="B13" s="1869" t="str">
        <f>综合利用资源生产产品取得的收入优惠审核表!B13&amp;""</f>
        <v/>
      </c>
      <c r="C13" s="1869" t="str">
        <f>IF(B13="","",TEXT(综合利用资源生产产品取得的收入优惠审核表!C13,"yyyy-mm-dd"))</f>
        <v/>
      </c>
      <c r="D13" s="1869" t="str">
        <f>综合利用资源生产产品取得的收入优惠审核表!D13&amp;""</f>
        <v/>
      </c>
      <c r="E13" s="1869" t="str">
        <f>综合利用资源生产产品取得的收入优惠审核表!E13&amp;""</f>
        <v/>
      </c>
      <c r="F13" s="1869" t="str">
        <f>综合利用资源生产产品取得的收入优惠审核表!F13&amp;""</f>
        <v/>
      </c>
      <c r="G13" s="1869" t="str">
        <f>综合利用资源生产产品取得的收入优惠审核表!G13&amp;""</f>
        <v/>
      </c>
      <c r="H13" s="2566" t="str">
        <f>IF($B13="","",综合利用资源生产产品取得的收入优惠审核表!H13)</f>
        <v/>
      </c>
      <c r="I13" s="1869" t="str">
        <f>综合利用资源生产产品取得的收入优惠审核表!I13&amp;""</f>
        <v/>
      </c>
      <c r="J13" s="2072" t="str">
        <f>IF($B13="","",综合利用资源生产产品取得的收入优惠审核表!J13)</f>
        <v/>
      </c>
      <c r="K13" s="2072" t="str">
        <f>IF($B13="","",综合利用资源生产产品取得的收入优惠审核表!K13)</f>
        <v/>
      </c>
      <c r="L13" s="1980"/>
    </row>
    <row r="14" spans="1:14" ht="14.25" customHeight="1">
      <c r="A14" s="1835">
        <v>9</v>
      </c>
      <c r="B14" s="1869" t="str">
        <f>综合利用资源生产产品取得的收入优惠审核表!B14&amp;""</f>
        <v/>
      </c>
      <c r="C14" s="1869" t="str">
        <f>IF(B14="","",TEXT(综合利用资源生产产品取得的收入优惠审核表!C14,"yyyy-mm-dd"))</f>
        <v/>
      </c>
      <c r="D14" s="1869" t="str">
        <f>综合利用资源生产产品取得的收入优惠审核表!D14&amp;""</f>
        <v/>
      </c>
      <c r="E14" s="1869" t="str">
        <f>综合利用资源生产产品取得的收入优惠审核表!E14&amp;""</f>
        <v/>
      </c>
      <c r="F14" s="1869" t="str">
        <f>综合利用资源生产产品取得的收入优惠审核表!F14&amp;""</f>
        <v/>
      </c>
      <c r="G14" s="1869" t="str">
        <f>综合利用资源生产产品取得的收入优惠审核表!G14&amp;""</f>
        <v/>
      </c>
      <c r="H14" s="2566" t="str">
        <f>IF($B14="","",综合利用资源生产产品取得的收入优惠审核表!H14)</f>
        <v/>
      </c>
      <c r="I14" s="1869" t="str">
        <f>综合利用资源生产产品取得的收入优惠审核表!I14&amp;""</f>
        <v/>
      </c>
      <c r="J14" s="2072" t="str">
        <f>IF($B14="","",综合利用资源生产产品取得的收入优惠审核表!J14)</f>
        <v/>
      </c>
      <c r="K14" s="2072" t="str">
        <f>IF($B14="","",综合利用资源生产产品取得的收入优惠审核表!K14)</f>
        <v/>
      </c>
      <c r="L14" s="1980"/>
    </row>
    <row r="15" spans="1:14" ht="47.25" customHeight="1">
      <c r="A15" s="1868">
        <v>10</v>
      </c>
      <c r="B15" s="1836" t="str">
        <f>综合利用资源生产产品取得的收入优惠审核表!B15</f>
        <v xml:space="preserve">合计  </v>
      </c>
      <c r="C15" s="1959" t="s">
        <v>1866</v>
      </c>
      <c r="D15" s="1959" t="s">
        <v>1866</v>
      </c>
      <c r="E15" s="1959" t="s">
        <v>1866</v>
      </c>
      <c r="F15" s="1959" t="s">
        <v>1866</v>
      </c>
      <c r="G15" s="1959" t="s">
        <v>1866</v>
      </c>
      <c r="H15" s="1959" t="s">
        <v>1866</v>
      </c>
      <c r="I15" s="1959" t="s">
        <v>1866</v>
      </c>
      <c r="J15" s="2072">
        <f>综合利用资源生产产品取得的收入优惠审核表!J15</f>
        <v>0</v>
      </c>
      <c r="K15" s="2072">
        <f>综合利用资源生产产品取得的收入优惠审核表!K15</f>
        <v>0</v>
      </c>
      <c r="L15" s="1839" t="s">
        <v>5560</v>
      </c>
    </row>
    <row r="16" spans="1:14">
      <c r="A16" s="2293"/>
      <c r="B16" s="2293"/>
      <c r="C16" s="2293"/>
      <c r="D16" s="2293"/>
      <c r="E16" s="2293"/>
      <c r="F16" s="2293"/>
      <c r="G16" s="2293"/>
      <c r="H16" s="2293"/>
      <c r="I16" s="2293"/>
      <c r="J16" s="2293"/>
      <c r="K16" s="2293"/>
      <c r="L16" s="2020" t="s">
        <v>5559</v>
      </c>
      <c r="M16" s="2020"/>
      <c r="N16" s="2020"/>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t="s">
        <v>5561</v>
      </c>
      <c r="B1" s="3400"/>
      <c r="C1" s="3400"/>
      <c r="D1" s="2022"/>
    </row>
    <row r="2" spans="1:8" s="1594" customFormat="1" ht="25.5" customHeight="1">
      <c r="A2" s="3401" t="s">
        <v>5562</v>
      </c>
      <c r="B2" s="3401"/>
      <c r="C2" s="3401"/>
      <c r="D2" s="1870"/>
    </row>
    <row r="3" spans="1:8" s="1595" customFormat="1" ht="14.25" customHeight="1">
      <c r="A3" s="1837" t="s">
        <v>1853</v>
      </c>
      <c r="B3" s="1837" t="s">
        <v>1627</v>
      </c>
      <c r="C3" s="1835" t="s">
        <v>5563</v>
      </c>
      <c r="D3" s="1835" t="s">
        <v>4899</v>
      </c>
      <c r="H3" s="1596"/>
    </row>
    <row r="4" spans="1:8" s="1595" customFormat="1" ht="14.25" customHeight="1">
      <c r="A4" s="1835">
        <v>1</v>
      </c>
      <c r="B4" s="1871" t="s">
        <v>5564</v>
      </c>
      <c r="C4" s="1959" t="s">
        <v>1859</v>
      </c>
      <c r="D4" s="1871"/>
    </row>
    <row r="5" spans="1:8" s="1595" customFormat="1" ht="14.25" customHeight="1">
      <c r="A5" s="1835">
        <v>2</v>
      </c>
      <c r="B5" s="1871" t="s">
        <v>5565</v>
      </c>
      <c r="C5" s="2072">
        <f>金融保险等机构取得涉农利息保费收入优惠审核表!C5</f>
        <v>0</v>
      </c>
      <c r="D5" s="1871"/>
    </row>
    <row r="6" spans="1:8" s="1595" customFormat="1" ht="14.25" customHeight="1">
      <c r="A6" s="1835">
        <v>3</v>
      </c>
      <c r="B6" s="1839" t="s">
        <v>5566</v>
      </c>
      <c r="C6" s="2072">
        <f>金融保险等机构取得涉农利息保费收入优惠审核表!C6</f>
        <v>0</v>
      </c>
      <c r="D6" s="1871"/>
    </row>
    <row r="7" spans="1:8" s="1595" customFormat="1" ht="14.25" customHeight="1">
      <c r="A7" s="1835">
        <v>4</v>
      </c>
      <c r="B7" s="1839" t="s">
        <v>5567</v>
      </c>
      <c r="C7" s="1959" t="s">
        <v>1859</v>
      </c>
      <c r="D7" s="1871"/>
    </row>
    <row r="8" spans="1:8" s="1595" customFormat="1" ht="15.75" customHeight="1">
      <c r="A8" s="1837">
        <v>5</v>
      </c>
      <c r="B8" s="1838" t="s">
        <v>5568</v>
      </c>
      <c r="C8" s="2072">
        <f>金融保险等机构取得涉农利息保费收入优惠审核表!C8</f>
        <v>0</v>
      </c>
      <c r="D8" s="1981"/>
    </row>
    <row r="9" spans="1:8" s="1595" customFormat="1" ht="14.25" customHeight="1">
      <c r="A9" s="1835">
        <v>6</v>
      </c>
      <c r="B9" s="1839" t="s">
        <v>5569</v>
      </c>
      <c r="C9" s="2072">
        <f>金融保险等机构取得涉农利息保费收入优惠审核表!C9</f>
        <v>0</v>
      </c>
      <c r="D9" s="1871"/>
    </row>
    <row r="10" spans="1:8" s="1595" customFormat="1" ht="14.25" customHeight="1">
      <c r="A10" s="1835">
        <v>7</v>
      </c>
      <c r="B10" s="1871" t="s">
        <v>5570</v>
      </c>
      <c r="C10" s="2072">
        <f>金融保险等机构取得涉农利息保费收入优惠审核表!C10</f>
        <v>0</v>
      </c>
      <c r="D10" s="1871"/>
    </row>
    <row r="11" spans="1:8" s="1595" customFormat="1" ht="14.25" customHeight="1">
      <c r="A11" s="1835">
        <v>8</v>
      </c>
      <c r="B11" s="1871" t="s">
        <v>5571</v>
      </c>
      <c r="C11" s="2072">
        <f>金融保险等机构取得涉农利息保费收入优惠审核表!C11</f>
        <v>0</v>
      </c>
      <c r="D11" s="1871"/>
    </row>
    <row r="12" spans="1:8" s="1595" customFormat="1" ht="15.75" customHeight="1">
      <c r="A12" s="1837">
        <v>9</v>
      </c>
      <c r="B12" s="1838" t="s">
        <v>5572</v>
      </c>
      <c r="C12" s="2072">
        <f>金融保险等机构取得涉农利息保费收入优惠审核表!C12</f>
        <v>0</v>
      </c>
      <c r="D12" s="1871"/>
    </row>
    <row r="13" spans="1:8" s="1595" customFormat="1" ht="14.25" customHeight="1">
      <c r="A13" s="1835">
        <v>10</v>
      </c>
      <c r="B13" s="1871" t="s">
        <v>5573</v>
      </c>
      <c r="C13" s="1959" t="s">
        <v>1859</v>
      </c>
      <c r="D13" s="1871"/>
    </row>
    <row r="14" spans="1:8" s="1595" customFormat="1" ht="14.25" customHeight="1">
      <c r="A14" s="1835">
        <v>11</v>
      </c>
      <c r="B14" s="1871" t="s">
        <v>5574</v>
      </c>
      <c r="C14" s="2072">
        <f>金融保险等机构取得涉农利息保费收入优惠审核表!C14</f>
        <v>0</v>
      </c>
      <c r="D14" s="1871"/>
      <c r="E14" s="1675" t="s">
        <v>6461</v>
      </c>
    </row>
    <row r="15" spans="1:8" s="1595" customFormat="1" ht="14.25" customHeight="1">
      <c r="A15" s="1835">
        <v>12</v>
      </c>
      <c r="B15" s="1839" t="s">
        <v>5575</v>
      </c>
      <c r="C15" s="2072">
        <f>金融保险等机构取得涉农利息保费收入优惠审核表!C15</f>
        <v>0</v>
      </c>
      <c r="D15" s="1871"/>
    </row>
    <row r="16" spans="1:8" s="1595" customFormat="1" ht="14.25" customHeight="1">
      <c r="A16" s="1835">
        <v>13</v>
      </c>
      <c r="B16" s="1871" t="s">
        <v>5576</v>
      </c>
      <c r="C16" s="2072">
        <f>金融保险等机构取得涉农利息保费收入优惠审核表!C16</f>
        <v>0</v>
      </c>
      <c r="D16" s="1871" t="s">
        <v>5577</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5.6"/>
  <cols>
    <col min="1" max="1" width="5.69921875" style="1598" customWidth="1"/>
    <col min="2" max="2" width="12.19921875" style="1598" customWidth="1"/>
    <col min="3" max="20" width="10.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3400" t="s">
        <v>5578</v>
      </c>
      <c r="B1" s="3400"/>
      <c r="C1" s="3400"/>
      <c r="D1" s="3400"/>
      <c r="E1" s="3400"/>
      <c r="F1" s="3400"/>
      <c r="G1" s="3400"/>
      <c r="H1" s="3400"/>
      <c r="I1" s="3400"/>
      <c r="J1" s="3400"/>
      <c r="K1" s="3400"/>
      <c r="L1" s="3400"/>
      <c r="M1" s="3400"/>
      <c r="N1" s="3400"/>
      <c r="O1" s="3400"/>
      <c r="P1" s="3400"/>
      <c r="Q1" s="3400"/>
      <c r="R1" s="3400"/>
      <c r="S1" s="3400"/>
      <c r="T1" s="3400"/>
      <c r="U1" s="1937"/>
    </row>
    <row r="2" spans="1:24" s="1599" customFormat="1" ht="25.5" customHeight="1">
      <c r="A2" s="3401" t="s">
        <v>5579</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957"/>
    </row>
    <row r="6" spans="1:24" s="1517" customFormat="1" ht="14.25" customHeight="1">
      <c r="A6" s="1835">
        <v>1</v>
      </c>
      <c r="B6" s="1875" t="str">
        <f>研发费用加计扣除优惠审核表!B6&amp;""</f>
        <v/>
      </c>
      <c r="C6" s="2072" t="str">
        <f>IF($B6="","",研发费用加计扣除优惠审核表!C6)</f>
        <v/>
      </c>
      <c r="D6" s="2072" t="str">
        <f>IF($B6="","",研发费用加计扣除优惠审核表!D6)</f>
        <v/>
      </c>
      <c r="E6" s="2072" t="str">
        <f>IF($B6="","",研发费用加计扣除优惠审核表!E6)</f>
        <v/>
      </c>
      <c r="F6" s="2072" t="str">
        <f>IF($B6="","",研发费用加计扣除优惠审核表!F6)</f>
        <v/>
      </c>
      <c r="G6" s="2072" t="str">
        <f>IF($B6="","",研发费用加计扣除优惠审核表!G6)</f>
        <v/>
      </c>
      <c r="H6" s="2072" t="str">
        <f>IF($B6="","",研发费用加计扣除优惠审核表!H6)</f>
        <v/>
      </c>
      <c r="I6" s="2072" t="str">
        <f>IF($B6="","",研发费用加计扣除优惠审核表!I6)</f>
        <v/>
      </c>
      <c r="J6" s="2072" t="str">
        <f>IF($B6="","",研发费用加计扣除优惠审核表!J6)</f>
        <v/>
      </c>
      <c r="K6" s="2072" t="str">
        <f>IF($B6="","",研发费用加计扣除优惠审核表!K6)</f>
        <v/>
      </c>
      <c r="L6" s="2072" t="str">
        <f>IF($B6="","",研发费用加计扣除优惠审核表!L6)</f>
        <v/>
      </c>
      <c r="M6" s="2072" t="str">
        <f>IF($B6="","",研发费用加计扣除优惠审核表!M6)</f>
        <v/>
      </c>
      <c r="N6" s="2072" t="str">
        <f>IF($B6="","",研发费用加计扣除优惠审核表!N6)</f>
        <v/>
      </c>
      <c r="O6" s="2072" t="str">
        <f>IF($B6="","",研发费用加计扣除优惠审核表!O6)</f>
        <v/>
      </c>
      <c r="P6" s="2072" t="str">
        <f>IF($B6="","",研发费用加计扣除优惠审核表!P6)</f>
        <v/>
      </c>
      <c r="Q6" s="2072" t="str">
        <f>IF($B6="","",研发费用加计扣除优惠审核表!Q6)</f>
        <v/>
      </c>
      <c r="R6" s="2072" t="str">
        <f>IF($B6="","",研发费用加计扣除优惠审核表!R6)</f>
        <v/>
      </c>
      <c r="S6" s="2072" t="str">
        <f>IF($B6="","",研发费用加计扣除优惠审核表!S6)</f>
        <v/>
      </c>
      <c r="T6" s="2072" t="str">
        <f>IF($B6="","",研发费用加计扣除优惠审核表!T6)</f>
        <v/>
      </c>
      <c r="U6" s="1829"/>
    </row>
    <row r="7" spans="1:24" s="1517" customFormat="1" ht="14.25" customHeight="1">
      <c r="A7" s="1835">
        <v>2</v>
      </c>
      <c r="B7" s="1875" t="str">
        <f>研发费用加计扣除优惠审核表!B7&amp;""</f>
        <v/>
      </c>
      <c r="C7" s="2072" t="str">
        <f>IF($B7="","",研发费用加计扣除优惠审核表!C7)</f>
        <v/>
      </c>
      <c r="D7" s="2072" t="str">
        <f>IF($B7="","",研发费用加计扣除优惠审核表!D7)</f>
        <v/>
      </c>
      <c r="E7" s="2072" t="str">
        <f>IF($B7="","",研发费用加计扣除优惠审核表!E7)</f>
        <v/>
      </c>
      <c r="F7" s="2072" t="str">
        <f>IF($B7="","",研发费用加计扣除优惠审核表!F7)</f>
        <v/>
      </c>
      <c r="G7" s="2072" t="str">
        <f>IF($B7="","",研发费用加计扣除优惠审核表!G7)</f>
        <v/>
      </c>
      <c r="H7" s="2072" t="str">
        <f>IF($B7="","",研发费用加计扣除优惠审核表!H7)</f>
        <v/>
      </c>
      <c r="I7" s="2072" t="str">
        <f>IF($B7="","",研发费用加计扣除优惠审核表!I7)</f>
        <v/>
      </c>
      <c r="J7" s="2072" t="str">
        <f>IF($B7="","",研发费用加计扣除优惠审核表!J7)</f>
        <v/>
      </c>
      <c r="K7" s="2072" t="str">
        <f>IF($B7="","",研发费用加计扣除优惠审核表!K7)</f>
        <v/>
      </c>
      <c r="L7" s="2072" t="str">
        <f>IF($B7="","",研发费用加计扣除优惠审核表!L7)</f>
        <v/>
      </c>
      <c r="M7" s="2072" t="str">
        <f>IF($B7="","",研发费用加计扣除优惠审核表!M7)</f>
        <v/>
      </c>
      <c r="N7" s="2072" t="str">
        <f>IF($B7="","",研发费用加计扣除优惠审核表!N7)</f>
        <v/>
      </c>
      <c r="O7" s="2072" t="str">
        <f>IF($B7="","",研发费用加计扣除优惠审核表!O7)</f>
        <v/>
      </c>
      <c r="P7" s="2072" t="str">
        <f>IF($B7="","",研发费用加计扣除优惠审核表!P7)</f>
        <v/>
      </c>
      <c r="Q7" s="2072" t="str">
        <f>IF($B7="","",研发费用加计扣除优惠审核表!Q7)</f>
        <v/>
      </c>
      <c r="R7" s="2072" t="str">
        <f>IF($B7="","",研发费用加计扣除优惠审核表!R7)</f>
        <v/>
      </c>
      <c r="S7" s="2072" t="str">
        <f>IF($B7="","",研发费用加计扣除优惠审核表!S7)</f>
        <v/>
      </c>
      <c r="T7" s="2072" t="str">
        <f>IF($B7="","",研发费用加计扣除优惠审核表!T7)</f>
        <v/>
      </c>
      <c r="U7" s="1829"/>
    </row>
    <row r="8" spans="1:24" s="1517" customFormat="1" ht="14.25" customHeight="1">
      <c r="A8" s="1835">
        <v>3</v>
      </c>
      <c r="B8" s="1875" t="str">
        <f>研发费用加计扣除优惠审核表!B8&amp;""</f>
        <v/>
      </c>
      <c r="C8" s="2072" t="str">
        <f>IF($B8="","",研发费用加计扣除优惠审核表!C8)</f>
        <v/>
      </c>
      <c r="D8" s="2072" t="str">
        <f>IF($B8="","",研发费用加计扣除优惠审核表!D8)</f>
        <v/>
      </c>
      <c r="E8" s="2072" t="str">
        <f>IF($B8="","",研发费用加计扣除优惠审核表!E8)</f>
        <v/>
      </c>
      <c r="F8" s="2072" t="str">
        <f>IF($B8="","",研发费用加计扣除优惠审核表!F8)</f>
        <v/>
      </c>
      <c r="G8" s="2072" t="str">
        <f>IF($B8="","",研发费用加计扣除优惠审核表!G8)</f>
        <v/>
      </c>
      <c r="H8" s="2072" t="str">
        <f>IF($B8="","",研发费用加计扣除优惠审核表!H8)</f>
        <v/>
      </c>
      <c r="I8" s="2072" t="str">
        <f>IF($B8="","",研发费用加计扣除优惠审核表!I8)</f>
        <v/>
      </c>
      <c r="J8" s="2072" t="str">
        <f>IF($B8="","",研发费用加计扣除优惠审核表!J8)</f>
        <v/>
      </c>
      <c r="K8" s="2072" t="str">
        <f>IF($B8="","",研发费用加计扣除优惠审核表!K8)</f>
        <v/>
      </c>
      <c r="L8" s="2072" t="str">
        <f>IF($B8="","",研发费用加计扣除优惠审核表!L8)</f>
        <v/>
      </c>
      <c r="M8" s="2072" t="str">
        <f>IF($B8="","",研发费用加计扣除优惠审核表!M8)</f>
        <v/>
      </c>
      <c r="N8" s="2072" t="str">
        <f>IF($B8="","",研发费用加计扣除优惠审核表!N8)</f>
        <v/>
      </c>
      <c r="O8" s="2072" t="str">
        <f>IF($B8="","",研发费用加计扣除优惠审核表!O8)</f>
        <v/>
      </c>
      <c r="P8" s="2072" t="str">
        <f>IF($B8="","",研发费用加计扣除优惠审核表!P8)</f>
        <v/>
      </c>
      <c r="Q8" s="2072" t="str">
        <f>IF($B8="","",研发费用加计扣除优惠审核表!Q8)</f>
        <v/>
      </c>
      <c r="R8" s="2072" t="str">
        <f>IF($B8="","",研发费用加计扣除优惠审核表!R8)</f>
        <v/>
      </c>
      <c r="S8" s="2072" t="str">
        <f>IF($B8="","",研发费用加计扣除优惠审核表!S8)</f>
        <v/>
      </c>
      <c r="T8" s="2072" t="str">
        <f>IF($B8="","",研发费用加计扣除优惠审核表!T8)</f>
        <v/>
      </c>
      <c r="U8" s="1829"/>
      <c r="V8" s="1770" t="s">
        <v>6463</v>
      </c>
    </row>
    <row r="9" spans="1:24" s="1517" customFormat="1" ht="14.25" customHeight="1">
      <c r="A9" s="1835">
        <v>4</v>
      </c>
      <c r="B9" s="1875" t="str">
        <f>研发费用加计扣除优惠审核表!B9&amp;""</f>
        <v/>
      </c>
      <c r="C9" s="2072" t="str">
        <f>IF($B9="","",研发费用加计扣除优惠审核表!C9)</f>
        <v/>
      </c>
      <c r="D9" s="2072" t="str">
        <f>IF($B9="","",研发费用加计扣除优惠审核表!D9)</f>
        <v/>
      </c>
      <c r="E9" s="2072" t="str">
        <f>IF($B9="","",研发费用加计扣除优惠审核表!E9)</f>
        <v/>
      </c>
      <c r="F9" s="2072" t="str">
        <f>IF($B9="","",研发费用加计扣除优惠审核表!F9)</f>
        <v/>
      </c>
      <c r="G9" s="2072" t="str">
        <f>IF($B9="","",研发费用加计扣除优惠审核表!G9)</f>
        <v/>
      </c>
      <c r="H9" s="2072" t="str">
        <f>IF($B9="","",研发费用加计扣除优惠审核表!H9)</f>
        <v/>
      </c>
      <c r="I9" s="2072" t="str">
        <f>IF($B9="","",研发费用加计扣除优惠审核表!I9)</f>
        <v/>
      </c>
      <c r="J9" s="2072" t="str">
        <f>IF($B9="","",研发费用加计扣除优惠审核表!J9)</f>
        <v/>
      </c>
      <c r="K9" s="2072" t="str">
        <f>IF($B9="","",研发费用加计扣除优惠审核表!K9)</f>
        <v/>
      </c>
      <c r="L9" s="2072" t="str">
        <f>IF($B9="","",研发费用加计扣除优惠审核表!L9)</f>
        <v/>
      </c>
      <c r="M9" s="2072" t="str">
        <f>IF($B9="","",研发费用加计扣除优惠审核表!M9)</f>
        <v/>
      </c>
      <c r="N9" s="2072" t="str">
        <f>IF($B9="","",研发费用加计扣除优惠审核表!N9)</f>
        <v/>
      </c>
      <c r="O9" s="2072" t="str">
        <f>IF($B9="","",研发费用加计扣除优惠审核表!O9)</f>
        <v/>
      </c>
      <c r="P9" s="2072" t="str">
        <f>IF($B9="","",研发费用加计扣除优惠审核表!P9)</f>
        <v/>
      </c>
      <c r="Q9" s="2072" t="str">
        <f>IF($B9="","",研发费用加计扣除优惠审核表!Q9)</f>
        <v/>
      </c>
      <c r="R9" s="2072" t="str">
        <f>IF($B9="","",研发费用加计扣除优惠审核表!R9)</f>
        <v/>
      </c>
      <c r="S9" s="2072" t="str">
        <f>IF($B9="","",研发费用加计扣除优惠审核表!S9)</f>
        <v/>
      </c>
      <c r="T9" s="2072" t="str">
        <f>IF($B9="","",研发费用加计扣除优惠审核表!T9)</f>
        <v/>
      </c>
      <c r="U9" s="1829"/>
    </row>
    <row r="10" spans="1:24" s="1517" customFormat="1" ht="14.25" customHeight="1">
      <c r="A10" s="1835">
        <v>5</v>
      </c>
      <c r="B10" s="1875" t="str">
        <f>研发费用加计扣除优惠审核表!B10&amp;""</f>
        <v/>
      </c>
      <c r="C10" s="2072" t="str">
        <f>IF($B10="","",研发费用加计扣除优惠审核表!C10)</f>
        <v/>
      </c>
      <c r="D10" s="2072" t="str">
        <f>IF($B10="","",研发费用加计扣除优惠审核表!D10)</f>
        <v/>
      </c>
      <c r="E10" s="2072" t="str">
        <f>IF($B10="","",研发费用加计扣除优惠审核表!E10)</f>
        <v/>
      </c>
      <c r="F10" s="2072" t="str">
        <f>IF($B10="","",研发费用加计扣除优惠审核表!F10)</f>
        <v/>
      </c>
      <c r="G10" s="2072" t="str">
        <f>IF($B10="","",研发费用加计扣除优惠审核表!G10)</f>
        <v/>
      </c>
      <c r="H10" s="2072" t="str">
        <f>IF($B10="","",研发费用加计扣除优惠审核表!H10)</f>
        <v/>
      </c>
      <c r="I10" s="2072" t="str">
        <f>IF($B10="","",研发费用加计扣除优惠审核表!I10)</f>
        <v/>
      </c>
      <c r="J10" s="2072" t="str">
        <f>IF($B10="","",研发费用加计扣除优惠审核表!J10)</f>
        <v/>
      </c>
      <c r="K10" s="2072" t="str">
        <f>IF($B10="","",研发费用加计扣除优惠审核表!K10)</f>
        <v/>
      </c>
      <c r="L10" s="2072" t="str">
        <f>IF($B10="","",研发费用加计扣除优惠审核表!L10)</f>
        <v/>
      </c>
      <c r="M10" s="2072" t="str">
        <f>IF($B10="","",研发费用加计扣除优惠审核表!M10)</f>
        <v/>
      </c>
      <c r="N10" s="2072" t="str">
        <f>IF($B10="","",研发费用加计扣除优惠审核表!N10)</f>
        <v/>
      </c>
      <c r="O10" s="2072" t="str">
        <f>IF($B10="","",研发费用加计扣除优惠审核表!O10)</f>
        <v/>
      </c>
      <c r="P10" s="2072" t="str">
        <f>IF($B10="","",研发费用加计扣除优惠审核表!P10)</f>
        <v/>
      </c>
      <c r="Q10" s="2072" t="str">
        <f>IF($B10="","",研发费用加计扣除优惠审核表!Q10)</f>
        <v/>
      </c>
      <c r="R10" s="2072" t="str">
        <f>IF($B10="","",研发费用加计扣除优惠审核表!R10)</f>
        <v/>
      </c>
      <c r="S10" s="2072" t="str">
        <f>IF($B10="","",研发费用加计扣除优惠审核表!S10)</f>
        <v/>
      </c>
      <c r="T10" s="2072" t="str">
        <f>IF($B10="","",研发费用加计扣除优惠审核表!T10)</f>
        <v/>
      </c>
      <c r="U10" s="1829"/>
    </row>
    <row r="11" spans="1:24" s="1517" customFormat="1" ht="14.25" customHeight="1">
      <c r="A11" s="1835">
        <v>6</v>
      </c>
      <c r="B11" s="1875" t="str">
        <f>研发费用加计扣除优惠审核表!B11&amp;""</f>
        <v/>
      </c>
      <c r="C11" s="2072" t="str">
        <f>IF($B11="","",研发费用加计扣除优惠审核表!C11)</f>
        <v/>
      </c>
      <c r="D11" s="2072" t="str">
        <f>IF($B11="","",研发费用加计扣除优惠审核表!D11)</f>
        <v/>
      </c>
      <c r="E11" s="2072" t="str">
        <f>IF($B11="","",研发费用加计扣除优惠审核表!E11)</f>
        <v/>
      </c>
      <c r="F11" s="2072" t="str">
        <f>IF($B11="","",研发费用加计扣除优惠审核表!F11)</f>
        <v/>
      </c>
      <c r="G11" s="2072" t="str">
        <f>IF($B11="","",研发费用加计扣除优惠审核表!G11)</f>
        <v/>
      </c>
      <c r="H11" s="2072" t="str">
        <f>IF($B11="","",研发费用加计扣除优惠审核表!H11)</f>
        <v/>
      </c>
      <c r="I11" s="2072" t="str">
        <f>IF($B11="","",研发费用加计扣除优惠审核表!I11)</f>
        <v/>
      </c>
      <c r="J11" s="2072" t="str">
        <f>IF($B11="","",研发费用加计扣除优惠审核表!J11)</f>
        <v/>
      </c>
      <c r="K11" s="2072" t="str">
        <f>IF($B11="","",研发费用加计扣除优惠审核表!K11)</f>
        <v/>
      </c>
      <c r="L11" s="2072" t="str">
        <f>IF($B11="","",研发费用加计扣除优惠审核表!L11)</f>
        <v/>
      </c>
      <c r="M11" s="2072" t="str">
        <f>IF($B11="","",研发费用加计扣除优惠审核表!M11)</f>
        <v/>
      </c>
      <c r="N11" s="2072" t="str">
        <f>IF($B11="","",研发费用加计扣除优惠审核表!N11)</f>
        <v/>
      </c>
      <c r="O11" s="2072" t="str">
        <f>IF($B11="","",研发费用加计扣除优惠审核表!O11)</f>
        <v/>
      </c>
      <c r="P11" s="2072" t="str">
        <f>IF($B11="","",研发费用加计扣除优惠审核表!P11)</f>
        <v/>
      </c>
      <c r="Q11" s="2072" t="str">
        <f>IF($B11="","",研发费用加计扣除优惠审核表!Q11)</f>
        <v/>
      </c>
      <c r="R11" s="2072" t="str">
        <f>IF($B11="","",研发费用加计扣除优惠审核表!R11)</f>
        <v/>
      </c>
      <c r="S11" s="2072" t="str">
        <f>IF($B11="","",研发费用加计扣除优惠审核表!S11)</f>
        <v/>
      </c>
      <c r="T11" s="2072" t="str">
        <f>IF($B11="","",研发费用加计扣除优惠审核表!T11)</f>
        <v/>
      </c>
      <c r="U11" s="1829"/>
    </row>
    <row r="12" spans="1:24">
      <c r="A12" s="1835">
        <v>7</v>
      </c>
      <c r="B12" s="1875" t="str">
        <f>研发费用加计扣除优惠审核表!B12&amp;""</f>
        <v/>
      </c>
      <c r="C12" s="2072" t="str">
        <f>IF($B12="","",研发费用加计扣除优惠审核表!C12)</f>
        <v/>
      </c>
      <c r="D12" s="2072" t="str">
        <f>IF($B12="","",研发费用加计扣除优惠审核表!D12)</f>
        <v/>
      </c>
      <c r="E12" s="2072" t="str">
        <f>IF($B12="","",研发费用加计扣除优惠审核表!E12)</f>
        <v/>
      </c>
      <c r="F12" s="2072" t="str">
        <f>IF($B12="","",研发费用加计扣除优惠审核表!F12)</f>
        <v/>
      </c>
      <c r="G12" s="2072" t="str">
        <f>IF($B12="","",研发费用加计扣除优惠审核表!G12)</f>
        <v/>
      </c>
      <c r="H12" s="2072" t="str">
        <f>IF($B12="","",研发费用加计扣除优惠审核表!H12)</f>
        <v/>
      </c>
      <c r="I12" s="2072" t="str">
        <f>IF($B12="","",研发费用加计扣除优惠审核表!I12)</f>
        <v/>
      </c>
      <c r="J12" s="2072" t="str">
        <f>IF($B12="","",研发费用加计扣除优惠审核表!J12)</f>
        <v/>
      </c>
      <c r="K12" s="2072" t="str">
        <f>IF($B12="","",研发费用加计扣除优惠审核表!K12)</f>
        <v/>
      </c>
      <c r="L12" s="2072" t="str">
        <f>IF($B12="","",研发费用加计扣除优惠审核表!L12)</f>
        <v/>
      </c>
      <c r="M12" s="2072" t="str">
        <f>IF($B12="","",研发费用加计扣除优惠审核表!M12)</f>
        <v/>
      </c>
      <c r="N12" s="2072" t="str">
        <f>IF($B12="","",研发费用加计扣除优惠审核表!N12)</f>
        <v/>
      </c>
      <c r="O12" s="2072" t="str">
        <f>IF($B12="","",研发费用加计扣除优惠审核表!O12)</f>
        <v/>
      </c>
      <c r="P12" s="2072" t="str">
        <f>IF($B12="","",研发费用加计扣除优惠审核表!P12)</f>
        <v/>
      </c>
      <c r="Q12" s="2072" t="str">
        <f>IF($B12="","",研发费用加计扣除优惠审核表!Q12)</f>
        <v/>
      </c>
      <c r="R12" s="2072" t="str">
        <f>IF($B12="","",研发费用加计扣除优惠审核表!R12)</f>
        <v/>
      </c>
      <c r="S12" s="2072" t="str">
        <f>IF($B12="","",研发费用加计扣除优惠审核表!S12)</f>
        <v/>
      </c>
      <c r="T12" s="2072" t="str">
        <f>IF($B12="","",研发费用加计扣除优惠审核表!T12)</f>
        <v/>
      </c>
      <c r="U12" s="1941"/>
    </row>
    <row r="13" spans="1:24">
      <c r="A13" s="1835">
        <v>8</v>
      </c>
      <c r="B13" s="1875" t="str">
        <f>研发费用加计扣除优惠审核表!B13&amp;""</f>
        <v/>
      </c>
      <c r="C13" s="2072" t="str">
        <f>IF($B13="","",研发费用加计扣除优惠审核表!C13)</f>
        <v/>
      </c>
      <c r="D13" s="2072" t="str">
        <f>IF($B13="","",研发费用加计扣除优惠审核表!D13)</f>
        <v/>
      </c>
      <c r="E13" s="2072" t="str">
        <f>IF($B13="","",研发费用加计扣除优惠审核表!E13)</f>
        <v/>
      </c>
      <c r="F13" s="2072" t="str">
        <f>IF($B13="","",研发费用加计扣除优惠审核表!F13)</f>
        <v/>
      </c>
      <c r="G13" s="2072" t="str">
        <f>IF($B13="","",研发费用加计扣除优惠审核表!G13)</f>
        <v/>
      </c>
      <c r="H13" s="2072" t="str">
        <f>IF($B13="","",研发费用加计扣除优惠审核表!H13)</f>
        <v/>
      </c>
      <c r="I13" s="2072" t="str">
        <f>IF($B13="","",研发费用加计扣除优惠审核表!I13)</f>
        <v/>
      </c>
      <c r="J13" s="2072" t="str">
        <f>IF($B13="","",研发费用加计扣除优惠审核表!J13)</f>
        <v/>
      </c>
      <c r="K13" s="2072" t="str">
        <f>IF($B13="","",研发费用加计扣除优惠审核表!K13)</f>
        <v/>
      </c>
      <c r="L13" s="2072" t="str">
        <f>IF($B13="","",研发费用加计扣除优惠审核表!L13)</f>
        <v/>
      </c>
      <c r="M13" s="2072" t="str">
        <f>IF($B13="","",研发费用加计扣除优惠审核表!M13)</f>
        <v/>
      </c>
      <c r="N13" s="2072" t="str">
        <f>IF($B13="","",研发费用加计扣除优惠审核表!N13)</f>
        <v/>
      </c>
      <c r="O13" s="2072" t="str">
        <f>IF($B13="","",研发费用加计扣除优惠审核表!O13)</f>
        <v/>
      </c>
      <c r="P13" s="2072" t="str">
        <f>IF($B13="","",研发费用加计扣除优惠审核表!P13)</f>
        <v/>
      </c>
      <c r="Q13" s="2072" t="str">
        <f>IF($B13="","",研发费用加计扣除优惠审核表!Q13)</f>
        <v/>
      </c>
      <c r="R13" s="2072" t="str">
        <f>IF($B13="","",研发费用加计扣除优惠审核表!R13)</f>
        <v/>
      </c>
      <c r="S13" s="2072" t="str">
        <f>IF($B13="","",研发费用加计扣除优惠审核表!S13)</f>
        <v/>
      </c>
      <c r="T13" s="2072" t="str">
        <f>IF($B13="","",研发费用加计扣除优惠审核表!T13)</f>
        <v/>
      </c>
      <c r="U13" s="1941"/>
    </row>
    <row r="14" spans="1:24">
      <c r="A14" s="1835">
        <v>9</v>
      </c>
      <c r="B14" s="1875" t="str">
        <f>研发费用加计扣除优惠审核表!B14&amp;""</f>
        <v/>
      </c>
      <c r="C14" s="2072" t="str">
        <f>IF($B14="","",研发费用加计扣除优惠审核表!C14)</f>
        <v/>
      </c>
      <c r="D14" s="2072" t="str">
        <f>IF($B14="","",研发费用加计扣除优惠审核表!D14)</f>
        <v/>
      </c>
      <c r="E14" s="2072" t="str">
        <f>IF($B14="","",研发费用加计扣除优惠审核表!E14)</f>
        <v/>
      </c>
      <c r="F14" s="2072" t="str">
        <f>IF($B14="","",研发费用加计扣除优惠审核表!F14)</f>
        <v/>
      </c>
      <c r="G14" s="2072" t="str">
        <f>IF($B14="","",研发费用加计扣除优惠审核表!G14)</f>
        <v/>
      </c>
      <c r="H14" s="2072" t="str">
        <f>IF($B14="","",研发费用加计扣除优惠审核表!H14)</f>
        <v/>
      </c>
      <c r="I14" s="2072" t="str">
        <f>IF($B14="","",研发费用加计扣除优惠审核表!I14)</f>
        <v/>
      </c>
      <c r="J14" s="2072" t="str">
        <f>IF($B14="","",研发费用加计扣除优惠审核表!J14)</f>
        <v/>
      </c>
      <c r="K14" s="2072" t="str">
        <f>IF($B14="","",研发费用加计扣除优惠审核表!K14)</f>
        <v/>
      </c>
      <c r="L14" s="2072" t="str">
        <f>IF($B14="","",研发费用加计扣除优惠审核表!L14)</f>
        <v/>
      </c>
      <c r="M14" s="2072" t="str">
        <f>IF($B14="","",研发费用加计扣除优惠审核表!M14)</f>
        <v/>
      </c>
      <c r="N14" s="2072" t="str">
        <f>IF($B14="","",研发费用加计扣除优惠审核表!N14)</f>
        <v/>
      </c>
      <c r="O14" s="2072" t="str">
        <f>IF($B14="","",研发费用加计扣除优惠审核表!O14)</f>
        <v/>
      </c>
      <c r="P14" s="2072" t="str">
        <f>IF($B14="","",研发费用加计扣除优惠审核表!P14)</f>
        <v/>
      </c>
      <c r="Q14" s="2072" t="str">
        <f>IF($B14="","",研发费用加计扣除优惠审核表!Q14)</f>
        <v/>
      </c>
      <c r="R14" s="2072" t="str">
        <f>IF($B14="","",研发费用加计扣除优惠审核表!R14)</f>
        <v/>
      </c>
      <c r="S14" s="2072" t="str">
        <f>IF($B14="","",研发费用加计扣除优惠审核表!S14)</f>
        <v/>
      </c>
      <c r="T14" s="2072" t="str">
        <f>IF($B14="","",研发费用加计扣除优惠审核表!T14)</f>
        <v/>
      </c>
      <c r="U14" s="1941"/>
    </row>
    <row r="15" spans="1:24" ht="58.5" customHeight="1">
      <c r="A15" s="1874" t="s">
        <v>5541</v>
      </c>
      <c r="B15" s="1846" t="s">
        <v>2429</v>
      </c>
      <c r="C15" s="2072">
        <f>研发费用加计扣除优惠审核表!C15</f>
        <v>0</v>
      </c>
      <c r="D15" s="2072">
        <f>研发费用加计扣除优惠审核表!D15</f>
        <v>0</v>
      </c>
      <c r="E15" s="2072">
        <f>研发费用加计扣除优惠审核表!E15</f>
        <v>0</v>
      </c>
      <c r="F15" s="2072">
        <f>研发费用加计扣除优惠审核表!F15</f>
        <v>0</v>
      </c>
      <c r="G15" s="2072">
        <f>研发费用加计扣除优惠审核表!G15</f>
        <v>0</v>
      </c>
      <c r="H15" s="2072">
        <f>研发费用加计扣除优惠审核表!H15</f>
        <v>0</v>
      </c>
      <c r="I15" s="2072">
        <f>研发费用加计扣除优惠审核表!I15</f>
        <v>0</v>
      </c>
      <c r="J15" s="2072">
        <f>研发费用加计扣除优惠审核表!J15</f>
        <v>0</v>
      </c>
      <c r="K15" s="2072">
        <f>研发费用加计扣除优惠审核表!K15</f>
        <v>0</v>
      </c>
      <c r="L15" s="2072">
        <f>研发费用加计扣除优惠审核表!L15</f>
        <v>0</v>
      </c>
      <c r="M15" s="2072">
        <f>研发费用加计扣除优惠审核表!M15</f>
        <v>0</v>
      </c>
      <c r="N15" s="2072">
        <f>研发费用加计扣除优惠审核表!N15</f>
        <v>0</v>
      </c>
      <c r="O15" s="2072">
        <f>研发费用加计扣除优惠审核表!O15</f>
        <v>0</v>
      </c>
      <c r="P15" s="2072">
        <f>研发费用加计扣除优惠审核表!P15</f>
        <v>0</v>
      </c>
      <c r="Q15" s="2072">
        <f>研发费用加计扣除优惠审核表!Q15</f>
        <v>0</v>
      </c>
      <c r="R15" s="2072">
        <f>研发费用加计扣除优惠审核表!R15</f>
        <v>0</v>
      </c>
      <c r="S15" s="2072">
        <f>研发费用加计扣除优惠审核表!S15</f>
        <v>0</v>
      </c>
      <c r="T15" s="2072">
        <f>研发费用加计扣除优惠审核表!T15</f>
        <v>0</v>
      </c>
      <c r="U15" s="1978" t="s">
        <v>5608</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984375" defaultRowHeight="24" customHeight="1"/>
  <cols>
    <col min="1" max="1" width="5.19921875" style="1605" customWidth="1"/>
    <col min="2" max="2" width="41.59765625" style="1606" customWidth="1"/>
    <col min="3" max="8" width="12.19921875" style="1607" customWidth="1"/>
    <col min="9" max="9" width="12.19921875" style="1605" customWidth="1"/>
    <col min="10" max="10" width="8"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3400" t="s">
        <v>5609</v>
      </c>
      <c r="B1" s="3400"/>
      <c r="C1" s="3400"/>
      <c r="D1" s="3400"/>
      <c r="E1" s="3400"/>
      <c r="F1" s="3400"/>
      <c r="G1" s="3400"/>
      <c r="H1" s="3400"/>
      <c r="I1" s="3400"/>
      <c r="J1" s="2021"/>
    </row>
    <row r="2" spans="1:12" s="1589" customFormat="1" ht="25.5" customHeight="1">
      <c r="A2" s="3401" t="s">
        <v>5610</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3"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2">
        <f>所得减免优惠审核表!C5</f>
        <v>0</v>
      </c>
      <c r="D5" s="2072">
        <f>所得减免优惠审核表!D5</f>
        <v>0</v>
      </c>
      <c r="E5" s="2072">
        <f>所得减免优惠审核表!E5</f>
        <v>0</v>
      </c>
      <c r="F5" s="2072">
        <f>所得减免优惠审核表!F5</f>
        <v>0</v>
      </c>
      <c r="G5" s="2072">
        <f>所得减免优惠审核表!G5</f>
        <v>0</v>
      </c>
      <c r="H5" s="2072">
        <f>所得减免优惠审核表!H5</f>
        <v>0</v>
      </c>
      <c r="I5" s="2072">
        <f>所得减免优惠审核表!I5</f>
        <v>0</v>
      </c>
      <c r="J5" s="1836"/>
    </row>
    <row r="6" spans="1:12" s="1603" customFormat="1" ht="12.75" customHeight="1">
      <c r="A6" s="1835">
        <v>2</v>
      </c>
      <c r="B6" s="1839" t="s">
        <v>5619</v>
      </c>
      <c r="C6" s="2072">
        <f>所得减免优惠审核表!C6</f>
        <v>0</v>
      </c>
      <c r="D6" s="2072">
        <f>所得减免优惠审核表!D6</f>
        <v>0</v>
      </c>
      <c r="E6" s="2072">
        <f>所得减免优惠审核表!E6</f>
        <v>0</v>
      </c>
      <c r="F6" s="2072">
        <f>所得减免优惠审核表!F6</f>
        <v>0</v>
      </c>
      <c r="G6" s="2072">
        <f>所得减免优惠审核表!G6</f>
        <v>0</v>
      </c>
      <c r="H6" s="2072">
        <f>所得减免优惠审核表!H6</f>
        <v>0</v>
      </c>
      <c r="I6" s="2072">
        <f>所得减免优惠审核表!I6</f>
        <v>0</v>
      </c>
      <c r="J6" s="1836"/>
    </row>
    <row r="7" spans="1:12" s="1603" customFormat="1" ht="25.5" customHeight="1">
      <c r="A7" s="1837">
        <v>3</v>
      </c>
      <c r="B7" s="1838" t="s">
        <v>5620</v>
      </c>
      <c r="C7" s="2072">
        <f>所得减免优惠审核表!C7</f>
        <v>0</v>
      </c>
      <c r="D7" s="2072">
        <f>所得减免优惠审核表!D7</f>
        <v>0</v>
      </c>
      <c r="E7" s="2072">
        <f>所得减免优惠审核表!E7</f>
        <v>0</v>
      </c>
      <c r="F7" s="2072">
        <f>所得减免优惠审核表!F7</f>
        <v>0</v>
      </c>
      <c r="G7" s="2072">
        <f>所得减免优惠审核表!G7</f>
        <v>0</v>
      </c>
      <c r="H7" s="2072">
        <f>所得减免优惠审核表!H7</f>
        <v>0</v>
      </c>
      <c r="I7" s="2072">
        <f>所得减免优惠审核表!I7</f>
        <v>0</v>
      </c>
      <c r="J7" s="1981"/>
    </row>
    <row r="8" spans="1:12" s="1603" customFormat="1" ht="12.75" customHeight="1">
      <c r="A8" s="1835">
        <v>4</v>
      </c>
      <c r="B8" s="1839" t="s">
        <v>5621</v>
      </c>
      <c r="C8" s="2072">
        <f>所得减免优惠审核表!C8</f>
        <v>0</v>
      </c>
      <c r="D8" s="2072">
        <f>所得减免优惠审核表!D8</f>
        <v>0</v>
      </c>
      <c r="E8" s="2072">
        <f>所得减免优惠审核表!E8</f>
        <v>0</v>
      </c>
      <c r="F8" s="2072">
        <f>所得减免优惠审核表!F8</f>
        <v>0</v>
      </c>
      <c r="G8" s="2072">
        <f>所得减免优惠审核表!G8</f>
        <v>0</v>
      </c>
      <c r="H8" s="2072">
        <f>所得减免优惠审核表!H8</f>
        <v>0</v>
      </c>
      <c r="I8" s="2072">
        <f>所得减免优惠审核表!I8</f>
        <v>0</v>
      </c>
      <c r="J8" s="1836"/>
    </row>
    <row r="9" spans="1:12" s="1603" customFormat="1" ht="12.75" customHeight="1">
      <c r="A9" s="1835">
        <v>5</v>
      </c>
      <c r="B9" s="1839" t="s">
        <v>5622</v>
      </c>
      <c r="C9" s="2072">
        <f>所得减免优惠审核表!C9</f>
        <v>0</v>
      </c>
      <c r="D9" s="2072">
        <f>所得减免优惠审核表!D9</f>
        <v>0</v>
      </c>
      <c r="E9" s="2072">
        <f>所得减免优惠审核表!E9</f>
        <v>0</v>
      </c>
      <c r="F9" s="2072">
        <f>所得减免优惠审核表!F9</f>
        <v>0</v>
      </c>
      <c r="G9" s="2072">
        <f>所得减免优惠审核表!G9</f>
        <v>0</v>
      </c>
      <c r="H9" s="2072">
        <f>所得减免优惠审核表!H9</f>
        <v>0</v>
      </c>
      <c r="I9" s="2072">
        <f>所得减免优惠审核表!I9</f>
        <v>0</v>
      </c>
      <c r="J9" s="1836"/>
    </row>
    <row r="10" spans="1:12" s="1603" customFormat="1" ht="12.75" customHeight="1">
      <c r="A10" s="1835">
        <v>6</v>
      </c>
      <c r="B10" s="1839" t="s">
        <v>5623</v>
      </c>
      <c r="C10" s="2072">
        <f>所得减免优惠审核表!C10</f>
        <v>0</v>
      </c>
      <c r="D10" s="2072">
        <f>所得减免优惠审核表!D10</f>
        <v>0</v>
      </c>
      <c r="E10" s="2072">
        <f>所得减免优惠审核表!E10</f>
        <v>0</v>
      </c>
      <c r="F10" s="2072">
        <f>所得减免优惠审核表!F10</f>
        <v>0</v>
      </c>
      <c r="G10" s="2072">
        <f>所得减免优惠审核表!G10</f>
        <v>0</v>
      </c>
      <c r="H10" s="2072">
        <f>所得减免优惠审核表!H10</f>
        <v>0</v>
      </c>
      <c r="I10" s="2072">
        <f>所得减免优惠审核表!I10</f>
        <v>0</v>
      </c>
      <c r="J10" s="1836"/>
    </row>
    <row r="11" spans="1:12" s="1603" customFormat="1" ht="12.75" customHeight="1">
      <c r="A11" s="1835">
        <v>7</v>
      </c>
      <c r="B11" s="1839" t="s">
        <v>5624</v>
      </c>
      <c r="C11" s="2072">
        <f>所得减免优惠审核表!C11</f>
        <v>0</v>
      </c>
      <c r="D11" s="2072">
        <f>所得减免优惠审核表!D11</f>
        <v>0</v>
      </c>
      <c r="E11" s="2072">
        <f>所得减免优惠审核表!E11</f>
        <v>0</v>
      </c>
      <c r="F11" s="2072">
        <f>所得减免优惠审核表!F11</f>
        <v>0</v>
      </c>
      <c r="G11" s="2072">
        <f>所得减免优惠审核表!G11</f>
        <v>0</v>
      </c>
      <c r="H11" s="2072">
        <f>所得减免优惠审核表!H11</f>
        <v>0</v>
      </c>
      <c r="I11" s="2072">
        <f>所得减免优惠审核表!I11</f>
        <v>0</v>
      </c>
      <c r="J11" s="1836"/>
      <c r="K11" s="1770" t="s">
        <v>6465</v>
      </c>
    </row>
    <row r="12" spans="1:12" s="1603" customFormat="1" ht="12.75" customHeight="1">
      <c r="A12" s="1835">
        <v>8</v>
      </c>
      <c r="B12" s="1839" t="s">
        <v>5625</v>
      </c>
      <c r="C12" s="2072">
        <f>所得减免优惠审核表!C12</f>
        <v>0</v>
      </c>
      <c r="D12" s="2072">
        <f>所得减免优惠审核表!D12</f>
        <v>0</v>
      </c>
      <c r="E12" s="2072">
        <f>所得减免优惠审核表!E12</f>
        <v>0</v>
      </c>
      <c r="F12" s="2072">
        <f>所得减免优惠审核表!F12</f>
        <v>0</v>
      </c>
      <c r="G12" s="2072">
        <f>所得减免优惠审核表!G12</f>
        <v>0</v>
      </c>
      <c r="H12" s="2072">
        <f>所得减免优惠审核表!H12</f>
        <v>0</v>
      </c>
      <c r="I12" s="2072">
        <f>所得减免优惠审核表!I12</f>
        <v>0</v>
      </c>
      <c r="J12" s="1836"/>
    </row>
    <row r="13" spans="1:12" s="1603" customFormat="1" ht="28.5" customHeight="1">
      <c r="A13" s="1837">
        <v>9</v>
      </c>
      <c r="B13" s="1838" t="s">
        <v>5626</v>
      </c>
      <c r="C13" s="2072">
        <f>所得减免优惠审核表!C13</f>
        <v>0</v>
      </c>
      <c r="D13" s="2072">
        <f>所得减免优惠审核表!D13</f>
        <v>0</v>
      </c>
      <c r="E13" s="2072">
        <f>所得减免优惠审核表!E13</f>
        <v>0</v>
      </c>
      <c r="F13" s="2072">
        <f>所得减免优惠审核表!F13</f>
        <v>0</v>
      </c>
      <c r="G13" s="2072">
        <f>所得减免优惠审核表!G13</f>
        <v>0</v>
      </c>
      <c r="H13" s="2072">
        <f>所得减免优惠审核表!H13</f>
        <v>0</v>
      </c>
      <c r="I13" s="2072">
        <f>所得减免优惠审核表!I13</f>
        <v>0</v>
      </c>
      <c r="J13" s="1981"/>
    </row>
    <row r="14" spans="1:12" s="1603" customFormat="1" ht="12.75" customHeight="1">
      <c r="A14" s="1835">
        <v>10</v>
      </c>
      <c r="B14" s="1839" t="s">
        <v>5627</v>
      </c>
      <c r="C14" s="2072">
        <f>所得减免优惠审核表!C14</f>
        <v>0</v>
      </c>
      <c r="D14" s="2072">
        <f>所得减免优惠审核表!D14</f>
        <v>0</v>
      </c>
      <c r="E14" s="2072">
        <f>所得减免优惠审核表!E14</f>
        <v>0</v>
      </c>
      <c r="F14" s="2072">
        <f>所得减免优惠审核表!F14</f>
        <v>0</v>
      </c>
      <c r="G14" s="2072">
        <f>所得减免优惠审核表!G14</f>
        <v>0</v>
      </c>
      <c r="H14" s="2072">
        <f>所得减免优惠审核表!H14</f>
        <v>0</v>
      </c>
      <c r="I14" s="2072">
        <f>所得减免优惠审核表!I14</f>
        <v>0</v>
      </c>
      <c r="J14" s="1836"/>
    </row>
    <row r="15" spans="1:12" s="1603" customFormat="1" ht="12.75" customHeight="1">
      <c r="A15" s="1835">
        <v>11</v>
      </c>
      <c r="B15" s="1839" t="s">
        <v>5628</v>
      </c>
      <c r="C15" s="2072">
        <f>所得减免优惠审核表!C15</f>
        <v>0</v>
      </c>
      <c r="D15" s="2072">
        <f>所得减免优惠审核表!D15</f>
        <v>0</v>
      </c>
      <c r="E15" s="2072">
        <f>所得减免优惠审核表!E15</f>
        <v>0</v>
      </c>
      <c r="F15" s="2072">
        <f>所得减免优惠审核表!F15</f>
        <v>0</v>
      </c>
      <c r="G15" s="2072">
        <f>所得减免优惠审核表!G15</f>
        <v>0</v>
      </c>
      <c r="H15" s="2072">
        <f>所得减免优惠审核表!H15</f>
        <v>0</v>
      </c>
      <c r="I15" s="2072">
        <f>所得减免优惠审核表!I15</f>
        <v>0</v>
      </c>
      <c r="J15" s="1836"/>
    </row>
    <row r="16" spans="1:12" s="1603" customFormat="1" ht="12.75" customHeight="1">
      <c r="A16" s="1835">
        <v>12</v>
      </c>
      <c r="B16" s="1839" t="s">
        <v>5503</v>
      </c>
      <c r="C16" s="2072">
        <f>所得减免优惠审核表!C16</f>
        <v>0</v>
      </c>
      <c r="D16" s="2072">
        <f>所得减免优惠审核表!D16</f>
        <v>0</v>
      </c>
      <c r="E16" s="2072">
        <f>所得减免优惠审核表!E16</f>
        <v>0</v>
      </c>
      <c r="F16" s="2072">
        <f>所得减免优惠审核表!F16</f>
        <v>0</v>
      </c>
      <c r="G16" s="2072">
        <f>所得减免优惠审核表!G16</f>
        <v>0</v>
      </c>
      <c r="H16" s="2072">
        <f>所得减免优惠审核表!H16</f>
        <v>0</v>
      </c>
      <c r="I16" s="2072">
        <f>所得减免优惠审核表!I16</f>
        <v>0</v>
      </c>
      <c r="J16" s="1836"/>
    </row>
    <row r="17" spans="1:10" s="1603" customFormat="1" ht="12.75" customHeight="1">
      <c r="A17" s="1835">
        <v>13</v>
      </c>
      <c r="B17" s="1839" t="s">
        <v>5629</v>
      </c>
      <c r="C17" s="2072">
        <f>所得减免优惠审核表!C17</f>
        <v>0</v>
      </c>
      <c r="D17" s="2072">
        <f>所得减免优惠审核表!D17</f>
        <v>0</v>
      </c>
      <c r="E17" s="2072">
        <f>所得减免优惠审核表!E17</f>
        <v>0</v>
      </c>
      <c r="F17" s="2072">
        <f>所得减免优惠审核表!F17</f>
        <v>0</v>
      </c>
      <c r="G17" s="2072">
        <f>所得减免优惠审核表!G17</f>
        <v>0</v>
      </c>
      <c r="H17" s="2072">
        <f>所得减免优惠审核表!H17</f>
        <v>0</v>
      </c>
      <c r="I17" s="2072">
        <f>所得减免优惠审核表!I17</f>
        <v>0</v>
      </c>
      <c r="J17" s="1836"/>
    </row>
    <row r="18" spans="1:10" s="1603" customFormat="1" ht="12.75" customHeight="1">
      <c r="A18" s="1835">
        <v>14</v>
      </c>
      <c r="B18" s="1839" t="s">
        <v>5630</v>
      </c>
      <c r="C18" s="2072">
        <f>所得减免优惠审核表!C18</f>
        <v>0</v>
      </c>
      <c r="D18" s="2072">
        <f>所得减免优惠审核表!D18</f>
        <v>0</v>
      </c>
      <c r="E18" s="2072">
        <f>所得减免优惠审核表!E18</f>
        <v>0</v>
      </c>
      <c r="F18" s="2072">
        <f>所得减免优惠审核表!F18</f>
        <v>0</v>
      </c>
      <c r="G18" s="2072">
        <f>所得减免优惠审核表!G18</f>
        <v>0</v>
      </c>
      <c r="H18" s="2072">
        <f>所得减免优惠审核表!H18</f>
        <v>0</v>
      </c>
      <c r="I18" s="2072">
        <f>所得减免优惠审核表!I18</f>
        <v>0</v>
      </c>
      <c r="J18" s="1836"/>
    </row>
    <row r="19" spans="1:10" s="1603" customFormat="1" ht="12.75" customHeight="1">
      <c r="A19" s="1835">
        <v>15</v>
      </c>
      <c r="B19" s="1839" t="s">
        <v>5631</v>
      </c>
      <c r="C19" s="2072">
        <f>所得减免优惠审核表!C19</f>
        <v>0</v>
      </c>
      <c r="D19" s="2072">
        <f>所得减免优惠审核表!D19</f>
        <v>0</v>
      </c>
      <c r="E19" s="2072">
        <f>所得减免优惠审核表!E19</f>
        <v>0</v>
      </c>
      <c r="F19" s="2072">
        <f>所得减免优惠审核表!F19</f>
        <v>0</v>
      </c>
      <c r="G19" s="2072">
        <f>所得减免优惠审核表!G19</f>
        <v>0</v>
      </c>
      <c r="H19" s="2072">
        <f>所得减免优惠审核表!H19</f>
        <v>0</v>
      </c>
      <c r="I19" s="2072">
        <f>所得减免优惠审核表!I19</f>
        <v>0</v>
      </c>
      <c r="J19" s="1836"/>
    </row>
    <row r="20" spans="1:10" s="1603" customFormat="1" ht="12.75" customHeight="1">
      <c r="A20" s="1835">
        <v>16</v>
      </c>
      <c r="B20" s="1839" t="s">
        <v>5511</v>
      </c>
      <c r="C20" s="2072">
        <f>所得减免优惠审核表!C20</f>
        <v>0</v>
      </c>
      <c r="D20" s="2072">
        <f>所得减免优惠审核表!D20</f>
        <v>0</v>
      </c>
      <c r="E20" s="2072">
        <f>所得减免优惠审核表!E20</f>
        <v>0</v>
      </c>
      <c r="F20" s="2072">
        <f>所得减免优惠审核表!F20</f>
        <v>0</v>
      </c>
      <c r="G20" s="2072">
        <f>所得减免优惠审核表!G20</f>
        <v>0</v>
      </c>
      <c r="H20" s="2072">
        <f>所得减免优惠审核表!H20</f>
        <v>0</v>
      </c>
      <c r="I20" s="2072">
        <f>所得减免优惠审核表!I20</f>
        <v>0</v>
      </c>
      <c r="J20" s="1836"/>
    </row>
    <row r="21" spans="1:10" s="1603" customFormat="1" ht="26.25" customHeight="1">
      <c r="A21" s="1837">
        <v>17</v>
      </c>
      <c r="B21" s="1838" t="s">
        <v>5632</v>
      </c>
      <c r="C21" s="2072">
        <f>所得减免优惠审核表!C21</f>
        <v>0</v>
      </c>
      <c r="D21" s="2072">
        <f>所得减免优惠审核表!D21</f>
        <v>0</v>
      </c>
      <c r="E21" s="2072">
        <f>所得减免优惠审核表!E21</f>
        <v>0</v>
      </c>
      <c r="F21" s="2072">
        <f>所得减免优惠审核表!F21</f>
        <v>0</v>
      </c>
      <c r="G21" s="2072">
        <f>所得减免优惠审核表!G21</f>
        <v>0</v>
      </c>
      <c r="H21" s="2072">
        <f>所得减免优惠审核表!H21</f>
        <v>0</v>
      </c>
      <c r="I21" s="2072">
        <f>所得减免优惠审核表!I21</f>
        <v>0</v>
      </c>
      <c r="J21" s="1981"/>
    </row>
    <row r="22" spans="1:10" s="1603" customFormat="1" ht="12.75" customHeight="1">
      <c r="A22" s="1835">
        <v>18</v>
      </c>
      <c r="B22" s="1839" t="s">
        <v>5633</v>
      </c>
      <c r="C22" s="2072">
        <f>所得减免优惠审核表!C22</f>
        <v>0</v>
      </c>
      <c r="D22" s="2072">
        <f>所得减免优惠审核表!D22</f>
        <v>0</v>
      </c>
      <c r="E22" s="2072">
        <f>所得减免优惠审核表!E22</f>
        <v>0</v>
      </c>
      <c r="F22" s="2072">
        <f>所得减免优惠审核表!F22</f>
        <v>0</v>
      </c>
      <c r="G22" s="2072">
        <f>所得减免优惠审核表!G22</f>
        <v>0</v>
      </c>
      <c r="H22" s="2072">
        <f>所得减免优惠审核表!H22</f>
        <v>0</v>
      </c>
      <c r="I22" s="2072">
        <f>所得减免优惠审核表!I22</f>
        <v>0</v>
      </c>
      <c r="J22" s="1836"/>
    </row>
    <row r="23" spans="1:10" s="1603" customFormat="1" ht="12.75" customHeight="1">
      <c r="A23" s="1835">
        <v>19</v>
      </c>
      <c r="B23" s="1839" t="s">
        <v>5634</v>
      </c>
      <c r="C23" s="2072">
        <f>所得减免优惠审核表!C23</f>
        <v>0</v>
      </c>
      <c r="D23" s="2072">
        <f>所得减免优惠审核表!D23</f>
        <v>0</v>
      </c>
      <c r="E23" s="2072">
        <f>所得减免优惠审核表!E23</f>
        <v>0</v>
      </c>
      <c r="F23" s="2072">
        <f>所得减免优惠审核表!F23</f>
        <v>0</v>
      </c>
      <c r="G23" s="2072">
        <f>所得减免优惠审核表!G23</f>
        <v>0</v>
      </c>
      <c r="H23" s="2072">
        <f>所得减免优惠审核表!H23</f>
        <v>0</v>
      </c>
      <c r="I23" s="2072">
        <f>所得减免优惠审核表!I23</f>
        <v>0</v>
      </c>
      <c r="J23" s="1836"/>
    </row>
    <row r="24" spans="1:10" s="1603" customFormat="1" ht="12.75" customHeight="1">
      <c r="A24" s="1835">
        <v>20</v>
      </c>
      <c r="B24" s="1839" t="s">
        <v>5635</v>
      </c>
      <c r="C24" s="2072">
        <f>所得减免优惠审核表!C24</f>
        <v>0</v>
      </c>
      <c r="D24" s="2072">
        <f>所得减免优惠审核表!D24</f>
        <v>0</v>
      </c>
      <c r="E24" s="2072">
        <f>所得减免优惠审核表!E24</f>
        <v>0</v>
      </c>
      <c r="F24" s="2072">
        <f>所得减免优惠审核表!F24</f>
        <v>0</v>
      </c>
      <c r="G24" s="2072">
        <f>所得减免优惠审核表!G24</f>
        <v>0</v>
      </c>
      <c r="H24" s="2072">
        <f>所得减免优惠审核表!H24</f>
        <v>0</v>
      </c>
      <c r="I24" s="2072">
        <f>所得减免优惠审核表!I24</f>
        <v>0</v>
      </c>
      <c r="J24" s="1836"/>
    </row>
    <row r="25" spans="1:10" s="1603" customFormat="1" ht="12.75" customHeight="1">
      <c r="A25" s="1835">
        <v>21</v>
      </c>
      <c r="B25" s="1839" t="s">
        <v>5636</v>
      </c>
      <c r="C25" s="2072">
        <f>所得减免优惠审核表!C25</f>
        <v>0</v>
      </c>
      <c r="D25" s="2072">
        <f>所得减免优惠审核表!D25</f>
        <v>0</v>
      </c>
      <c r="E25" s="2072">
        <f>所得减免优惠审核表!E25</f>
        <v>0</v>
      </c>
      <c r="F25" s="2072">
        <f>所得减免优惠审核表!F25</f>
        <v>0</v>
      </c>
      <c r="G25" s="2072">
        <f>所得减免优惠审核表!G25</f>
        <v>0</v>
      </c>
      <c r="H25" s="2072">
        <f>所得减免优惠审核表!H25</f>
        <v>0</v>
      </c>
      <c r="I25" s="2072">
        <f>所得减免优惠审核表!I25</f>
        <v>0</v>
      </c>
      <c r="J25" s="1836"/>
    </row>
    <row r="26" spans="1:10" s="1603" customFormat="1" ht="12.75" customHeight="1">
      <c r="A26" s="1835">
        <v>22</v>
      </c>
      <c r="B26" s="1839" t="s">
        <v>5637</v>
      </c>
      <c r="C26" s="2072">
        <f>所得减免优惠审核表!C26</f>
        <v>0</v>
      </c>
      <c r="D26" s="2072">
        <f>所得减免优惠审核表!D26</f>
        <v>0</v>
      </c>
      <c r="E26" s="2072">
        <f>所得减免优惠审核表!E26</f>
        <v>0</v>
      </c>
      <c r="F26" s="2072">
        <f>所得减免优惠审核表!F26</f>
        <v>0</v>
      </c>
      <c r="G26" s="2072">
        <f>所得减免优惠审核表!G26</f>
        <v>0</v>
      </c>
      <c r="H26" s="2072">
        <f>所得减免优惠审核表!H26</f>
        <v>0</v>
      </c>
      <c r="I26" s="2072">
        <f>所得减免优惠审核表!I26</f>
        <v>0</v>
      </c>
      <c r="J26" s="1836"/>
    </row>
    <row r="27" spans="1:10" s="1603" customFormat="1" ht="12.75" customHeight="1">
      <c r="A27" s="1835">
        <v>23</v>
      </c>
      <c r="B27" s="1839" t="s">
        <v>5638</v>
      </c>
      <c r="C27" s="2072">
        <f>所得减免优惠审核表!C27</f>
        <v>0</v>
      </c>
      <c r="D27" s="2072">
        <f>所得减免优惠审核表!D27</f>
        <v>0</v>
      </c>
      <c r="E27" s="2072">
        <f>所得减免优惠审核表!E27</f>
        <v>0</v>
      </c>
      <c r="F27" s="2072">
        <f>所得减免优惠审核表!F27</f>
        <v>0</v>
      </c>
      <c r="G27" s="2072">
        <f>所得减免优惠审核表!G27</f>
        <v>0</v>
      </c>
      <c r="H27" s="2072">
        <f>所得减免优惠审核表!H27</f>
        <v>0</v>
      </c>
      <c r="I27" s="2072">
        <f>所得减免优惠审核表!I27</f>
        <v>0</v>
      </c>
      <c r="J27" s="1836"/>
    </row>
    <row r="28" spans="1:10" s="1603" customFormat="1" ht="12.75" customHeight="1">
      <c r="A28" s="1835">
        <v>24</v>
      </c>
      <c r="B28" s="1839" t="s">
        <v>5639</v>
      </c>
      <c r="C28" s="2072">
        <f>所得减免优惠审核表!C28</f>
        <v>0</v>
      </c>
      <c r="D28" s="2072">
        <f>所得减免优惠审核表!D28</f>
        <v>0</v>
      </c>
      <c r="E28" s="2072">
        <f>所得减免优惠审核表!E28</f>
        <v>0</v>
      </c>
      <c r="F28" s="2072">
        <f>所得减免优惠审核表!F28</f>
        <v>0</v>
      </c>
      <c r="G28" s="2072">
        <f>所得减免优惠审核表!G28</f>
        <v>0</v>
      </c>
      <c r="H28" s="2072">
        <f>所得减免优惠审核表!H28</f>
        <v>0</v>
      </c>
      <c r="I28" s="2072">
        <f>所得减免优惠审核表!I28</f>
        <v>0</v>
      </c>
      <c r="J28" s="1836"/>
    </row>
    <row r="29" spans="1:10" s="1603" customFormat="1" ht="12.75" customHeight="1">
      <c r="A29" s="1835">
        <v>25</v>
      </c>
      <c r="B29" s="1839" t="s">
        <v>5640</v>
      </c>
      <c r="C29" s="2072">
        <f>所得减免优惠审核表!C29</f>
        <v>0</v>
      </c>
      <c r="D29" s="2072">
        <f>所得减免优惠审核表!D29</f>
        <v>0</v>
      </c>
      <c r="E29" s="2072">
        <f>所得减免优惠审核表!E29</f>
        <v>0</v>
      </c>
      <c r="F29" s="2072">
        <f>所得减免优惠审核表!F29</f>
        <v>0</v>
      </c>
      <c r="G29" s="2072">
        <f>所得减免优惠审核表!G29</f>
        <v>0</v>
      </c>
      <c r="H29" s="2072">
        <f>所得减免优惠审核表!H29</f>
        <v>0</v>
      </c>
      <c r="I29" s="2072">
        <f>所得减免优惠审核表!I29</f>
        <v>0</v>
      </c>
      <c r="J29" s="1836"/>
    </row>
    <row r="30" spans="1:10" s="1603" customFormat="1" ht="29.25" customHeight="1">
      <c r="A30" s="1835">
        <v>26</v>
      </c>
      <c r="B30" s="1839" t="s">
        <v>5641</v>
      </c>
      <c r="C30" s="2072">
        <f>所得减免优惠审核表!C30</f>
        <v>0</v>
      </c>
      <c r="D30" s="2072">
        <f>所得减免优惠审核表!D30</f>
        <v>0</v>
      </c>
      <c r="E30" s="2072">
        <f>所得减免优惠审核表!E30</f>
        <v>0</v>
      </c>
      <c r="F30" s="2072">
        <f>所得减免优惠审核表!F30</f>
        <v>0</v>
      </c>
      <c r="G30" s="2072">
        <f>所得减免优惠审核表!G30</f>
        <v>0</v>
      </c>
      <c r="H30" s="2072">
        <f>所得减免优惠审核表!H30</f>
        <v>0</v>
      </c>
      <c r="I30" s="2072">
        <f>所得减免优惠审核表!I30</f>
        <v>0</v>
      </c>
      <c r="J30" s="1836"/>
    </row>
    <row r="31" spans="1:10" s="1603" customFormat="1" ht="12.75" customHeight="1">
      <c r="A31" s="1835">
        <v>27</v>
      </c>
      <c r="B31" s="1839" t="s">
        <v>5642</v>
      </c>
      <c r="C31" s="2072">
        <f>所得减免优惠审核表!C31</f>
        <v>0</v>
      </c>
      <c r="D31" s="2072">
        <f>所得减免优惠审核表!D31</f>
        <v>0</v>
      </c>
      <c r="E31" s="2072">
        <f>所得减免优惠审核表!E31</f>
        <v>0</v>
      </c>
      <c r="F31" s="2072">
        <f>所得减免优惠审核表!F31</f>
        <v>0</v>
      </c>
      <c r="G31" s="2072">
        <f>所得减免优惠审核表!G31</f>
        <v>0</v>
      </c>
      <c r="H31" s="2072">
        <f>所得减免优惠审核表!H31</f>
        <v>0</v>
      </c>
      <c r="I31" s="2072">
        <f>所得减免优惠审核表!I31</f>
        <v>0</v>
      </c>
      <c r="J31" s="1836"/>
    </row>
    <row r="32" spans="1:10" s="1603" customFormat="1" ht="12.75" customHeight="1">
      <c r="A32" s="1835">
        <v>28</v>
      </c>
      <c r="B32" s="1839" t="s">
        <v>5643</v>
      </c>
      <c r="C32" s="2072">
        <f>所得减免优惠审核表!C32</f>
        <v>0</v>
      </c>
      <c r="D32" s="2072">
        <f>所得减免优惠审核表!D32</f>
        <v>0</v>
      </c>
      <c r="E32" s="2072">
        <f>所得减免优惠审核表!E32</f>
        <v>0</v>
      </c>
      <c r="F32" s="2072">
        <f>所得减免优惠审核表!F32</f>
        <v>0</v>
      </c>
      <c r="G32" s="2072">
        <f>所得减免优惠审核表!G32</f>
        <v>0</v>
      </c>
      <c r="H32" s="2072">
        <f>所得减免优惠审核表!H32</f>
        <v>0</v>
      </c>
      <c r="I32" s="2072">
        <f>所得减免优惠审核表!I32</f>
        <v>0</v>
      </c>
      <c r="J32" s="1836"/>
    </row>
    <row r="33" spans="1:10" s="1603" customFormat="1" ht="12.75" customHeight="1">
      <c r="A33" s="1835">
        <v>29</v>
      </c>
      <c r="B33" s="1839" t="s">
        <v>5644</v>
      </c>
      <c r="C33" s="2072">
        <f>所得减免优惠审核表!C33</f>
        <v>0</v>
      </c>
      <c r="D33" s="2072">
        <f>所得减免优惠审核表!D33</f>
        <v>0</v>
      </c>
      <c r="E33" s="2072">
        <f>所得减免优惠审核表!E33</f>
        <v>0</v>
      </c>
      <c r="F33" s="2072">
        <f>所得减免优惠审核表!F33</f>
        <v>0</v>
      </c>
      <c r="G33" s="2072">
        <f>所得减免优惠审核表!G33</f>
        <v>0</v>
      </c>
      <c r="H33" s="2072">
        <f>所得减免优惠审核表!H33</f>
        <v>0</v>
      </c>
      <c r="I33" s="2072">
        <f>所得减免优惠审核表!I33</f>
        <v>0</v>
      </c>
      <c r="J33" s="1836"/>
    </row>
    <row r="34" spans="1:10" s="1603" customFormat="1" ht="12.75" customHeight="1">
      <c r="A34" s="1835">
        <v>30</v>
      </c>
      <c r="B34" s="1839" t="s">
        <v>5645</v>
      </c>
      <c r="C34" s="2072">
        <f>所得减免优惠审核表!C34</f>
        <v>0</v>
      </c>
      <c r="D34" s="2072">
        <f>所得减免优惠审核表!D34</f>
        <v>0</v>
      </c>
      <c r="E34" s="2072">
        <f>所得减免优惠审核表!E34</f>
        <v>0</v>
      </c>
      <c r="F34" s="2072">
        <f>所得减免优惠审核表!F34</f>
        <v>0</v>
      </c>
      <c r="G34" s="2072">
        <f>所得减免优惠审核表!G34</f>
        <v>0</v>
      </c>
      <c r="H34" s="2072">
        <f>所得减免优惠审核表!H34</f>
        <v>0</v>
      </c>
      <c r="I34" s="2072">
        <f>所得减免优惠审核表!I34</f>
        <v>0</v>
      </c>
      <c r="J34" s="1836"/>
    </row>
    <row r="35" spans="1:10" s="1603" customFormat="1" ht="12.75" customHeight="1">
      <c r="A35" s="1835">
        <v>31</v>
      </c>
      <c r="B35" s="1839" t="s">
        <v>5646</v>
      </c>
      <c r="C35" s="2072">
        <f>所得减免优惠审核表!C35</f>
        <v>0</v>
      </c>
      <c r="D35" s="2072">
        <f>所得减免优惠审核表!D35</f>
        <v>0</v>
      </c>
      <c r="E35" s="2072">
        <f>所得减免优惠审核表!E35</f>
        <v>0</v>
      </c>
      <c r="F35" s="2072">
        <f>所得减免优惠审核表!F35</f>
        <v>0</v>
      </c>
      <c r="G35" s="2072">
        <f>所得减免优惠审核表!G35</f>
        <v>0</v>
      </c>
      <c r="H35" s="2072">
        <f>所得减免优惠审核表!H35</f>
        <v>0</v>
      </c>
      <c r="I35" s="2072">
        <f>所得减免优惠审核表!I35</f>
        <v>0</v>
      </c>
      <c r="J35" s="1836"/>
    </row>
    <row r="36" spans="1:10" s="1603" customFormat="1" ht="12.75" customHeight="1">
      <c r="A36" s="1835">
        <v>32</v>
      </c>
      <c r="B36" s="1839" t="s">
        <v>5647</v>
      </c>
      <c r="C36" s="2072">
        <f>所得减免优惠审核表!C36</f>
        <v>0</v>
      </c>
      <c r="D36" s="2072">
        <f>所得减免优惠审核表!D36</f>
        <v>0</v>
      </c>
      <c r="E36" s="2072">
        <f>所得减免优惠审核表!E36</f>
        <v>0</v>
      </c>
      <c r="F36" s="2072">
        <f>所得减免优惠审核表!F36</f>
        <v>0</v>
      </c>
      <c r="G36" s="2072">
        <f>所得减免优惠审核表!G36</f>
        <v>0</v>
      </c>
      <c r="H36" s="2072">
        <f>所得减免优惠审核表!H36</f>
        <v>0</v>
      </c>
      <c r="I36" s="2072">
        <f>所得减免优惠审核表!I36</f>
        <v>0</v>
      </c>
      <c r="J36" s="1836"/>
    </row>
    <row r="37" spans="1:10" s="1603" customFormat="1" ht="12.75" customHeight="1">
      <c r="A37" s="1835">
        <v>33</v>
      </c>
      <c r="B37" s="1839" t="s">
        <v>5648</v>
      </c>
      <c r="C37" s="2072">
        <f>所得减免优惠审核表!C37</f>
        <v>0</v>
      </c>
      <c r="D37" s="2072">
        <f>所得减免优惠审核表!D37</f>
        <v>0</v>
      </c>
      <c r="E37" s="2072">
        <f>所得减免优惠审核表!E37</f>
        <v>0</v>
      </c>
      <c r="F37" s="2072">
        <f>所得减免优惠审核表!F37</f>
        <v>0</v>
      </c>
      <c r="G37" s="1982" t="s">
        <v>5542</v>
      </c>
      <c r="H37" s="2072">
        <f>所得减免优惠审核表!H37</f>
        <v>0</v>
      </c>
      <c r="I37" s="2072">
        <f>所得减免优惠审核表!I37</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2">
        <f>所得减免优惠审核表!I38</f>
        <v>0</v>
      </c>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2">
        <f>所得减免优惠审核表!I39</f>
        <v>0</v>
      </c>
      <c r="J39" s="1836"/>
    </row>
    <row r="40" spans="1:10" s="1603" customFormat="1" ht="12.75" customHeight="1">
      <c r="A40" s="1835">
        <v>36</v>
      </c>
      <c r="B40" s="1839" t="s">
        <v>5651</v>
      </c>
      <c r="C40" s="2072">
        <f>所得减免优惠审核表!C40</f>
        <v>0</v>
      </c>
      <c r="D40" s="2072">
        <f>所得减免优惠审核表!D40</f>
        <v>0</v>
      </c>
      <c r="E40" s="2072">
        <f>所得减免优惠审核表!E40</f>
        <v>0</v>
      </c>
      <c r="F40" s="2072">
        <f>所得减免优惠审核表!F40</f>
        <v>0</v>
      </c>
      <c r="G40" s="2072">
        <f>所得减免优惠审核表!G40</f>
        <v>0</v>
      </c>
      <c r="H40" s="2072">
        <f>所得减免优惠审核表!H40</f>
        <v>0</v>
      </c>
      <c r="I40" s="2072">
        <f>所得减免优惠审核表!I40</f>
        <v>0</v>
      </c>
      <c r="J40" s="1836"/>
    </row>
    <row r="41" spans="1:10" s="1603" customFormat="1" ht="12.75" customHeight="1">
      <c r="A41" s="1835">
        <v>37</v>
      </c>
      <c r="B41" s="1839" t="s">
        <v>5652</v>
      </c>
      <c r="C41" s="2072">
        <f>所得减免优惠审核表!C41</f>
        <v>0</v>
      </c>
      <c r="D41" s="2072">
        <f>所得减免优惠审核表!D41</f>
        <v>0</v>
      </c>
      <c r="E41" s="2072">
        <f>所得减免优惠审核表!E41</f>
        <v>0</v>
      </c>
      <c r="F41" s="2072">
        <f>所得减免优惠审核表!F41</f>
        <v>0</v>
      </c>
      <c r="G41" s="2072">
        <f>所得减免优惠审核表!G41</f>
        <v>0</v>
      </c>
      <c r="H41" s="2072">
        <f>所得减免优惠审核表!H41</f>
        <v>0</v>
      </c>
      <c r="I41" s="2072">
        <f>所得减免优惠审核表!I41</f>
        <v>0</v>
      </c>
      <c r="J41" s="1836"/>
    </row>
    <row r="42" spans="1:10" s="1603" customFormat="1" ht="24" customHeight="1">
      <c r="A42" s="1835">
        <v>38</v>
      </c>
      <c r="B42" s="1839" t="s">
        <v>5653</v>
      </c>
      <c r="C42" s="2072">
        <f>所得减免优惠审核表!C42</f>
        <v>0</v>
      </c>
      <c r="D42" s="2072">
        <f>所得减免优惠审核表!D42</f>
        <v>0</v>
      </c>
      <c r="E42" s="2072">
        <f>所得减免优惠审核表!E42</f>
        <v>0</v>
      </c>
      <c r="F42" s="2072">
        <f>所得减免优惠审核表!F42</f>
        <v>0</v>
      </c>
      <c r="G42" s="2072">
        <f>所得减免优惠审核表!G42</f>
        <v>0</v>
      </c>
      <c r="H42" s="2072">
        <f>所得减免优惠审核表!H42</f>
        <v>0</v>
      </c>
      <c r="I42" s="2072">
        <f>所得减免优惠审核表!I42</f>
        <v>0</v>
      </c>
      <c r="J42" s="1836"/>
    </row>
    <row r="43" spans="1:10" s="1603" customFormat="1" ht="12.75" customHeight="1">
      <c r="A43" s="1835">
        <v>39</v>
      </c>
      <c r="B43" s="1839" t="s">
        <v>5654</v>
      </c>
      <c r="C43" s="2072">
        <f>所得减免优惠审核表!C43</f>
        <v>0</v>
      </c>
      <c r="D43" s="2072">
        <f>所得减免优惠审核表!D43</f>
        <v>0</v>
      </c>
      <c r="E43" s="2072">
        <f>所得减免优惠审核表!E43</f>
        <v>0</v>
      </c>
      <c r="F43" s="2072">
        <f>所得减免优惠审核表!F43</f>
        <v>0</v>
      </c>
      <c r="G43" s="2072">
        <f>所得减免优惠审核表!G43</f>
        <v>0</v>
      </c>
      <c r="H43" s="2072">
        <f>所得减免优惠审核表!H43</f>
        <v>0</v>
      </c>
      <c r="I43" s="2072">
        <f>所得减免优惠审核表!I43</f>
        <v>0</v>
      </c>
      <c r="J43" s="1836"/>
    </row>
    <row r="44" spans="1:10" s="1603" customFormat="1" ht="40.5" customHeight="1">
      <c r="A44" s="1835">
        <v>40</v>
      </c>
      <c r="B44" s="1839" t="s">
        <v>5655</v>
      </c>
      <c r="C44" s="2072">
        <f>所得减免优惠审核表!C44</f>
        <v>0</v>
      </c>
      <c r="D44" s="2072">
        <f>所得减免优惠审核表!D44</f>
        <v>0</v>
      </c>
      <c r="E44" s="2072">
        <f>所得减免优惠审核表!E44</f>
        <v>0</v>
      </c>
      <c r="F44" s="2072">
        <f>所得减免优惠审核表!F44</f>
        <v>0</v>
      </c>
      <c r="G44" s="2072">
        <f>所得减免优惠审核表!G44</f>
        <v>0</v>
      </c>
      <c r="H44" s="2072">
        <f>所得减免优惠审核表!H44</f>
        <v>0</v>
      </c>
      <c r="I44" s="2072">
        <f>所得减免优惠审核表!I44</f>
        <v>0</v>
      </c>
      <c r="J44" s="1839" t="s">
        <v>5656</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3460" t="s">
        <v>5657</v>
      </c>
      <c r="B1" s="3460"/>
      <c r="C1" s="3460"/>
      <c r="D1" s="2019"/>
    </row>
    <row r="2" spans="1:6" s="1609" customFormat="1" ht="25.5" customHeight="1">
      <c r="A2" s="3401" t="s">
        <v>5658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2240">
        <f>抵扣应纳税所得额审核表!C5</f>
        <v>0</v>
      </c>
      <c r="D5" s="1983"/>
    </row>
    <row r="6" spans="1:6" s="1610" customFormat="1" ht="14.25" customHeight="1">
      <c r="A6" s="1877">
        <v>2</v>
      </c>
      <c r="B6" s="1878" t="s">
        <v>5660</v>
      </c>
      <c r="C6" s="2285">
        <f>抵扣应纳税所得额审核表!C6</f>
        <v>0.7</v>
      </c>
      <c r="D6" s="1983"/>
    </row>
    <row r="7" spans="1:6" s="1610" customFormat="1" ht="14.25" customHeight="1">
      <c r="A7" s="1877">
        <v>3</v>
      </c>
      <c r="B7" s="1878" t="s">
        <v>6830</v>
      </c>
      <c r="C7" s="2240">
        <f>抵扣应纳税所得额审核表!C7</f>
        <v>0</v>
      </c>
      <c r="D7" s="1983"/>
    </row>
    <row r="8" spans="1:6" s="1610" customFormat="1" ht="14.25" customHeight="1">
      <c r="A8" s="1877">
        <v>4</v>
      </c>
      <c r="B8" s="1878" t="s">
        <v>5661</v>
      </c>
      <c r="C8" s="2240">
        <f>抵扣应纳税所得额审核表!C8</f>
        <v>0</v>
      </c>
      <c r="D8" s="1983"/>
    </row>
    <row r="9" spans="1:6" s="1610" customFormat="1" ht="16.5" customHeight="1">
      <c r="A9" s="1877">
        <v>5</v>
      </c>
      <c r="B9" s="1878" t="s">
        <v>6831</v>
      </c>
      <c r="C9" s="2240">
        <f>抵扣应纳税所得额审核表!C9</f>
        <v>0</v>
      </c>
      <c r="D9" s="1983"/>
    </row>
    <row r="10" spans="1:6" s="1610" customFormat="1" ht="16.5" customHeight="1">
      <c r="A10" s="1877">
        <v>6</v>
      </c>
      <c r="B10" s="1878" t="s">
        <v>5662</v>
      </c>
      <c r="C10" s="2240">
        <f ca="1">抵扣应纳税所得额审核表!C10</f>
        <v>0</v>
      </c>
      <c r="D10" s="2284" t="s">
        <v>7662</v>
      </c>
    </row>
    <row r="11" spans="1:6" s="1610" customFormat="1" ht="16.5" customHeight="1">
      <c r="A11" s="1877">
        <v>7</v>
      </c>
      <c r="B11" s="1878" t="s">
        <v>6832</v>
      </c>
      <c r="C11" s="2240">
        <f ca="1">抵扣应纳税所得额审核表!C11</f>
        <v>0</v>
      </c>
      <c r="D11" s="1983"/>
    </row>
    <row r="12" spans="1:6" s="1610" customFormat="1" ht="16.5" customHeight="1">
      <c r="A12" s="1877">
        <v>8</v>
      </c>
      <c r="B12" s="1878" t="s">
        <v>5665</v>
      </c>
      <c r="C12" s="2240">
        <f ca="1">抵扣应纳税所得额审核表!C12</f>
        <v>0</v>
      </c>
      <c r="D12" s="1983"/>
    </row>
    <row r="13" spans="1:6" s="1610" customFormat="1" ht="16.5" customHeight="1">
      <c r="A13" s="3476" t="s">
        <v>6833</v>
      </c>
      <c r="B13" s="3477"/>
      <c r="C13" s="3477"/>
      <c r="D13" s="3478"/>
    </row>
    <row r="14" spans="1:6" s="1610" customFormat="1" ht="16.5" customHeight="1">
      <c r="A14" s="1877">
        <v>9</v>
      </c>
      <c r="B14" s="1878" t="s">
        <v>6835</v>
      </c>
      <c r="C14" s="2240">
        <f>抵扣应纳税所得额审核表!C14</f>
        <v>0</v>
      </c>
      <c r="D14" s="1983"/>
    </row>
    <row r="15" spans="1:6" s="1610" customFormat="1" ht="16.5" customHeight="1">
      <c r="A15" s="1877">
        <v>10</v>
      </c>
      <c r="B15" s="1878" t="s">
        <v>6836</v>
      </c>
      <c r="C15" s="2240">
        <f>抵扣应纳税所得额审核表!C15</f>
        <v>0</v>
      </c>
      <c r="D15" s="1983"/>
    </row>
    <row r="16" spans="1:6" s="1610" customFormat="1" ht="16.5" customHeight="1">
      <c r="A16" s="1877">
        <v>11</v>
      </c>
      <c r="B16" s="1878" t="s">
        <v>6837</v>
      </c>
      <c r="C16" s="2240">
        <f>抵扣应纳税所得额审核表!C16</f>
        <v>0</v>
      </c>
      <c r="D16" s="1983"/>
    </row>
    <row r="17" spans="1:5" s="1610" customFormat="1" ht="16.5" customHeight="1">
      <c r="A17" s="1877">
        <v>12</v>
      </c>
      <c r="B17" s="1878" t="s">
        <v>6838</v>
      </c>
      <c r="C17" s="2240">
        <f>抵扣应纳税所得额审核表!C17</f>
        <v>0</v>
      </c>
      <c r="D17" s="1983"/>
    </row>
    <row r="18" spans="1:5" s="1610" customFormat="1" ht="38.25" customHeight="1">
      <c r="A18" s="1877">
        <v>13</v>
      </c>
      <c r="B18" s="1878" t="s">
        <v>6839</v>
      </c>
      <c r="C18" s="2240">
        <f ca="1">抵扣应纳税所得额审核表!C18</f>
        <v>0</v>
      </c>
      <c r="D18" s="1984"/>
    </row>
    <row r="19" spans="1:5" s="1610" customFormat="1" ht="30" customHeight="1">
      <c r="A19" s="1877">
        <v>14</v>
      </c>
      <c r="B19" s="1878" t="s">
        <v>6840</v>
      </c>
      <c r="C19" s="2240">
        <f>抵扣应纳税所得额审核表!C19</f>
        <v>0</v>
      </c>
      <c r="D19" s="1985"/>
    </row>
    <row r="20" spans="1:5" s="1610" customFormat="1" ht="14.25" customHeight="1">
      <c r="A20" s="3476" t="s">
        <v>6834</v>
      </c>
      <c r="B20" s="3477"/>
      <c r="C20" s="3477"/>
      <c r="D20" s="3478"/>
      <c r="E20" s="1675" t="s">
        <v>6467</v>
      </c>
    </row>
    <row r="21" spans="1:5">
      <c r="A21" s="1877">
        <v>15</v>
      </c>
      <c r="B21" s="1878" t="s">
        <v>6841</v>
      </c>
      <c r="C21" s="2240">
        <f ca="1">抵扣应纳税所得额审核表!C21</f>
        <v>0</v>
      </c>
      <c r="D21" s="1983" t="s">
        <v>7661</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5.6"/>
  <cols>
    <col min="1" max="1" width="5.19921875" style="1605" customWidth="1"/>
    <col min="2" max="2" width="48.09765625" style="1605" customWidth="1"/>
    <col min="3" max="3" width="13.09765625" style="1605" customWidth="1"/>
    <col min="4" max="4" width="12.3984375" style="1605" customWidth="1"/>
    <col min="5" max="5" width="20.19921875" style="1605" customWidth="1"/>
    <col min="6" max="6" width="9" style="1605"/>
    <col min="7" max="7" width="17.59765625" style="1605" customWidth="1"/>
    <col min="8" max="257" width="9" style="1605"/>
    <col min="258" max="258" width="5.19921875" style="1605" customWidth="1"/>
    <col min="259" max="259" width="48.09765625" style="1605" customWidth="1"/>
    <col min="260" max="260" width="7.8984375" style="1605" customWidth="1"/>
    <col min="261" max="261" width="20.19921875" style="1605" customWidth="1"/>
    <col min="262" max="262" width="9" style="1605"/>
    <col min="263" max="263" width="17.59765625" style="1605" customWidth="1"/>
    <col min="264" max="513" width="9" style="1605"/>
    <col min="514" max="514" width="5.19921875" style="1605" customWidth="1"/>
    <col min="515" max="515" width="48.09765625" style="1605" customWidth="1"/>
    <col min="516" max="516" width="7.8984375" style="1605" customWidth="1"/>
    <col min="517" max="517" width="20.19921875" style="1605" customWidth="1"/>
    <col min="518" max="518" width="9" style="1605"/>
    <col min="519" max="519" width="17.59765625" style="1605" customWidth="1"/>
    <col min="520" max="769" width="9" style="1605"/>
    <col min="770" max="770" width="5.19921875" style="1605" customWidth="1"/>
    <col min="771" max="771" width="48.09765625" style="1605" customWidth="1"/>
    <col min="772" max="772" width="7.8984375" style="1605" customWidth="1"/>
    <col min="773" max="773" width="20.19921875" style="1605" customWidth="1"/>
    <col min="774" max="774" width="9" style="1605"/>
    <col min="775" max="775" width="17.59765625" style="1605" customWidth="1"/>
    <col min="776" max="1025" width="9" style="1605"/>
    <col min="1026" max="1026" width="5.19921875" style="1605" customWidth="1"/>
    <col min="1027" max="1027" width="48.09765625" style="1605" customWidth="1"/>
    <col min="1028" max="1028" width="7.8984375" style="1605" customWidth="1"/>
    <col min="1029" max="1029" width="20.19921875" style="1605" customWidth="1"/>
    <col min="1030" max="1030" width="9" style="1605"/>
    <col min="1031" max="1031" width="17.59765625" style="1605" customWidth="1"/>
    <col min="1032" max="1281" width="9" style="1605"/>
    <col min="1282" max="1282" width="5.19921875" style="1605" customWidth="1"/>
    <col min="1283" max="1283" width="48.09765625" style="1605" customWidth="1"/>
    <col min="1284" max="1284" width="7.8984375" style="1605" customWidth="1"/>
    <col min="1285" max="1285" width="20.19921875" style="1605" customWidth="1"/>
    <col min="1286" max="1286" width="9" style="1605"/>
    <col min="1287" max="1287" width="17.59765625" style="1605" customWidth="1"/>
    <col min="1288" max="1537" width="9" style="1605"/>
    <col min="1538" max="1538" width="5.19921875" style="1605" customWidth="1"/>
    <col min="1539" max="1539" width="48.09765625" style="1605" customWidth="1"/>
    <col min="1540" max="1540" width="7.8984375" style="1605" customWidth="1"/>
    <col min="1541" max="1541" width="20.19921875" style="1605" customWidth="1"/>
    <col min="1542" max="1542" width="9" style="1605"/>
    <col min="1543" max="1543" width="17.59765625" style="1605" customWidth="1"/>
    <col min="1544" max="1793" width="9" style="1605"/>
    <col min="1794" max="1794" width="5.19921875" style="1605" customWidth="1"/>
    <col min="1795" max="1795" width="48.09765625" style="1605" customWidth="1"/>
    <col min="1796" max="1796" width="7.8984375" style="1605" customWidth="1"/>
    <col min="1797" max="1797" width="20.19921875" style="1605" customWidth="1"/>
    <col min="1798" max="1798" width="9" style="1605"/>
    <col min="1799" max="1799" width="17.59765625" style="1605" customWidth="1"/>
    <col min="1800" max="2049" width="9" style="1605"/>
    <col min="2050" max="2050" width="5.19921875" style="1605" customWidth="1"/>
    <col min="2051" max="2051" width="48.09765625" style="1605" customWidth="1"/>
    <col min="2052" max="2052" width="7.8984375" style="1605" customWidth="1"/>
    <col min="2053" max="2053" width="20.19921875" style="1605" customWidth="1"/>
    <col min="2054" max="2054" width="9" style="1605"/>
    <col min="2055" max="2055" width="17.59765625" style="1605" customWidth="1"/>
    <col min="2056" max="2305" width="9" style="1605"/>
    <col min="2306" max="2306" width="5.19921875" style="1605" customWidth="1"/>
    <col min="2307" max="2307" width="48.09765625" style="1605" customWidth="1"/>
    <col min="2308" max="2308" width="7.8984375" style="1605" customWidth="1"/>
    <col min="2309" max="2309" width="20.19921875" style="1605" customWidth="1"/>
    <col min="2310" max="2310" width="9" style="1605"/>
    <col min="2311" max="2311" width="17.59765625" style="1605" customWidth="1"/>
    <col min="2312" max="2561" width="9" style="1605"/>
    <col min="2562" max="2562" width="5.19921875" style="1605" customWidth="1"/>
    <col min="2563" max="2563" width="48.09765625" style="1605" customWidth="1"/>
    <col min="2564" max="2564" width="7.8984375" style="1605" customWidth="1"/>
    <col min="2565" max="2565" width="20.19921875" style="1605" customWidth="1"/>
    <col min="2566" max="2566" width="9" style="1605"/>
    <col min="2567" max="2567" width="17.59765625" style="1605" customWidth="1"/>
    <col min="2568" max="2817" width="9" style="1605"/>
    <col min="2818" max="2818" width="5.19921875" style="1605" customWidth="1"/>
    <col min="2819" max="2819" width="48.09765625" style="1605" customWidth="1"/>
    <col min="2820" max="2820" width="7.8984375" style="1605" customWidth="1"/>
    <col min="2821" max="2821" width="20.19921875" style="1605" customWidth="1"/>
    <col min="2822" max="2822" width="9" style="1605"/>
    <col min="2823" max="2823" width="17.59765625" style="1605" customWidth="1"/>
    <col min="2824" max="3073" width="9" style="1605"/>
    <col min="3074" max="3074" width="5.19921875" style="1605" customWidth="1"/>
    <col min="3075" max="3075" width="48.09765625" style="1605" customWidth="1"/>
    <col min="3076" max="3076" width="7.8984375" style="1605" customWidth="1"/>
    <col min="3077" max="3077" width="20.19921875" style="1605" customWidth="1"/>
    <col min="3078" max="3078" width="9" style="1605"/>
    <col min="3079" max="3079" width="17.59765625" style="1605" customWidth="1"/>
    <col min="3080" max="3329" width="9" style="1605"/>
    <col min="3330" max="3330" width="5.19921875" style="1605" customWidth="1"/>
    <col min="3331" max="3331" width="48.09765625" style="1605" customWidth="1"/>
    <col min="3332" max="3332" width="7.8984375" style="1605" customWidth="1"/>
    <col min="3333" max="3333" width="20.19921875" style="1605" customWidth="1"/>
    <col min="3334" max="3334" width="9" style="1605"/>
    <col min="3335" max="3335" width="17.59765625" style="1605" customWidth="1"/>
    <col min="3336" max="3585" width="9" style="1605"/>
    <col min="3586" max="3586" width="5.19921875" style="1605" customWidth="1"/>
    <col min="3587" max="3587" width="48.09765625" style="1605" customWidth="1"/>
    <col min="3588" max="3588" width="7.8984375" style="1605" customWidth="1"/>
    <col min="3589" max="3589" width="20.19921875" style="1605" customWidth="1"/>
    <col min="3590" max="3590" width="9" style="1605"/>
    <col min="3591" max="3591" width="17.59765625" style="1605" customWidth="1"/>
    <col min="3592" max="3841" width="9" style="1605"/>
    <col min="3842" max="3842" width="5.19921875" style="1605" customWidth="1"/>
    <col min="3843" max="3843" width="48.09765625" style="1605" customWidth="1"/>
    <col min="3844" max="3844" width="7.8984375" style="1605" customWidth="1"/>
    <col min="3845" max="3845" width="20.19921875" style="1605" customWidth="1"/>
    <col min="3846" max="3846" width="9" style="1605"/>
    <col min="3847" max="3847" width="17.59765625" style="1605" customWidth="1"/>
    <col min="3848" max="4097" width="9" style="1605"/>
    <col min="4098" max="4098" width="5.19921875" style="1605" customWidth="1"/>
    <col min="4099" max="4099" width="48.09765625" style="1605" customWidth="1"/>
    <col min="4100" max="4100" width="7.8984375" style="1605" customWidth="1"/>
    <col min="4101" max="4101" width="20.19921875" style="1605" customWidth="1"/>
    <col min="4102" max="4102" width="9" style="1605"/>
    <col min="4103" max="4103" width="17.59765625" style="1605" customWidth="1"/>
    <col min="4104" max="4353" width="9" style="1605"/>
    <col min="4354" max="4354" width="5.19921875" style="1605" customWidth="1"/>
    <col min="4355" max="4355" width="48.09765625" style="1605" customWidth="1"/>
    <col min="4356" max="4356" width="7.8984375" style="1605" customWidth="1"/>
    <col min="4357" max="4357" width="20.19921875" style="1605" customWidth="1"/>
    <col min="4358" max="4358" width="9" style="1605"/>
    <col min="4359" max="4359" width="17.59765625" style="1605" customWidth="1"/>
    <col min="4360" max="4609" width="9" style="1605"/>
    <col min="4610" max="4610" width="5.19921875" style="1605" customWidth="1"/>
    <col min="4611" max="4611" width="48.09765625" style="1605" customWidth="1"/>
    <col min="4612" max="4612" width="7.8984375" style="1605" customWidth="1"/>
    <col min="4613" max="4613" width="20.19921875" style="1605" customWidth="1"/>
    <col min="4614" max="4614" width="9" style="1605"/>
    <col min="4615" max="4615" width="17.59765625" style="1605" customWidth="1"/>
    <col min="4616" max="4865" width="9" style="1605"/>
    <col min="4866" max="4866" width="5.19921875" style="1605" customWidth="1"/>
    <col min="4867" max="4867" width="48.09765625" style="1605" customWidth="1"/>
    <col min="4868" max="4868" width="7.8984375" style="1605" customWidth="1"/>
    <col min="4869" max="4869" width="20.19921875" style="1605" customWidth="1"/>
    <col min="4870" max="4870" width="9" style="1605"/>
    <col min="4871" max="4871" width="17.59765625" style="1605" customWidth="1"/>
    <col min="4872" max="5121" width="9" style="1605"/>
    <col min="5122" max="5122" width="5.19921875" style="1605" customWidth="1"/>
    <col min="5123" max="5123" width="48.09765625" style="1605" customWidth="1"/>
    <col min="5124" max="5124" width="7.8984375" style="1605" customWidth="1"/>
    <col min="5125" max="5125" width="20.19921875" style="1605" customWidth="1"/>
    <col min="5126" max="5126" width="9" style="1605"/>
    <col min="5127" max="5127" width="17.59765625" style="1605" customWidth="1"/>
    <col min="5128" max="5377" width="9" style="1605"/>
    <col min="5378" max="5378" width="5.19921875" style="1605" customWidth="1"/>
    <col min="5379" max="5379" width="48.09765625" style="1605" customWidth="1"/>
    <col min="5380" max="5380" width="7.8984375" style="1605" customWidth="1"/>
    <col min="5381" max="5381" width="20.19921875" style="1605" customWidth="1"/>
    <col min="5382" max="5382" width="9" style="1605"/>
    <col min="5383" max="5383" width="17.59765625" style="1605" customWidth="1"/>
    <col min="5384" max="5633" width="9" style="1605"/>
    <col min="5634" max="5634" width="5.19921875" style="1605" customWidth="1"/>
    <col min="5635" max="5635" width="48.09765625" style="1605" customWidth="1"/>
    <col min="5636" max="5636" width="7.8984375" style="1605" customWidth="1"/>
    <col min="5637" max="5637" width="20.19921875" style="1605" customWidth="1"/>
    <col min="5638" max="5638" width="9" style="1605"/>
    <col min="5639" max="5639" width="17.59765625" style="1605" customWidth="1"/>
    <col min="5640" max="5889" width="9" style="1605"/>
    <col min="5890" max="5890" width="5.19921875" style="1605" customWidth="1"/>
    <col min="5891" max="5891" width="48.09765625" style="1605" customWidth="1"/>
    <col min="5892" max="5892" width="7.8984375" style="1605" customWidth="1"/>
    <col min="5893" max="5893" width="20.19921875" style="1605" customWidth="1"/>
    <col min="5894" max="5894" width="9" style="1605"/>
    <col min="5895" max="5895" width="17.59765625" style="1605" customWidth="1"/>
    <col min="5896" max="6145" width="9" style="1605"/>
    <col min="6146" max="6146" width="5.19921875" style="1605" customWidth="1"/>
    <col min="6147" max="6147" width="48.09765625" style="1605" customWidth="1"/>
    <col min="6148" max="6148" width="7.8984375" style="1605" customWidth="1"/>
    <col min="6149" max="6149" width="20.19921875" style="1605" customWidth="1"/>
    <col min="6150" max="6150" width="9" style="1605"/>
    <col min="6151" max="6151" width="17.59765625" style="1605" customWidth="1"/>
    <col min="6152" max="6401" width="9" style="1605"/>
    <col min="6402" max="6402" width="5.19921875" style="1605" customWidth="1"/>
    <col min="6403" max="6403" width="48.09765625" style="1605" customWidth="1"/>
    <col min="6404" max="6404" width="7.8984375" style="1605" customWidth="1"/>
    <col min="6405" max="6405" width="20.19921875" style="1605" customWidth="1"/>
    <col min="6406" max="6406" width="9" style="1605"/>
    <col min="6407" max="6407" width="17.59765625" style="1605" customWidth="1"/>
    <col min="6408" max="6657" width="9" style="1605"/>
    <col min="6658" max="6658" width="5.19921875" style="1605" customWidth="1"/>
    <col min="6659" max="6659" width="48.09765625" style="1605" customWidth="1"/>
    <col min="6660" max="6660" width="7.8984375" style="1605" customWidth="1"/>
    <col min="6661" max="6661" width="20.19921875" style="1605" customWidth="1"/>
    <col min="6662" max="6662" width="9" style="1605"/>
    <col min="6663" max="6663" width="17.59765625" style="1605" customWidth="1"/>
    <col min="6664" max="6913" width="9" style="1605"/>
    <col min="6914" max="6914" width="5.19921875" style="1605" customWidth="1"/>
    <col min="6915" max="6915" width="48.09765625" style="1605" customWidth="1"/>
    <col min="6916" max="6916" width="7.8984375" style="1605" customWidth="1"/>
    <col min="6917" max="6917" width="20.19921875" style="1605" customWidth="1"/>
    <col min="6918" max="6918" width="9" style="1605"/>
    <col min="6919" max="6919" width="17.59765625" style="1605" customWidth="1"/>
    <col min="6920" max="7169" width="9" style="1605"/>
    <col min="7170" max="7170" width="5.19921875" style="1605" customWidth="1"/>
    <col min="7171" max="7171" width="48.09765625" style="1605" customWidth="1"/>
    <col min="7172" max="7172" width="7.8984375" style="1605" customWidth="1"/>
    <col min="7173" max="7173" width="20.19921875" style="1605" customWidth="1"/>
    <col min="7174" max="7174" width="9" style="1605"/>
    <col min="7175" max="7175" width="17.59765625" style="1605" customWidth="1"/>
    <col min="7176" max="7425" width="9" style="1605"/>
    <col min="7426" max="7426" width="5.19921875" style="1605" customWidth="1"/>
    <col min="7427" max="7427" width="48.09765625" style="1605" customWidth="1"/>
    <col min="7428" max="7428" width="7.8984375" style="1605" customWidth="1"/>
    <col min="7429" max="7429" width="20.19921875" style="1605" customWidth="1"/>
    <col min="7430" max="7430" width="9" style="1605"/>
    <col min="7431" max="7431" width="17.59765625" style="1605" customWidth="1"/>
    <col min="7432" max="7681" width="9" style="1605"/>
    <col min="7682" max="7682" width="5.19921875" style="1605" customWidth="1"/>
    <col min="7683" max="7683" width="48.09765625" style="1605" customWidth="1"/>
    <col min="7684" max="7684" width="7.8984375" style="1605" customWidth="1"/>
    <col min="7685" max="7685" width="20.19921875" style="1605" customWidth="1"/>
    <col min="7686" max="7686" width="9" style="1605"/>
    <col min="7687" max="7687" width="17.59765625" style="1605" customWidth="1"/>
    <col min="7688" max="7937" width="9" style="1605"/>
    <col min="7938" max="7938" width="5.19921875" style="1605" customWidth="1"/>
    <col min="7939" max="7939" width="48.09765625" style="1605" customWidth="1"/>
    <col min="7940" max="7940" width="7.8984375" style="1605" customWidth="1"/>
    <col min="7941" max="7941" width="20.19921875" style="1605" customWidth="1"/>
    <col min="7942" max="7942" width="9" style="1605"/>
    <col min="7943" max="7943" width="17.59765625" style="1605" customWidth="1"/>
    <col min="7944" max="8193" width="9" style="1605"/>
    <col min="8194" max="8194" width="5.19921875" style="1605" customWidth="1"/>
    <col min="8195" max="8195" width="48.09765625" style="1605" customWidth="1"/>
    <col min="8196" max="8196" width="7.8984375" style="1605" customWidth="1"/>
    <col min="8197" max="8197" width="20.19921875" style="1605" customWidth="1"/>
    <col min="8198" max="8198" width="9" style="1605"/>
    <col min="8199" max="8199" width="17.59765625" style="1605" customWidth="1"/>
    <col min="8200" max="8449" width="9" style="1605"/>
    <col min="8450" max="8450" width="5.19921875" style="1605" customWidth="1"/>
    <col min="8451" max="8451" width="48.09765625" style="1605" customWidth="1"/>
    <col min="8452" max="8452" width="7.8984375" style="1605" customWidth="1"/>
    <col min="8453" max="8453" width="20.19921875" style="1605" customWidth="1"/>
    <col min="8454" max="8454" width="9" style="1605"/>
    <col min="8455" max="8455" width="17.59765625" style="1605" customWidth="1"/>
    <col min="8456" max="8705" width="9" style="1605"/>
    <col min="8706" max="8706" width="5.19921875" style="1605" customWidth="1"/>
    <col min="8707" max="8707" width="48.09765625" style="1605" customWidth="1"/>
    <col min="8708" max="8708" width="7.8984375" style="1605" customWidth="1"/>
    <col min="8709" max="8709" width="20.19921875" style="1605" customWidth="1"/>
    <col min="8710" max="8710" width="9" style="1605"/>
    <col min="8711" max="8711" width="17.59765625" style="1605" customWidth="1"/>
    <col min="8712" max="8961" width="9" style="1605"/>
    <col min="8962" max="8962" width="5.19921875" style="1605" customWidth="1"/>
    <col min="8963" max="8963" width="48.09765625" style="1605" customWidth="1"/>
    <col min="8964" max="8964" width="7.8984375" style="1605" customWidth="1"/>
    <col min="8965" max="8965" width="20.19921875" style="1605" customWidth="1"/>
    <col min="8966" max="8966" width="9" style="1605"/>
    <col min="8967" max="8967" width="17.59765625" style="1605" customWidth="1"/>
    <col min="8968" max="9217" width="9" style="1605"/>
    <col min="9218" max="9218" width="5.19921875" style="1605" customWidth="1"/>
    <col min="9219" max="9219" width="48.09765625" style="1605" customWidth="1"/>
    <col min="9220" max="9220" width="7.8984375" style="1605" customWidth="1"/>
    <col min="9221" max="9221" width="20.19921875" style="1605" customWidth="1"/>
    <col min="9222" max="9222" width="9" style="1605"/>
    <col min="9223" max="9223" width="17.59765625" style="1605" customWidth="1"/>
    <col min="9224" max="9473" width="9" style="1605"/>
    <col min="9474" max="9474" width="5.19921875" style="1605" customWidth="1"/>
    <col min="9475" max="9475" width="48.09765625" style="1605" customWidth="1"/>
    <col min="9476" max="9476" width="7.8984375" style="1605" customWidth="1"/>
    <col min="9477" max="9477" width="20.19921875" style="1605" customWidth="1"/>
    <col min="9478" max="9478" width="9" style="1605"/>
    <col min="9479" max="9479" width="17.59765625" style="1605" customWidth="1"/>
    <col min="9480" max="9729" width="9" style="1605"/>
    <col min="9730" max="9730" width="5.19921875" style="1605" customWidth="1"/>
    <col min="9731" max="9731" width="48.09765625" style="1605" customWidth="1"/>
    <col min="9732" max="9732" width="7.8984375" style="1605" customWidth="1"/>
    <col min="9733" max="9733" width="20.19921875" style="1605" customWidth="1"/>
    <col min="9734" max="9734" width="9" style="1605"/>
    <col min="9735" max="9735" width="17.59765625" style="1605" customWidth="1"/>
    <col min="9736" max="9985" width="9" style="1605"/>
    <col min="9986" max="9986" width="5.19921875" style="1605" customWidth="1"/>
    <col min="9987" max="9987" width="48.09765625" style="1605" customWidth="1"/>
    <col min="9988" max="9988" width="7.8984375" style="1605" customWidth="1"/>
    <col min="9989" max="9989" width="20.19921875" style="1605" customWidth="1"/>
    <col min="9990" max="9990" width="9" style="1605"/>
    <col min="9991" max="9991" width="17.59765625" style="1605" customWidth="1"/>
    <col min="9992" max="10241" width="9" style="1605"/>
    <col min="10242" max="10242" width="5.19921875" style="1605" customWidth="1"/>
    <col min="10243" max="10243" width="48.09765625" style="1605" customWidth="1"/>
    <col min="10244" max="10244" width="7.8984375" style="1605" customWidth="1"/>
    <col min="10245" max="10245" width="20.19921875" style="1605" customWidth="1"/>
    <col min="10246" max="10246" width="9" style="1605"/>
    <col min="10247" max="10247" width="17.59765625" style="1605" customWidth="1"/>
    <col min="10248" max="10497" width="9" style="1605"/>
    <col min="10498" max="10498" width="5.19921875" style="1605" customWidth="1"/>
    <col min="10499" max="10499" width="48.09765625" style="1605" customWidth="1"/>
    <col min="10500" max="10500" width="7.8984375" style="1605" customWidth="1"/>
    <col min="10501" max="10501" width="20.19921875" style="1605" customWidth="1"/>
    <col min="10502" max="10502" width="9" style="1605"/>
    <col min="10503" max="10503" width="17.59765625" style="1605" customWidth="1"/>
    <col min="10504" max="10753" width="9" style="1605"/>
    <col min="10754" max="10754" width="5.19921875" style="1605" customWidth="1"/>
    <col min="10755" max="10755" width="48.09765625" style="1605" customWidth="1"/>
    <col min="10756" max="10756" width="7.8984375" style="1605" customWidth="1"/>
    <col min="10757" max="10757" width="20.19921875" style="1605" customWidth="1"/>
    <col min="10758" max="10758" width="9" style="1605"/>
    <col min="10759" max="10759" width="17.59765625" style="1605" customWidth="1"/>
    <col min="10760" max="11009" width="9" style="1605"/>
    <col min="11010" max="11010" width="5.19921875" style="1605" customWidth="1"/>
    <col min="11011" max="11011" width="48.09765625" style="1605" customWidth="1"/>
    <col min="11012" max="11012" width="7.8984375" style="1605" customWidth="1"/>
    <col min="11013" max="11013" width="20.19921875" style="1605" customWidth="1"/>
    <col min="11014" max="11014" width="9" style="1605"/>
    <col min="11015" max="11015" width="17.59765625" style="1605" customWidth="1"/>
    <col min="11016" max="11265" width="9" style="1605"/>
    <col min="11266" max="11266" width="5.19921875" style="1605" customWidth="1"/>
    <col min="11267" max="11267" width="48.09765625" style="1605" customWidth="1"/>
    <col min="11268" max="11268" width="7.8984375" style="1605" customWidth="1"/>
    <col min="11269" max="11269" width="20.19921875" style="1605" customWidth="1"/>
    <col min="11270" max="11270" width="9" style="1605"/>
    <col min="11271" max="11271" width="17.59765625" style="1605" customWidth="1"/>
    <col min="11272" max="11521" width="9" style="1605"/>
    <col min="11522" max="11522" width="5.19921875" style="1605" customWidth="1"/>
    <col min="11523" max="11523" width="48.09765625" style="1605" customWidth="1"/>
    <col min="11524" max="11524" width="7.8984375" style="1605" customWidth="1"/>
    <col min="11525" max="11525" width="20.19921875" style="1605" customWidth="1"/>
    <col min="11526" max="11526" width="9" style="1605"/>
    <col min="11527" max="11527" width="17.59765625" style="1605" customWidth="1"/>
    <col min="11528" max="11777" width="9" style="1605"/>
    <col min="11778" max="11778" width="5.19921875" style="1605" customWidth="1"/>
    <col min="11779" max="11779" width="48.09765625" style="1605" customWidth="1"/>
    <col min="11780" max="11780" width="7.8984375" style="1605" customWidth="1"/>
    <col min="11781" max="11781" width="20.19921875" style="1605" customWidth="1"/>
    <col min="11782" max="11782" width="9" style="1605"/>
    <col min="11783" max="11783" width="17.59765625" style="1605" customWidth="1"/>
    <col min="11784" max="12033" width="9" style="1605"/>
    <col min="12034" max="12034" width="5.19921875" style="1605" customWidth="1"/>
    <col min="12035" max="12035" width="48.09765625" style="1605" customWidth="1"/>
    <col min="12036" max="12036" width="7.8984375" style="1605" customWidth="1"/>
    <col min="12037" max="12037" width="20.19921875" style="1605" customWidth="1"/>
    <col min="12038" max="12038" width="9" style="1605"/>
    <col min="12039" max="12039" width="17.59765625" style="1605" customWidth="1"/>
    <col min="12040" max="12289" width="9" style="1605"/>
    <col min="12290" max="12290" width="5.19921875" style="1605" customWidth="1"/>
    <col min="12291" max="12291" width="48.09765625" style="1605" customWidth="1"/>
    <col min="12292" max="12292" width="7.8984375" style="1605" customWidth="1"/>
    <col min="12293" max="12293" width="20.19921875" style="1605" customWidth="1"/>
    <col min="12294" max="12294" width="9" style="1605"/>
    <col min="12295" max="12295" width="17.59765625" style="1605" customWidth="1"/>
    <col min="12296" max="12545" width="9" style="1605"/>
    <col min="12546" max="12546" width="5.19921875" style="1605" customWidth="1"/>
    <col min="12547" max="12547" width="48.09765625" style="1605" customWidth="1"/>
    <col min="12548" max="12548" width="7.8984375" style="1605" customWidth="1"/>
    <col min="12549" max="12549" width="20.19921875" style="1605" customWidth="1"/>
    <col min="12550" max="12550" width="9" style="1605"/>
    <col min="12551" max="12551" width="17.59765625" style="1605" customWidth="1"/>
    <col min="12552" max="12801" width="9" style="1605"/>
    <col min="12802" max="12802" width="5.19921875" style="1605" customWidth="1"/>
    <col min="12803" max="12803" width="48.09765625" style="1605" customWidth="1"/>
    <col min="12804" max="12804" width="7.8984375" style="1605" customWidth="1"/>
    <col min="12805" max="12805" width="20.19921875" style="1605" customWidth="1"/>
    <col min="12806" max="12806" width="9" style="1605"/>
    <col min="12807" max="12807" width="17.59765625" style="1605" customWidth="1"/>
    <col min="12808" max="13057" width="9" style="1605"/>
    <col min="13058" max="13058" width="5.19921875" style="1605" customWidth="1"/>
    <col min="13059" max="13059" width="48.09765625" style="1605" customWidth="1"/>
    <col min="13060" max="13060" width="7.8984375" style="1605" customWidth="1"/>
    <col min="13061" max="13061" width="20.19921875" style="1605" customWidth="1"/>
    <col min="13062" max="13062" width="9" style="1605"/>
    <col min="13063" max="13063" width="17.59765625" style="1605" customWidth="1"/>
    <col min="13064" max="13313" width="9" style="1605"/>
    <col min="13314" max="13314" width="5.19921875" style="1605" customWidth="1"/>
    <col min="13315" max="13315" width="48.09765625" style="1605" customWidth="1"/>
    <col min="13316" max="13316" width="7.8984375" style="1605" customWidth="1"/>
    <col min="13317" max="13317" width="20.19921875" style="1605" customWidth="1"/>
    <col min="13318" max="13318" width="9" style="1605"/>
    <col min="13319" max="13319" width="17.59765625" style="1605" customWidth="1"/>
    <col min="13320" max="13569" width="9" style="1605"/>
    <col min="13570" max="13570" width="5.19921875" style="1605" customWidth="1"/>
    <col min="13571" max="13571" width="48.09765625" style="1605" customWidth="1"/>
    <col min="13572" max="13572" width="7.8984375" style="1605" customWidth="1"/>
    <col min="13573" max="13573" width="20.19921875" style="1605" customWidth="1"/>
    <col min="13574" max="13574" width="9" style="1605"/>
    <col min="13575" max="13575" width="17.59765625" style="1605" customWidth="1"/>
    <col min="13576" max="13825" width="9" style="1605"/>
    <col min="13826" max="13826" width="5.19921875" style="1605" customWidth="1"/>
    <col min="13827" max="13827" width="48.09765625" style="1605" customWidth="1"/>
    <col min="13828" max="13828" width="7.8984375" style="1605" customWidth="1"/>
    <col min="13829" max="13829" width="20.19921875" style="1605" customWidth="1"/>
    <col min="13830" max="13830" width="9" style="1605"/>
    <col min="13831" max="13831" width="17.59765625" style="1605" customWidth="1"/>
    <col min="13832" max="14081" width="9" style="1605"/>
    <col min="14082" max="14082" width="5.19921875" style="1605" customWidth="1"/>
    <col min="14083" max="14083" width="48.09765625" style="1605" customWidth="1"/>
    <col min="14084" max="14084" width="7.8984375" style="1605" customWidth="1"/>
    <col min="14085" max="14085" width="20.19921875" style="1605" customWidth="1"/>
    <col min="14086" max="14086" width="9" style="1605"/>
    <col min="14087" max="14087" width="17.59765625" style="1605" customWidth="1"/>
    <col min="14088" max="14337" width="9" style="1605"/>
    <col min="14338" max="14338" width="5.19921875" style="1605" customWidth="1"/>
    <col min="14339" max="14339" width="48.09765625" style="1605" customWidth="1"/>
    <col min="14340" max="14340" width="7.8984375" style="1605" customWidth="1"/>
    <col min="14341" max="14341" width="20.19921875" style="1605" customWidth="1"/>
    <col min="14342" max="14342" width="9" style="1605"/>
    <col min="14343" max="14343" width="17.59765625" style="1605" customWidth="1"/>
    <col min="14344" max="14593" width="9" style="1605"/>
    <col min="14594" max="14594" width="5.19921875" style="1605" customWidth="1"/>
    <col min="14595" max="14595" width="48.09765625" style="1605" customWidth="1"/>
    <col min="14596" max="14596" width="7.8984375" style="1605" customWidth="1"/>
    <col min="14597" max="14597" width="20.19921875" style="1605" customWidth="1"/>
    <col min="14598" max="14598" width="9" style="1605"/>
    <col min="14599" max="14599" width="17.59765625" style="1605" customWidth="1"/>
    <col min="14600" max="14849" width="9" style="1605"/>
    <col min="14850" max="14850" width="5.19921875" style="1605" customWidth="1"/>
    <col min="14851" max="14851" width="48.09765625" style="1605" customWidth="1"/>
    <col min="14852" max="14852" width="7.8984375" style="1605" customWidth="1"/>
    <col min="14853" max="14853" width="20.19921875" style="1605" customWidth="1"/>
    <col min="14854" max="14854" width="9" style="1605"/>
    <col min="14855" max="14855" width="17.59765625" style="1605" customWidth="1"/>
    <col min="14856" max="15105" width="9" style="1605"/>
    <col min="15106" max="15106" width="5.19921875" style="1605" customWidth="1"/>
    <col min="15107" max="15107" width="48.09765625" style="1605" customWidth="1"/>
    <col min="15108" max="15108" width="7.8984375" style="1605" customWidth="1"/>
    <col min="15109" max="15109" width="20.19921875" style="1605" customWidth="1"/>
    <col min="15110" max="15110" width="9" style="1605"/>
    <col min="15111" max="15111" width="17.59765625" style="1605" customWidth="1"/>
    <col min="15112" max="15361" width="9" style="1605"/>
    <col min="15362" max="15362" width="5.19921875" style="1605" customWidth="1"/>
    <col min="15363" max="15363" width="48.09765625" style="1605" customWidth="1"/>
    <col min="15364" max="15364" width="7.8984375" style="1605" customWidth="1"/>
    <col min="15365" max="15365" width="20.19921875" style="1605" customWidth="1"/>
    <col min="15366" max="15366" width="9" style="1605"/>
    <col min="15367" max="15367" width="17.59765625" style="1605" customWidth="1"/>
    <col min="15368" max="15617" width="9" style="1605"/>
    <col min="15618" max="15618" width="5.19921875" style="1605" customWidth="1"/>
    <col min="15619" max="15619" width="48.09765625" style="1605" customWidth="1"/>
    <col min="15620" max="15620" width="7.8984375" style="1605" customWidth="1"/>
    <col min="15621" max="15621" width="20.19921875" style="1605" customWidth="1"/>
    <col min="15622" max="15622" width="9" style="1605"/>
    <col min="15623" max="15623" width="17.59765625" style="1605" customWidth="1"/>
    <col min="15624" max="15873" width="9" style="1605"/>
    <col min="15874" max="15874" width="5.19921875" style="1605" customWidth="1"/>
    <col min="15875" max="15875" width="48.09765625" style="1605" customWidth="1"/>
    <col min="15876" max="15876" width="7.8984375" style="1605" customWidth="1"/>
    <col min="15877" max="15877" width="20.19921875" style="1605" customWidth="1"/>
    <col min="15878" max="15878" width="9" style="1605"/>
    <col min="15879" max="15879" width="17.59765625" style="1605" customWidth="1"/>
    <col min="15880" max="16129" width="9" style="1605"/>
    <col min="16130" max="16130" width="5.19921875" style="1605" customWidth="1"/>
    <col min="16131" max="16131" width="48.09765625" style="1605" customWidth="1"/>
    <col min="16132" max="16132" width="7.8984375" style="1605" customWidth="1"/>
    <col min="16133" max="16133" width="20.19921875" style="1605" customWidth="1"/>
    <col min="16134" max="16134" width="9" style="1605"/>
    <col min="16135" max="16135" width="17.59765625" style="1605" customWidth="1"/>
    <col min="16136" max="16384" width="9" style="1605"/>
  </cols>
  <sheetData>
    <row r="1" spans="1:10" s="1583" customFormat="1" ht="20.100000000000001" customHeight="1">
      <c r="A1" s="3960" t="s">
        <v>5666</v>
      </c>
      <c r="B1" s="3960"/>
      <c r="C1" s="3960"/>
      <c r="D1" s="3960"/>
      <c r="E1" s="3960"/>
    </row>
    <row r="2" spans="1:10" s="1589" customFormat="1" ht="25.5" customHeight="1">
      <c r="A2" s="3401" t="s">
        <v>5667</v>
      </c>
      <c r="B2" s="3401"/>
      <c r="C2" s="3401"/>
      <c r="D2" s="3401"/>
      <c r="E2" s="3408"/>
    </row>
    <row r="3" spans="1:10" s="1603" customFormat="1" ht="14.25" customHeight="1">
      <c r="A3" s="1835" t="s">
        <v>1853</v>
      </c>
      <c r="B3" s="3410" t="s">
        <v>1627</v>
      </c>
      <c r="C3" s="3412"/>
      <c r="D3" s="1835" t="s">
        <v>5014</v>
      </c>
      <c r="E3" s="1835" t="s">
        <v>4899</v>
      </c>
      <c r="J3" s="1604"/>
    </row>
    <row r="4" spans="1:10" s="1603" customFormat="1" ht="14.25" customHeight="1">
      <c r="A4" s="2239">
        <v>1</v>
      </c>
      <c r="B4" s="3961" t="s">
        <v>6845</v>
      </c>
      <c r="C4" s="3962"/>
      <c r="D4" s="2240">
        <f>减免所得税优惠审核表!C4</f>
        <v>0</v>
      </c>
      <c r="E4" s="2239"/>
    </row>
    <row r="5" spans="1:10" s="1603" customFormat="1" ht="14.25" customHeight="1">
      <c r="A5" s="2239">
        <v>2</v>
      </c>
      <c r="B5" s="3961" t="s">
        <v>6846</v>
      </c>
      <c r="C5" s="3962"/>
      <c r="D5" s="2240">
        <f>减免所得税优惠审核表!C5</f>
        <v>0</v>
      </c>
      <c r="E5" s="1977"/>
    </row>
    <row r="6" spans="1:10" s="1603" customFormat="1" ht="14.25" customHeight="1">
      <c r="A6" s="2239">
        <v>3</v>
      </c>
      <c r="B6" s="3961" t="s">
        <v>6847</v>
      </c>
      <c r="C6" s="3962"/>
      <c r="D6" s="2240">
        <f>减免所得税优惠审核表!C6</f>
        <v>0</v>
      </c>
      <c r="E6" s="2560" t="s">
        <v>7663</v>
      </c>
    </row>
    <row r="7" spans="1:10" s="1603" customFormat="1" ht="14.25" customHeight="1">
      <c r="A7" s="2286">
        <v>4</v>
      </c>
      <c r="B7" s="3961" t="s">
        <v>6848</v>
      </c>
      <c r="C7" s="3962"/>
      <c r="D7" s="2240">
        <f>减免所得税优惠审核表!C7</f>
        <v>0</v>
      </c>
      <c r="E7" s="2288" t="s">
        <v>6880</v>
      </c>
    </row>
    <row r="8" spans="1:10" s="1603" customFormat="1" ht="14.25" customHeight="1">
      <c r="A8" s="2239">
        <v>5</v>
      </c>
      <c r="B8" s="3961" t="s">
        <v>6849</v>
      </c>
      <c r="C8" s="3962"/>
      <c r="D8" s="2240">
        <f>减免所得税优惠审核表!C8</f>
        <v>0</v>
      </c>
      <c r="E8" s="2288" t="s">
        <v>6880</v>
      </c>
    </row>
    <row r="9" spans="1:10" s="1603" customFormat="1" ht="14.25" customHeight="1">
      <c r="A9" s="2239">
        <v>6</v>
      </c>
      <c r="B9" s="3961" t="s">
        <v>6850</v>
      </c>
      <c r="C9" s="3962"/>
      <c r="D9" s="2240">
        <f>减免所得税优惠审核表!C9</f>
        <v>0</v>
      </c>
      <c r="E9" s="1836"/>
    </row>
    <row r="10" spans="1:10" s="1603" customFormat="1" ht="14.25" customHeight="1">
      <c r="A10" s="2239">
        <v>7</v>
      </c>
      <c r="B10" s="3961" t="s">
        <v>6851</v>
      </c>
      <c r="C10" s="3962"/>
      <c r="D10" s="2240">
        <f>减免所得税优惠审核表!C10</f>
        <v>0</v>
      </c>
      <c r="E10" s="1836"/>
    </row>
    <row r="11" spans="1:10" s="1603" customFormat="1" ht="14.25" customHeight="1">
      <c r="A11" s="2239">
        <v>7.1</v>
      </c>
      <c r="B11" s="3961" t="s">
        <v>6879</v>
      </c>
      <c r="C11" s="3962"/>
      <c r="D11" s="2240">
        <f>减免所得税优惠审核表!C11</f>
        <v>0</v>
      </c>
      <c r="E11" s="1836"/>
    </row>
    <row r="12" spans="1:10" s="1603" customFormat="1" ht="14.25" customHeight="1">
      <c r="A12" s="2239">
        <v>7.2</v>
      </c>
      <c r="B12" s="3961" t="s">
        <v>6878</v>
      </c>
      <c r="C12" s="3962"/>
      <c r="D12" s="2240">
        <f>减免所得税优惠审核表!C12</f>
        <v>0</v>
      </c>
      <c r="E12" s="1836"/>
      <c r="F12" s="1770" t="s">
        <v>6469</v>
      </c>
    </row>
    <row r="13" spans="1:10" s="1603" customFormat="1" ht="14.25" customHeight="1">
      <c r="A13" s="2239">
        <v>7.3</v>
      </c>
      <c r="B13" s="3961" t="s">
        <v>6877</v>
      </c>
      <c r="C13" s="3962"/>
      <c r="D13" s="2240">
        <f>减免所得税优惠审核表!C13</f>
        <v>0</v>
      </c>
      <c r="E13" s="1836"/>
    </row>
    <row r="14" spans="1:10" s="1603" customFormat="1" ht="14.25" customHeight="1">
      <c r="A14" s="2239">
        <v>8</v>
      </c>
      <c r="B14" s="3961" t="s">
        <v>6852</v>
      </c>
      <c r="C14" s="3962"/>
      <c r="D14" s="2240">
        <f>减免所得税优惠审核表!C14</f>
        <v>0</v>
      </c>
      <c r="E14" s="1836"/>
    </row>
    <row r="15" spans="1:10" s="1603" customFormat="1" ht="14.25" customHeight="1">
      <c r="A15" s="2239">
        <v>8.1</v>
      </c>
      <c r="B15" s="3961" t="s">
        <v>6879</v>
      </c>
      <c r="C15" s="3962"/>
      <c r="D15" s="2240">
        <f>减免所得税优惠审核表!C15</f>
        <v>0</v>
      </c>
      <c r="E15" s="1836"/>
    </row>
    <row r="16" spans="1:10" s="1603" customFormat="1" ht="14.25" customHeight="1">
      <c r="A16" s="2239">
        <v>8.1999999999999993</v>
      </c>
      <c r="B16" s="3961" t="s">
        <v>6878</v>
      </c>
      <c r="C16" s="3962"/>
      <c r="D16" s="2240">
        <f>减免所得税优惠审核表!C16</f>
        <v>0</v>
      </c>
      <c r="E16" s="1836"/>
    </row>
    <row r="17" spans="1:5" s="1603" customFormat="1" ht="14.25" customHeight="1">
      <c r="A17" s="2239">
        <v>8.3000000000000007</v>
      </c>
      <c r="B17" s="3961" t="s">
        <v>6877</v>
      </c>
      <c r="C17" s="3962"/>
      <c r="D17" s="2240">
        <f>减免所得税优惠审核表!C17</f>
        <v>0</v>
      </c>
      <c r="E17" s="1836"/>
    </row>
    <row r="18" spans="1:5" s="1603" customFormat="1" ht="14.25" customHeight="1">
      <c r="A18" s="2239">
        <v>9</v>
      </c>
      <c r="B18" s="3961" t="s">
        <v>6853</v>
      </c>
      <c r="C18" s="3962"/>
      <c r="D18" s="2240">
        <f>减免所得税优惠审核表!C18</f>
        <v>0</v>
      </c>
      <c r="E18" s="1836"/>
    </row>
    <row r="19" spans="1:5" s="1603" customFormat="1" ht="14.25" customHeight="1">
      <c r="A19" s="2239">
        <v>9.1</v>
      </c>
      <c r="B19" s="3961" t="s">
        <v>6881</v>
      </c>
      <c r="C19" s="3962"/>
      <c r="D19" s="2240">
        <f>减免所得税优惠审核表!C19</f>
        <v>0</v>
      </c>
      <c r="E19" s="1836"/>
    </row>
    <row r="20" spans="1:5" s="1603" customFormat="1" ht="14.25" customHeight="1">
      <c r="A20" s="2239">
        <v>9.1999999999999993</v>
      </c>
      <c r="B20" s="3961" t="s">
        <v>6878</v>
      </c>
      <c r="C20" s="3962"/>
      <c r="D20" s="2240">
        <f>减免所得税优惠审核表!C20</f>
        <v>0</v>
      </c>
      <c r="E20" s="1836"/>
    </row>
    <row r="21" spans="1:5" s="1603" customFormat="1" ht="14.25" customHeight="1">
      <c r="A21" s="2239">
        <v>9.3000000000000007</v>
      </c>
      <c r="B21" s="3961" t="s">
        <v>6877</v>
      </c>
      <c r="C21" s="3962"/>
      <c r="D21" s="2240">
        <f>减免所得税优惠审核表!C21</f>
        <v>0</v>
      </c>
      <c r="E21" s="1836"/>
    </row>
    <row r="22" spans="1:5" s="1603" customFormat="1" ht="14.25" customHeight="1">
      <c r="A22" s="2239">
        <v>10</v>
      </c>
      <c r="B22" s="3961" t="s">
        <v>6854</v>
      </c>
      <c r="C22" s="3962"/>
      <c r="D22" s="2240">
        <f>减免所得税优惠审核表!C22</f>
        <v>0</v>
      </c>
      <c r="E22" s="1836"/>
    </row>
    <row r="23" spans="1:5" s="1603" customFormat="1" ht="14.25" customHeight="1">
      <c r="A23" s="2239">
        <v>10.1</v>
      </c>
      <c r="B23" s="3961" t="s">
        <v>6882</v>
      </c>
      <c r="C23" s="3962"/>
      <c r="D23" s="2240">
        <f>减免所得税优惠审核表!C23</f>
        <v>0</v>
      </c>
      <c r="E23" s="1836"/>
    </row>
    <row r="24" spans="1:5" s="1603" customFormat="1" ht="14.25" customHeight="1">
      <c r="A24" s="2239">
        <v>10.199999999999999</v>
      </c>
      <c r="B24" s="3961" t="s">
        <v>6855</v>
      </c>
      <c r="C24" s="3962"/>
      <c r="D24" s="2240">
        <f>减免所得税优惠审核表!C24</f>
        <v>0</v>
      </c>
      <c r="E24" s="1836"/>
    </row>
    <row r="25" spans="1:5" s="1603" customFormat="1" ht="14.25" customHeight="1">
      <c r="A25" s="2239">
        <v>10.3</v>
      </c>
      <c r="B25" s="3961" t="s">
        <v>6856</v>
      </c>
      <c r="C25" s="3962"/>
      <c r="D25" s="2240">
        <f>减免所得税优惠审核表!C25</f>
        <v>0</v>
      </c>
      <c r="E25" s="1836"/>
    </row>
    <row r="26" spans="1:5" s="1603" customFormat="1" ht="14.25" customHeight="1">
      <c r="A26" s="2239">
        <v>11</v>
      </c>
      <c r="B26" s="3961" t="s">
        <v>6857</v>
      </c>
      <c r="C26" s="3962"/>
      <c r="D26" s="2240">
        <f>减免所得税优惠审核表!C26</f>
        <v>0</v>
      </c>
      <c r="E26" s="1836"/>
    </row>
    <row r="27" spans="1:5" s="1603" customFormat="1" ht="14.25" customHeight="1">
      <c r="A27" s="2239">
        <v>12</v>
      </c>
      <c r="B27" s="3961" t="s">
        <v>6858</v>
      </c>
      <c r="C27" s="3962"/>
      <c r="D27" s="2240">
        <f>减免所得税优惠审核表!C27</f>
        <v>0</v>
      </c>
      <c r="E27" s="1836"/>
    </row>
    <row r="28" spans="1:5" s="1603" customFormat="1" ht="14.25" customHeight="1">
      <c r="A28" s="2239">
        <v>13</v>
      </c>
      <c r="B28" s="3961" t="s">
        <v>6859</v>
      </c>
      <c r="C28" s="3962"/>
      <c r="D28" s="2240">
        <f>减免所得税优惠审核表!C28</f>
        <v>0</v>
      </c>
      <c r="E28" s="1836"/>
    </row>
    <row r="29" spans="1:5" s="1603" customFormat="1" ht="14.25" customHeight="1">
      <c r="A29" s="2239">
        <v>14</v>
      </c>
      <c r="B29" s="3961" t="s">
        <v>6860</v>
      </c>
      <c r="C29" s="3962"/>
      <c r="D29" s="2240">
        <f>减免所得税优惠审核表!C29</f>
        <v>0</v>
      </c>
      <c r="E29" s="1836"/>
    </row>
    <row r="30" spans="1:5" s="1603" customFormat="1" ht="14.25" customHeight="1">
      <c r="A30" s="2239">
        <v>14.1</v>
      </c>
      <c r="B30" s="3961" t="s">
        <v>6883</v>
      </c>
      <c r="C30" s="3962"/>
      <c r="D30" s="2240">
        <f>减免所得税优惠审核表!C30</f>
        <v>0</v>
      </c>
      <c r="E30" s="1836"/>
    </row>
    <row r="31" spans="1:5" s="1603" customFormat="1" ht="14.25" customHeight="1">
      <c r="A31" s="2239">
        <v>14.2</v>
      </c>
      <c r="B31" s="3961" t="s">
        <v>6884</v>
      </c>
      <c r="C31" s="3962"/>
      <c r="D31" s="2240">
        <f>减免所得税优惠审核表!C31</f>
        <v>0</v>
      </c>
      <c r="E31" s="1836"/>
    </row>
    <row r="32" spans="1:5" s="1603" customFormat="1" ht="14.25" customHeight="1">
      <c r="A32" s="2239">
        <v>15</v>
      </c>
      <c r="B32" s="3961" t="s">
        <v>6861</v>
      </c>
      <c r="C32" s="3962"/>
      <c r="D32" s="2240">
        <f>减免所得税优惠审核表!C32</f>
        <v>0</v>
      </c>
      <c r="E32" s="1836"/>
    </row>
    <row r="33" spans="1:6" s="1603" customFormat="1" ht="14.25" customHeight="1">
      <c r="A33" s="2239">
        <v>15.1</v>
      </c>
      <c r="B33" s="3961" t="s">
        <v>6885</v>
      </c>
      <c r="C33" s="3962"/>
      <c r="D33" s="2240">
        <f>减免所得税优惠审核表!C33</f>
        <v>0</v>
      </c>
      <c r="E33" s="1836"/>
    </row>
    <row r="34" spans="1:6" s="1603" customFormat="1" ht="14.25" customHeight="1">
      <c r="A34" s="2239">
        <v>15.2</v>
      </c>
      <c r="B34" s="3961" t="s">
        <v>6886</v>
      </c>
      <c r="C34" s="3962"/>
      <c r="D34" s="2240">
        <f>减免所得税优惠审核表!C34</f>
        <v>0</v>
      </c>
      <c r="E34" s="1836"/>
    </row>
    <row r="35" spans="1:6" s="1603" customFormat="1" ht="14.25" customHeight="1">
      <c r="A35" s="2239">
        <v>16</v>
      </c>
      <c r="B35" s="3961" t="s">
        <v>6862</v>
      </c>
      <c r="C35" s="3962"/>
      <c r="D35" s="2240">
        <f>减免所得税优惠审核表!C35</f>
        <v>0</v>
      </c>
      <c r="E35" s="1836"/>
    </row>
    <row r="36" spans="1:6" s="1603" customFormat="1" ht="14.25" customHeight="1">
      <c r="A36" s="2239">
        <v>17</v>
      </c>
      <c r="B36" s="3961" t="s">
        <v>6863</v>
      </c>
      <c r="C36" s="3962"/>
      <c r="D36" s="2240">
        <f>减免所得税优惠审核表!C36</f>
        <v>0</v>
      </c>
      <c r="E36" s="1836"/>
    </row>
    <row r="37" spans="1:6" s="1603" customFormat="1" ht="14.25" customHeight="1">
      <c r="A37" s="2239">
        <v>18</v>
      </c>
      <c r="B37" s="3961" t="s">
        <v>6864</v>
      </c>
      <c r="C37" s="3962"/>
      <c r="D37" s="2240">
        <f>减免所得税优惠审核表!C37</f>
        <v>0</v>
      </c>
      <c r="E37" s="1836"/>
    </row>
    <row r="38" spans="1:6" s="1603" customFormat="1" ht="14.25" customHeight="1">
      <c r="A38" s="2239">
        <v>19</v>
      </c>
      <c r="B38" s="3961" t="s">
        <v>6865</v>
      </c>
      <c r="C38" s="3962"/>
      <c r="D38" s="2240">
        <f>减免所得税优惠审核表!C38</f>
        <v>0</v>
      </c>
      <c r="E38" s="1836"/>
    </row>
    <row r="39" spans="1:6" s="1603" customFormat="1" ht="14.25" customHeight="1">
      <c r="A39" s="2239">
        <v>20</v>
      </c>
      <c r="B39" s="3961" t="s">
        <v>6866</v>
      </c>
      <c r="C39" s="3962"/>
      <c r="D39" s="2240">
        <f>减免所得税优惠审核表!C39</f>
        <v>0</v>
      </c>
      <c r="E39" s="1836"/>
    </row>
    <row r="40" spans="1:6" s="1603" customFormat="1" ht="14.25" customHeight="1">
      <c r="A40" s="2239">
        <v>21</v>
      </c>
      <c r="B40" s="3961" t="s">
        <v>6867</v>
      </c>
      <c r="C40" s="3962"/>
      <c r="D40" s="2240">
        <f>减免所得税优惠审核表!C40</f>
        <v>0</v>
      </c>
      <c r="E40" s="1836"/>
    </row>
    <row r="41" spans="1:6" s="1603" customFormat="1" ht="14.25" customHeight="1">
      <c r="A41" s="2239">
        <v>22</v>
      </c>
      <c r="B41" s="3961" t="s">
        <v>6868</v>
      </c>
      <c r="C41" s="3962"/>
      <c r="D41" s="2240">
        <f>减免所得税优惠审核表!C41</f>
        <v>0</v>
      </c>
      <c r="E41" s="1836"/>
    </row>
    <row r="42" spans="1:6" s="1603" customFormat="1" ht="14.25" customHeight="1">
      <c r="A42" s="2239">
        <v>23</v>
      </c>
      <c r="B42" s="3961" t="s">
        <v>6869</v>
      </c>
      <c r="C42" s="3962"/>
      <c r="D42" s="2240">
        <f>减免所得税优惠审核表!C42</f>
        <v>0</v>
      </c>
      <c r="E42" s="1836"/>
    </row>
    <row r="43" spans="1:6" s="1603" customFormat="1" ht="14.25" customHeight="1">
      <c r="A43" s="2239">
        <v>24</v>
      </c>
      <c r="B43" s="3961" t="s">
        <v>5668</v>
      </c>
      <c r="C43" s="3962"/>
      <c r="D43" s="2240">
        <f>减免所得税优惠审核表!C43</f>
        <v>0</v>
      </c>
      <c r="E43" s="1836"/>
    </row>
    <row r="44" spans="1:6" s="1603" customFormat="1" ht="14.25" customHeight="1">
      <c r="A44" s="2239">
        <v>25</v>
      </c>
      <c r="B44" s="3961" t="s">
        <v>6870</v>
      </c>
      <c r="C44" s="3962"/>
      <c r="D44" s="2240">
        <f>减免所得税优惠审核表!C44</f>
        <v>0</v>
      </c>
      <c r="E44" s="1836"/>
      <c r="F44" s="1613"/>
    </row>
    <row r="45" spans="1:6" s="1603" customFormat="1" ht="14.25" customHeight="1">
      <c r="A45" s="2239">
        <v>26</v>
      </c>
      <c r="B45" s="3961" t="s">
        <v>6871</v>
      </c>
      <c r="C45" s="3962"/>
      <c r="D45" s="2240">
        <f>减免所得税优惠审核表!C45</f>
        <v>0</v>
      </c>
      <c r="E45" s="1836"/>
    </row>
    <row r="46" spans="1:6" s="1603" customFormat="1" ht="14.25" customHeight="1">
      <c r="A46" s="2239">
        <v>27</v>
      </c>
      <c r="B46" s="3961" t="s">
        <v>6872</v>
      </c>
      <c r="C46" s="3962"/>
      <c r="D46" s="2240">
        <f>减免所得税优惠审核表!C46</f>
        <v>0</v>
      </c>
      <c r="E46" s="1836"/>
    </row>
    <row r="47" spans="1:6" s="1603" customFormat="1" ht="14.25" customHeight="1">
      <c r="A47" s="2239">
        <v>28</v>
      </c>
      <c r="B47" s="3961" t="s">
        <v>6873</v>
      </c>
      <c r="C47" s="3962"/>
      <c r="D47" s="2240">
        <f>减免所得税优惠审核表!C47</f>
        <v>0</v>
      </c>
      <c r="E47" s="1836"/>
    </row>
    <row r="48" spans="1:6" s="1603" customFormat="1" ht="14.25" customHeight="1">
      <c r="A48" s="2239">
        <v>29</v>
      </c>
      <c r="B48" s="3961" t="s">
        <v>6887</v>
      </c>
      <c r="C48" s="3962"/>
      <c r="D48" s="2240">
        <f>减免所得税优惠审核表!C48</f>
        <v>0</v>
      </c>
      <c r="E48" s="1836"/>
    </row>
    <row r="49" spans="1:5" s="1603" customFormat="1" ht="14.25" customHeight="1">
      <c r="A49" s="2239">
        <v>30</v>
      </c>
      <c r="B49" s="3961" t="s">
        <v>6888</v>
      </c>
      <c r="C49" s="3962"/>
      <c r="D49" s="2240">
        <f>减免所得税优惠审核表!C49</f>
        <v>0</v>
      </c>
      <c r="E49" s="1836"/>
    </row>
    <row r="50" spans="1:5" s="1603" customFormat="1" ht="14.25" customHeight="1">
      <c r="A50" s="2239">
        <v>31</v>
      </c>
      <c r="B50" s="3961" t="s">
        <v>6889</v>
      </c>
      <c r="C50" s="3962"/>
      <c r="D50" s="2240">
        <f>减免所得税优惠审核表!C50</f>
        <v>0</v>
      </c>
      <c r="E50" s="1836"/>
    </row>
    <row r="51" spans="1:5" s="1603" customFormat="1" ht="14.25" customHeight="1">
      <c r="A51" s="2239">
        <v>32</v>
      </c>
      <c r="B51" s="3961" t="s">
        <v>6874</v>
      </c>
      <c r="C51" s="3962"/>
      <c r="D51" s="2240">
        <f>减免所得税优惠审核表!C51</f>
        <v>0</v>
      </c>
      <c r="E51" s="1836"/>
    </row>
    <row r="52" spans="1:5" s="1603" customFormat="1" ht="14.25" customHeight="1">
      <c r="A52" s="2239">
        <v>33</v>
      </c>
      <c r="B52" s="3961" t="s">
        <v>6875</v>
      </c>
      <c r="C52" s="3962"/>
      <c r="D52" s="2240">
        <f>减免所得税优惠审核表!C52</f>
        <v>0</v>
      </c>
      <c r="E52" s="1836"/>
    </row>
    <row r="53" spans="1:5" s="1603" customFormat="1" ht="14.25" customHeight="1">
      <c r="A53" s="2239">
        <v>34</v>
      </c>
      <c r="B53" s="3961" t="s">
        <v>6876</v>
      </c>
      <c r="C53" s="3962"/>
      <c r="D53" s="2240">
        <f>减免所得税优惠审核表!C53</f>
        <v>0</v>
      </c>
      <c r="E53" s="2291" t="s">
        <v>6891</v>
      </c>
    </row>
  </sheetData>
  <mergeCells count="53">
    <mergeCell ref="B51:C51"/>
    <mergeCell ref="B52:C52"/>
    <mergeCell ref="B53:C53"/>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E1"/>
    <mergeCell ref="A2:E2"/>
    <mergeCell ref="B3:C3"/>
    <mergeCell ref="B4:C4"/>
    <mergeCell ref="B5:C5"/>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984375" defaultRowHeight="15.6"/>
  <cols>
    <col min="1" max="1" width="5.19921875" style="1614" customWidth="1"/>
    <col min="2" max="2" width="5.19921875" style="1532" customWidth="1"/>
    <col min="3" max="3" width="50.3984375" style="1532" customWidth="1"/>
    <col min="4"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2" t="s">
        <v>5669</v>
      </c>
      <c r="B1" s="3462"/>
      <c r="C1" s="3462"/>
      <c r="D1" s="3462"/>
      <c r="E1" s="1937"/>
    </row>
    <row r="2" spans="1:9" ht="25.5" customHeight="1">
      <c r="A2" s="3401" t="s">
        <v>5670</v>
      </c>
      <c r="B2" s="3401"/>
      <c r="C2" s="3401"/>
      <c r="D2" s="3401"/>
      <c r="E2" s="1854"/>
    </row>
    <row r="3" spans="1:9" ht="14.25" customHeight="1">
      <c r="A3" s="1829" t="s">
        <v>5671</v>
      </c>
      <c r="B3" s="3407" t="s">
        <v>5672</v>
      </c>
      <c r="C3" s="3407"/>
      <c r="D3" s="3407"/>
      <c r="E3" s="1846" t="s">
        <v>4899</v>
      </c>
      <c r="F3" s="1537"/>
      <c r="G3" s="1565"/>
      <c r="H3" s="1537"/>
      <c r="I3" s="1537"/>
    </row>
    <row r="4" spans="1:9" ht="15" customHeight="1">
      <c r="A4" s="1847">
        <v>1</v>
      </c>
      <c r="B4" s="3405" t="s">
        <v>5672</v>
      </c>
      <c r="C4" s="1882" t="s">
        <v>5673</v>
      </c>
      <c r="D4" s="2088">
        <f>高新技术企业优惠情况审核表!D4</f>
        <v>0</v>
      </c>
      <c r="E4" s="1986"/>
    </row>
    <row r="5" spans="1:9" ht="19.5" customHeight="1">
      <c r="A5" s="1847"/>
      <c r="B5" s="3409"/>
      <c r="C5" s="1882" t="s">
        <v>5674</v>
      </c>
      <c r="D5" s="2088" t="str">
        <f>IF(高新技术企业优惠情况审核表!D5="","",TEXT(高新技术企业优惠情况审核表!D5,"yyyy-mm-dd"))</f>
        <v/>
      </c>
      <c r="E5" s="1955"/>
    </row>
    <row r="6" spans="1:9" ht="27" customHeight="1">
      <c r="A6" s="1847" t="s">
        <v>7664</v>
      </c>
      <c r="B6" s="3409"/>
      <c r="C6" s="1883" t="s">
        <v>5675</v>
      </c>
      <c r="D6" s="2088">
        <f>高新技术企业优惠情况审核表!D6</f>
        <v>0</v>
      </c>
      <c r="E6" s="1955"/>
    </row>
    <row r="7" spans="1:9" ht="18" customHeight="1">
      <c r="A7" s="1847"/>
      <c r="B7" s="3409"/>
      <c r="C7" s="1882" t="s">
        <v>5676</v>
      </c>
      <c r="D7" s="2088">
        <f>高新技术企业优惠情况审核表!D7</f>
        <v>0</v>
      </c>
      <c r="E7" s="1955"/>
    </row>
    <row r="8" spans="1:9" ht="18.75" customHeight="1">
      <c r="A8" s="1847" t="s">
        <v>7665</v>
      </c>
      <c r="B8" s="3409"/>
      <c r="C8" s="1882" t="s">
        <v>5677</v>
      </c>
      <c r="D8" s="2088">
        <f>高新技术企业优惠情况审核表!D8</f>
        <v>0</v>
      </c>
      <c r="E8" s="1955"/>
    </row>
    <row r="9" spans="1:9" ht="18" customHeight="1">
      <c r="A9" s="1847" t="s">
        <v>7666</v>
      </c>
      <c r="B9" s="3406"/>
      <c r="C9" s="1884" t="s">
        <v>5678</v>
      </c>
      <c r="D9" s="2088">
        <f>高新技术企业优惠情况审核表!D9</f>
        <v>0</v>
      </c>
      <c r="E9" s="1955"/>
    </row>
    <row r="10" spans="1:9" ht="14.25" customHeight="1">
      <c r="A10" s="1847" t="s">
        <v>7667</v>
      </c>
      <c r="B10" s="3407" t="s">
        <v>5679</v>
      </c>
      <c r="C10" s="1885" t="s">
        <v>5680</v>
      </c>
      <c r="D10" s="2073">
        <f>高新技术企业优惠情况审核表!D10</f>
        <v>0</v>
      </c>
      <c r="E10" s="1941"/>
    </row>
    <row r="11" spans="1:9" ht="14.25" customHeight="1">
      <c r="A11" s="2555" t="s">
        <v>7668</v>
      </c>
      <c r="B11" s="3407"/>
      <c r="C11" s="1885" t="s">
        <v>5681</v>
      </c>
      <c r="D11" s="2073">
        <f>高新技术企业优惠情况审核表!D11</f>
        <v>0</v>
      </c>
      <c r="E11" s="1941"/>
    </row>
    <row r="12" spans="1:9" ht="14.25" customHeight="1">
      <c r="A12" s="2555" t="s">
        <v>7669</v>
      </c>
      <c r="B12" s="3407"/>
      <c r="C12" s="1885" t="s">
        <v>5682</v>
      </c>
      <c r="D12" s="2073">
        <f>高新技术企业优惠情况审核表!D12</f>
        <v>0</v>
      </c>
      <c r="E12" s="1941"/>
    </row>
    <row r="13" spans="1:9" ht="14.25" customHeight="1">
      <c r="A13" s="2555" t="s">
        <v>7670</v>
      </c>
      <c r="B13" s="3407"/>
      <c r="C13" s="1885" t="s">
        <v>5683</v>
      </c>
      <c r="D13" s="2073">
        <f>高新技术企业优惠情况审核表!D13</f>
        <v>0</v>
      </c>
      <c r="E13" s="1941"/>
      <c r="F13" s="1675" t="s">
        <v>6471</v>
      </c>
    </row>
    <row r="14" spans="1:9" ht="23.25" customHeight="1">
      <c r="A14" s="2555" t="s">
        <v>7671</v>
      </c>
      <c r="B14" s="3407"/>
      <c r="C14" s="1886" t="s">
        <v>5684</v>
      </c>
      <c r="D14" s="2073">
        <f>高新技术企业优惠情况审核表!D14</f>
        <v>0</v>
      </c>
      <c r="E14" s="1941"/>
    </row>
    <row r="15" spans="1:9" ht="14.25" customHeight="1">
      <c r="A15" s="2555" t="s">
        <v>6265</v>
      </c>
      <c r="B15" s="3407" t="s">
        <v>5685</v>
      </c>
      <c r="C15" s="1887" t="s">
        <v>5686</v>
      </c>
      <c r="D15" s="2073">
        <f>高新技术企业优惠情况审核表!D15</f>
        <v>0</v>
      </c>
      <c r="E15" s="1941"/>
    </row>
    <row r="16" spans="1:9" ht="14.25" customHeight="1">
      <c r="A16" s="2555" t="s">
        <v>6266</v>
      </c>
      <c r="B16" s="3407"/>
      <c r="C16" s="1887" t="s">
        <v>5687</v>
      </c>
      <c r="D16" s="2073">
        <f>高新技术企业优惠情况审核表!D16</f>
        <v>0</v>
      </c>
      <c r="E16" s="1941"/>
    </row>
    <row r="17" spans="1:5" ht="14.25" customHeight="1">
      <c r="A17" s="2555" t="s">
        <v>6267</v>
      </c>
      <c r="B17" s="3407"/>
      <c r="C17" s="1885" t="s">
        <v>5688</v>
      </c>
      <c r="D17" s="2073">
        <f>高新技术企业优惠情况审核表!D17</f>
        <v>0</v>
      </c>
      <c r="E17" s="1941"/>
    </row>
    <row r="18" spans="1:5" ht="24" customHeight="1">
      <c r="A18" s="2555" t="s">
        <v>6268</v>
      </c>
      <c r="B18" s="3407"/>
      <c r="C18" s="1886" t="s">
        <v>5689</v>
      </c>
      <c r="D18" s="2073">
        <f>高新技术企业优惠情况审核表!D18</f>
        <v>0</v>
      </c>
      <c r="E18" s="1986"/>
    </row>
    <row r="19" spans="1:5" ht="14.25" customHeight="1">
      <c r="A19" s="2555" t="s">
        <v>6269</v>
      </c>
      <c r="B19" s="3407"/>
      <c r="C19" s="1888" t="s">
        <v>5690</v>
      </c>
      <c r="D19" s="2073">
        <f>高新技术企业优惠情况审核表!D19</f>
        <v>0</v>
      </c>
      <c r="E19" s="1941"/>
    </row>
    <row r="20" spans="1:5" ht="14.25" customHeight="1">
      <c r="A20" s="2555" t="s">
        <v>6270</v>
      </c>
      <c r="B20" s="3407" t="s">
        <v>5691</v>
      </c>
      <c r="C20" s="1887" t="s">
        <v>5692</v>
      </c>
      <c r="D20" s="2073">
        <f>高新技术企业优惠情况审核表!D20</f>
        <v>0</v>
      </c>
      <c r="E20" s="1941"/>
    </row>
    <row r="21" spans="1:5" ht="14.25" customHeight="1">
      <c r="A21" s="2555" t="s">
        <v>6271</v>
      </c>
      <c r="B21" s="3407"/>
      <c r="C21" s="1889" t="s">
        <v>6406</v>
      </c>
      <c r="D21" s="2073">
        <f>高新技术企业优惠情况审核表!D21</f>
        <v>0</v>
      </c>
      <c r="E21" s="1941"/>
    </row>
    <row r="22" spans="1:5" ht="14.25" customHeight="1">
      <c r="A22" s="2555" t="s">
        <v>6272</v>
      </c>
      <c r="B22" s="3407"/>
      <c r="C22" s="1889" t="s">
        <v>5694</v>
      </c>
      <c r="D22" s="2073">
        <f>高新技术企业优惠情况审核表!D22</f>
        <v>0</v>
      </c>
      <c r="E22" s="1941"/>
    </row>
    <row r="23" spans="1:5" ht="14.25" customHeight="1">
      <c r="A23" s="2555" t="s">
        <v>6273</v>
      </c>
      <c r="B23" s="3407"/>
      <c r="C23" s="1889" t="s">
        <v>5695</v>
      </c>
      <c r="D23" s="2073">
        <f>高新技术企业优惠情况审核表!D23</f>
        <v>0</v>
      </c>
      <c r="E23" s="1941"/>
    </row>
    <row r="24" spans="1:5" ht="14.25" customHeight="1">
      <c r="A24" s="2555" t="s">
        <v>6274</v>
      </c>
      <c r="B24" s="3407"/>
      <c r="C24" s="1889" t="s">
        <v>5696</v>
      </c>
      <c r="D24" s="2073">
        <f>高新技术企业优惠情况审核表!D24</f>
        <v>0</v>
      </c>
      <c r="E24" s="1941"/>
    </row>
    <row r="25" spans="1:5" ht="14.25" customHeight="1">
      <c r="A25" s="2555" t="s">
        <v>6275</v>
      </c>
      <c r="B25" s="3407"/>
      <c r="C25" s="1889" t="s">
        <v>5697</v>
      </c>
      <c r="D25" s="2073">
        <f>高新技术企业优惠情况审核表!D25</f>
        <v>0</v>
      </c>
      <c r="E25" s="1941"/>
    </row>
    <row r="26" spans="1:5" ht="14.25" customHeight="1">
      <c r="A26" s="2555" t="s">
        <v>6276</v>
      </c>
      <c r="B26" s="3407"/>
      <c r="C26" s="1889" t="s">
        <v>5698</v>
      </c>
      <c r="D26" s="2073">
        <f>高新技术企业优惠情况审核表!D26</f>
        <v>0</v>
      </c>
      <c r="E26" s="1941"/>
    </row>
    <row r="27" spans="1:5" ht="14.25" customHeight="1">
      <c r="A27" s="2555" t="s">
        <v>7672</v>
      </c>
      <c r="B27" s="3407"/>
      <c r="C27" s="1889" t="s">
        <v>5699</v>
      </c>
      <c r="D27" s="2073">
        <f>高新技术企业优惠情况审核表!D27</f>
        <v>0</v>
      </c>
      <c r="E27" s="1941"/>
    </row>
    <row r="28" spans="1:5" ht="14.25" customHeight="1">
      <c r="A28" s="2555" t="s">
        <v>7673</v>
      </c>
      <c r="B28" s="3407"/>
      <c r="C28" s="1889" t="s">
        <v>5700</v>
      </c>
      <c r="D28" s="2073">
        <f>高新技术企业优惠情况审核表!D28</f>
        <v>0</v>
      </c>
      <c r="E28" s="1941"/>
    </row>
    <row r="29" spans="1:5" ht="14.25" customHeight="1">
      <c r="A29" s="2555" t="s">
        <v>7674</v>
      </c>
      <c r="B29" s="3407"/>
      <c r="C29" s="1889" t="s">
        <v>5701</v>
      </c>
      <c r="D29" s="2073">
        <f>高新技术企业优惠情况审核表!D29</f>
        <v>0</v>
      </c>
      <c r="E29" s="1941"/>
    </row>
    <row r="30" spans="1:5" ht="14.25" customHeight="1">
      <c r="A30" s="2555" t="s">
        <v>7675</v>
      </c>
      <c r="B30" s="3407"/>
      <c r="C30" s="1889" t="s">
        <v>5702</v>
      </c>
      <c r="D30" s="2073">
        <f>高新技术企业优惠情况审核表!D30</f>
        <v>0</v>
      </c>
      <c r="E30" s="1941"/>
    </row>
    <row r="31" spans="1:5" ht="14.25" customHeight="1">
      <c r="A31" s="2555" t="s">
        <v>7676</v>
      </c>
      <c r="B31" s="3407"/>
      <c r="C31" s="1889" t="s">
        <v>5703</v>
      </c>
      <c r="D31" s="2073">
        <f>高新技术企业优惠情况审核表!D31</f>
        <v>0</v>
      </c>
      <c r="E31" s="1941"/>
    </row>
    <row r="32" spans="1:5" ht="14.25" customHeight="1">
      <c r="A32" s="2555" t="s">
        <v>7677</v>
      </c>
      <c r="B32" s="3407"/>
      <c r="C32" s="1889" t="s">
        <v>5704</v>
      </c>
      <c r="D32" s="2073">
        <f>高新技术企业优惠情况审核表!D32</f>
        <v>0</v>
      </c>
      <c r="E32" s="1941"/>
    </row>
    <row r="33" spans="1:5" ht="14.25" customHeight="1">
      <c r="A33" s="2555" t="s">
        <v>7678</v>
      </c>
      <c r="B33" s="3407"/>
      <c r="C33" s="1889" t="s">
        <v>5705</v>
      </c>
      <c r="D33" s="2073">
        <f>高新技术企业优惠情况审核表!D33</f>
        <v>0</v>
      </c>
      <c r="E33" s="1941"/>
    </row>
    <row r="34" spans="1:5">
      <c r="A34" s="2556" t="s">
        <v>7679</v>
      </c>
      <c r="B34" s="3485" t="s">
        <v>5706</v>
      </c>
      <c r="C34" s="3486"/>
      <c r="D34" s="2072">
        <f>高新技术企业优惠情况审核表!D34</f>
        <v>0</v>
      </c>
      <c r="E34" s="1829" t="s">
        <v>6890</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3963" t="s">
        <v>5708</v>
      </c>
      <c r="B1" s="3963"/>
      <c r="C1" s="3963"/>
      <c r="D1" s="3963"/>
      <c r="E1" s="3963"/>
      <c r="F1" s="1937"/>
    </row>
    <row r="2" spans="1:12" ht="25.5" customHeight="1">
      <c r="A2" s="1937"/>
      <c r="B2" s="3401" t="s">
        <v>5709</v>
      </c>
      <c r="C2" s="3401"/>
      <c r="D2" s="3401"/>
      <c r="E2" s="3401"/>
      <c r="F2" s="1854"/>
    </row>
    <row r="3" spans="1:12" ht="14.25" customHeight="1">
      <c r="A3" s="1941"/>
      <c r="B3" s="1846" t="s">
        <v>5710</v>
      </c>
      <c r="C3" s="3407" t="s">
        <v>5711</v>
      </c>
      <c r="D3" s="3407"/>
      <c r="E3" s="3407"/>
      <c r="F3" s="1846" t="s">
        <v>5712</v>
      </c>
      <c r="G3" s="1614"/>
    </row>
    <row r="4" spans="1:12" ht="14.25" customHeight="1">
      <c r="A4" s="3487" t="s">
        <v>5713</v>
      </c>
      <c r="B4" s="1846">
        <v>1</v>
      </c>
      <c r="C4" s="3489" t="s">
        <v>5714</v>
      </c>
      <c r="D4" s="1938" t="s">
        <v>5715</v>
      </c>
      <c r="E4" s="2089">
        <f>软件、集成电路企业优惠情况审核表!E4</f>
        <v>0</v>
      </c>
      <c r="F4" s="1941"/>
    </row>
    <row r="5" spans="1:12" ht="14.25" customHeight="1">
      <c r="A5" s="3488"/>
      <c r="B5" s="1846">
        <v>2</v>
      </c>
      <c r="C5" s="3490"/>
      <c r="D5" s="1940" t="s">
        <v>5716</v>
      </c>
      <c r="E5" s="2089">
        <f>软件、集成电路企业优惠情况审核表!E5</f>
        <v>0</v>
      </c>
      <c r="F5" s="1941"/>
    </row>
    <row r="6" spans="1:12" ht="14.25" customHeight="1">
      <c r="A6" s="3488"/>
      <c r="B6" s="1846">
        <v>3</v>
      </c>
      <c r="C6" s="3490"/>
      <c r="D6" s="1938" t="s">
        <v>5717</v>
      </c>
      <c r="E6" s="2089">
        <f>软件、集成电路企业优惠情况审核表!E6</f>
        <v>0</v>
      </c>
      <c r="F6" s="1941"/>
    </row>
    <row r="7" spans="1:12" ht="14.25" customHeight="1">
      <c r="A7" s="3488"/>
      <c r="B7" s="1846">
        <v>4</v>
      </c>
      <c r="C7" s="3490"/>
      <c r="D7" s="1938" t="s">
        <v>5718</v>
      </c>
      <c r="E7" s="2089">
        <f>软件、集成电路企业优惠情况审核表!E7</f>
        <v>0</v>
      </c>
      <c r="F7" s="1941"/>
    </row>
    <row r="8" spans="1:12" ht="14.25" customHeight="1">
      <c r="A8" s="3488"/>
      <c r="B8" s="1846">
        <v>5</v>
      </c>
      <c r="C8" s="3490"/>
      <c r="D8" s="1940" t="s">
        <v>5719</v>
      </c>
      <c r="E8" s="2089">
        <f>软件、集成电路企业优惠情况审核表!E8</f>
        <v>0</v>
      </c>
      <c r="F8" s="1960"/>
      <c r="L8" s="1615"/>
    </row>
    <row r="9" spans="1:12" ht="14.25" customHeight="1">
      <c r="A9" s="3488"/>
      <c r="B9" s="1846">
        <v>6</v>
      </c>
      <c r="C9" s="3490"/>
      <c r="D9" s="1938" t="s">
        <v>5720</v>
      </c>
      <c r="E9" s="2089">
        <f>软件、集成电路企业优惠情况审核表!E9</f>
        <v>0</v>
      </c>
      <c r="F9" s="1960"/>
      <c r="L9" s="1615"/>
    </row>
    <row r="10" spans="1:12" ht="14.25" customHeight="1">
      <c r="A10" s="3488"/>
      <c r="B10" s="1846">
        <v>7</v>
      </c>
      <c r="C10" s="3491"/>
      <c r="D10" s="1938" t="s">
        <v>5721</v>
      </c>
      <c r="E10" s="2089">
        <f>软件、集成电路企业优惠情况审核表!E10</f>
        <v>0</v>
      </c>
      <c r="F10" s="1941"/>
    </row>
    <row r="11" spans="1:12" ht="14.25" customHeight="1">
      <c r="A11" s="3487" t="s">
        <v>5722</v>
      </c>
      <c r="B11" s="1846">
        <v>8</v>
      </c>
      <c r="C11" s="3407" t="s">
        <v>5723</v>
      </c>
      <c r="D11" s="1942" t="s">
        <v>5724</v>
      </c>
      <c r="E11" s="2072">
        <f>软件、集成电路企业优惠情况审核表!E11</f>
        <v>0</v>
      </c>
      <c r="F11" s="1941"/>
    </row>
    <row r="12" spans="1:12" ht="14.25" customHeight="1">
      <c r="A12" s="3488"/>
      <c r="B12" s="1846">
        <v>9</v>
      </c>
      <c r="C12" s="3407"/>
      <c r="D12" s="1942" t="s">
        <v>5725</v>
      </c>
      <c r="E12" s="2072">
        <f>软件、集成电路企业优惠情况审核表!E12</f>
        <v>0</v>
      </c>
      <c r="F12" s="1941"/>
    </row>
    <row r="13" spans="1:12" ht="14.25" customHeight="1">
      <c r="A13" s="3488"/>
      <c r="B13" s="1846">
        <v>10</v>
      </c>
      <c r="C13" s="3407"/>
      <c r="D13" s="1942" t="s">
        <v>5726</v>
      </c>
      <c r="E13" s="2072">
        <f>软件、集成电路企业优惠情况审核表!E13</f>
        <v>0</v>
      </c>
      <c r="F13" s="1941"/>
    </row>
    <row r="14" spans="1:12" ht="22.5" customHeight="1">
      <c r="A14" s="3488"/>
      <c r="B14" s="1846">
        <v>11</v>
      </c>
      <c r="C14" s="3407"/>
      <c r="D14" s="1942" t="s">
        <v>5727</v>
      </c>
      <c r="E14" s="2072">
        <f>软件、集成电路企业优惠情况审核表!E14</f>
        <v>0</v>
      </c>
      <c r="F14" s="1986"/>
    </row>
    <row r="15" spans="1:12" ht="14.25" customHeight="1">
      <c r="A15" s="3488"/>
      <c r="B15" s="1846">
        <v>12</v>
      </c>
      <c r="C15" s="3407"/>
      <c r="D15" s="1942" t="s">
        <v>5728</v>
      </c>
      <c r="E15" s="2072">
        <f>软件、集成电路企业优惠情况审核表!E15</f>
        <v>0</v>
      </c>
      <c r="F15" s="1941"/>
    </row>
    <row r="16" spans="1:12" ht="14.25" customHeight="1">
      <c r="A16" s="3488"/>
      <c r="B16" s="1846">
        <v>13</v>
      </c>
      <c r="C16" s="3407" t="s">
        <v>5729</v>
      </c>
      <c r="D16" s="1942" t="s">
        <v>5730</v>
      </c>
      <c r="E16" s="2072">
        <f>软件、集成电路企业优惠情况审核表!E16</f>
        <v>0</v>
      </c>
      <c r="F16" s="1941"/>
      <c r="G16" s="1675" t="s">
        <v>6473</v>
      </c>
    </row>
    <row r="17" spans="1:6" ht="14.25" customHeight="1">
      <c r="A17" s="3488"/>
      <c r="B17" s="1846">
        <v>14</v>
      </c>
      <c r="C17" s="3407"/>
      <c r="D17" s="1942" t="s">
        <v>5731</v>
      </c>
      <c r="E17" s="2072">
        <f>软件、集成电路企业优惠情况审核表!E17</f>
        <v>0</v>
      </c>
      <c r="F17" s="1941"/>
    </row>
    <row r="18" spans="1:6" ht="14.25" customHeight="1">
      <c r="A18" s="3488"/>
      <c r="B18" s="1846">
        <v>15</v>
      </c>
      <c r="C18" s="3407"/>
      <c r="D18" s="1942" t="s">
        <v>5732</v>
      </c>
      <c r="E18" s="2072">
        <f>软件、集成电路企业优惠情况审核表!E18</f>
        <v>0</v>
      </c>
      <c r="F18" s="1941"/>
    </row>
    <row r="19" spans="1:6" ht="14.25" customHeight="1">
      <c r="A19" s="3488"/>
      <c r="B19" s="1846">
        <v>16</v>
      </c>
      <c r="C19" s="3407"/>
      <c r="D19" s="1942" t="s">
        <v>5733</v>
      </c>
      <c r="E19" s="2072">
        <f>软件、集成电路企业优惠情况审核表!E19</f>
        <v>0</v>
      </c>
      <c r="F19" s="1941"/>
    </row>
    <row r="20" spans="1:6" ht="14.25" customHeight="1">
      <c r="A20" s="3488"/>
      <c r="B20" s="1846">
        <v>17</v>
      </c>
      <c r="C20" s="3407"/>
      <c r="D20" s="1942" t="s">
        <v>5734</v>
      </c>
      <c r="E20" s="2072">
        <f>软件、集成电路企业优惠情况审核表!E20</f>
        <v>0</v>
      </c>
      <c r="F20" s="1941"/>
    </row>
    <row r="21" spans="1:6" ht="15.75" customHeight="1">
      <c r="A21" s="3488"/>
      <c r="B21" s="1846">
        <v>18</v>
      </c>
      <c r="C21" s="3407"/>
      <c r="D21" s="1942" t="s">
        <v>5735</v>
      </c>
      <c r="E21" s="2072">
        <f>软件、集成电路企业优惠情况审核表!E21</f>
        <v>0</v>
      </c>
      <c r="F21" s="1954"/>
    </row>
    <row r="22" spans="1:6" ht="14.25" customHeight="1">
      <c r="A22" s="3488"/>
      <c r="B22" s="1846">
        <v>19</v>
      </c>
      <c r="C22" s="3407"/>
      <c r="D22" s="1942" t="s">
        <v>5736</v>
      </c>
      <c r="E22" s="2072">
        <f>软件、集成电路企业优惠情况审核表!E22</f>
        <v>0</v>
      </c>
      <c r="F22" s="1954"/>
    </row>
    <row r="23" spans="1:6" ht="14.25" customHeight="1">
      <c r="A23" s="3488"/>
      <c r="B23" s="1846">
        <v>20</v>
      </c>
      <c r="C23" s="3407"/>
      <c r="D23" s="1942" t="s">
        <v>5737</v>
      </c>
      <c r="E23" s="2072">
        <f>软件、集成电路企业优惠情况审核表!E23</f>
        <v>0</v>
      </c>
      <c r="F23" s="1941"/>
    </row>
    <row r="24" spans="1:6" ht="14.25" customHeight="1">
      <c r="A24" s="3488"/>
      <c r="B24" s="1846">
        <v>21</v>
      </c>
      <c r="C24" s="3407"/>
      <c r="D24" s="1942" t="s">
        <v>5738</v>
      </c>
      <c r="E24" s="2072">
        <f>软件、集成电路企业优惠情况审核表!E24</f>
        <v>0</v>
      </c>
      <c r="F24" s="1941"/>
    </row>
    <row r="25" spans="1:6" ht="14.25" customHeight="1">
      <c r="A25" s="3488"/>
      <c r="B25" s="1846">
        <v>22</v>
      </c>
      <c r="C25" s="3407"/>
      <c r="D25" s="1942" t="s">
        <v>5739</v>
      </c>
      <c r="E25" s="2072">
        <f>软件、集成电路企业优惠情况审核表!E25</f>
        <v>0</v>
      </c>
      <c r="F25" s="1941"/>
    </row>
    <row r="26" spans="1:6" ht="14.25" customHeight="1">
      <c r="A26" s="3488"/>
      <c r="B26" s="1846">
        <v>23</v>
      </c>
      <c r="C26" s="3407"/>
      <c r="D26" s="1942" t="s">
        <v>5740</v>
      </c>
      <c r="E26" s="2072">
        <f>软件、集成电路企业优惠情况审核表!E26</f>
        <v>0</v>
      </c>
      <c r="F26" s="1954"/>
    </row>
    <row r="27" spans="1:6" ht="18" customHeight="1">
      <c r="A27" s="3488"/>
      <c r="B27" s="1846">
        <v>24</v>
      </c>
      <c r="C27" s="3407"/>
      <c r="D27" s="1942" t="s">
        <v>5741</v>
      </c>
      <c r="E27" s="2072">
        <f>软件、集成电路企业优惠情况审核表!E27</f>
        <v>0</v>
      </c>
      <c r="F27" s="1954"/>
    </row>
    <row r="28" spans="1:6" ht="14.25" customHeight="1">
      <c r="A28" s="3488"/>
      <c r="B28" s="1846">
        <v>25</v>
      </c>
      <c r="C28" s="3407"/>
      <c r="D28" s="1942" t="s">
        <v>5742</v>
      </c>
      <c r="E28" s="2072">
        <f>软件、集成电路企业优惠情况审核表!E28</f>
        <v>0</v>
      </c>
      <c r="F28" s="1954"/>
    </row>
    <row r="29" spans="1:6" ht="19.5" customHeight="1">
      <c r="A29" s="3488"/>
      <c r="B29" s="1846">
        <v>26</v>
      </c>
      <c r="C29" s="3407"/>
      <c r="D29" s="1942" t="s">
        <v>5743</v>
      </c>
      <c r="E29" s="2072">
        <f>软件、集成电路企业优惠情况审核表!E29</f>
        <v>0</v>
      </c>
      <c r="F29" s="1954"/>
    </row>
    <row r="30" spans="1:6" ht="14.25" customHeight="1">
      <c r="A30" s="3488"/>
      <c r="B30" s="1846">
        <v>27</v>
      </c>
      <c r="C30" s="3407"/>
      <c r="D30" s="1942" t="s">
        <v>5744</v>
      </c>
      <c r="E30" s="2072">
        <f>软件、集成电路企业优惠情况审核表!E30</f>
        <v>0</v>
      </c>
      <c r="F30" s="1954"/>
    </row>
    <row r="31" spans="1:6" ht="14.25" customHeight="1">
      <c r="A31" s="3488"/>
      <c r="B31" s="1846">
        <v>28</v>
      </c>
      <c r="C31" s="3407" t="s">
        <v>5745</v>
      </c>
      <c r="D31" s="1942" t="s">
        <v>5746</v>
      </c>
      <c r="E31" s="2072">
        <f>软件、集成电路企业优惠情况审核表!E31</f>
        <v>0</v>
      </c>
      <c r="F31" s="1941"/>
    </row>
    <row r="32" spans="1:6" ht="14.25" customHeight="1">
      <c r="A32" s="3488"/>
      <c r="B32" s="1846">
        <v>29</v>
      </c>
      <c r="C32" s="3407"/>
      <c r="D32" s="1942" t="s">
        <v>5747</v>
      </c>
      <c r="E32" s="2072">
        <f>软件、集成电路企业优惠情况审核表!E32</f>
        <v>0</v>
      </c>
      <c r="F32" s="1941"/>
    </row>
    <row r="33" spans="1:6" ht="14.25" customHeight="1">
      <c r="A33" s="3488"/>
      <c r="B33" s="1846">
        <v>30</v>
      </c>
      <c r="C33" s="3407"/>
      <c r="D33" s="1942" t="s">
        <v>5748</v>
      </c>
      <c r="E33" s="2072">
        <f>软件、集成电路企业优惠情况审核表!E33</f>
        <v>0</v>
      </c>
      <c r="F33" s="1941"/>
    </row>
    <row r="34" spans="1:6" ht="14.25" customHeight="1">
      <c r="A34" s="3488"/>
      <c r="B34" s="1846">
        <v>31</v>
      </c>
      <c r="C34" s="3407"/>
      <c r="D34" s="1942" t="s">
        <v>5749</v>
      </c>
      <c r="E34" s="2072">
        <f>软件、集成电路企业优惠情况审核表!E34</f>
        <v>0</v>
      </c>
      <c r="F34" s="1954"/>
    </row>
    <row r="35" spans="1:6">
      <c r="A35" s="3487" t="s">
        <v>5750</v>
      </c>
      <c r="B35" s="1846">
        <v>32</v>
      </c>
      <c r="C35" s="3492" t="s">
        <v>5723</v>
      </c>
      <c r="D35" s="1938" t="s">
        <v>5751</v>
      </c>
      <c r="E35" s="2072">
        <f>软件、集成电路企业优惠情况审核表!E35</f>
        <v>0</v>
      </c>
      <c r="F35" s="1941"/>
    </row>
    <row r="36" spans="1:6" ht="14.25" customHeight="1">
      <c r="A36" s="3488"/>
      <c r="B36" s="1846">
        <v>33</v>
      </c>
      <c r="C36" s="3492"/>
      <c r="D36" s="1938" t="s">
        <v>5752</v>
      </c>
      <c r="E36" s="2072">
        <f>软件、集成电路企业优惠情况审核表!E36</f>
        <v>0</v>
      </c>
      <c r="F36" s="1941"/>
    </row>
    <row r="37" spans="1:6" ht="14.25" customHeight="1">
      <c r="A37" s="3488"/>
      <c r="B37" s="1846">
        <v>34</v>
      </c>
      <c r="C37" s="3492"/>
      <c r="D37" s="1938" t="s">
        <v>5753</v>
      </c>
      <c r="E37" s="2072">
        <f>软件、集成电路企业优惠情况审核表!E37</f>
        <v>0</v>
      </c>
      <c r="F37" s="1954"/>
    </row>
    <row r="38" spans="1:6">
      <c r="A38" s="3488"/>
      <c r="B38" s="1846">
        <v>35</v>
      </c>
      <c r="C38" s="3492" t="s">
        <v>5729</v>
      </c>
      <c r="D38" s="1938" t="s">
        <v>5754</v>
      </c>
      <c r="E38" s="2072">
        <f>软件、集成电路企业优惠情况审核表!E38</f>
        <v>0</v>
      </c>
      <c r="F38" s="1941"/>
    </row>
    <row r="39" spans="1:6" ht="16.5" customHeight="1">
      <c r="A39" s="3488"/>
      <c r="B39" s="1846">
        <v>36</v>
      </c>
      <c r="C39" s="3492"/>
      <c r="D39" s="1938" t="s">
        <v>5755</v>
      </c>
      <c r="E39" s="2072">
        <f>软件、集成电路企业优惠情况审核表!E39</f>
        <v>0</v>
      </c>
      <c r="F39" s="1941"/>
    </row>
    <row r="40" spans="1:6" ht="24" customHeight="1">
      <c r="A40" s="3488"/>
      <c r="B40" s="1846">
        <v>37</v>
      </c>
      <c r="C40" s="3492"/>
      <c r="D40" s="1938" t="s">
        <v>5756</v>
      </c>
      <c r="E40" s="2072">
        <f>软件、集成电路企业优惠情况审核表!E40</f>
        <v>0</v>
      </c>
      <c r="F40" s="1941"/>
    </row>
    <row r="41" spans="1:6" ht="18.75" customHeight="1">
      <c r="A41" s="3488"/>
      <c r="B41" s="1846">
        <v>38</v>
      </c>
      <c r="C41" s="3492"/>
      <c r="D41" s="1938" t="s">
        <v>5757</v>
      </c>
      <c r="E41" s="2072">
        <f>软件、集成电路企业优惠情况审核表!E41</f>
        <v>0</v>
      </c>
      <c r="F41" s="1941"/>
    </row>
    <row r="42" spans="1:6" ht="20.25" customHeight="1">
      <c r="A42" s="3488"/>
      <c r="B42" s="1846">
        <v>39</v>
      </c>
      <c r="C42" s="3492"/>
      <c r="D42" s="1938" t="s">
        <v>5758</v>
      </c>
      <c r="E42" s="2072">
        <f>软件、集成电路企业优惠情况审核表!E42</f>
        <v>0</v>
      </c>
      <c r="F42" s="1941"/>
    </row>
    <row r="43" spans="1:6" ht="24" customHeight="1">
      <c r="A43" s="3488"/>
      <c r="B43" s="1846">
        <v>40</v>
      </c>
      <c r="C43" s="3492" t="s">
        <v>5759</v>
      </c>
      <c r="D43" s="1938" t="s">
        <v>5760</v>
      </c>
      <c r="E43" s="2072">
        <f>软件、集成电路企业优惠情况审核表!E43</f>
        <v>0</v>
      </c>
      <c r="F43" s="1941"/>
    </row>
    <row r="44" spans="1:6" ht="40.5" customHeight="1">
      <c r="A44" s="3488"/>
      <c r="B44" s="1846">
        <v>41</v>
      </c>
      <c r="C44" s="3492"/>
      <c r="D44" s="1938" t="s">
        <v>5761</v>
      </c>
      <c r="E44" s="2072">
        <f>软件、集成电路企业优惠情况审核表!E44</f>
        <v>0</v>
      </c>
      <c r="F44" s="1954"/>
    </row>
    <row r="45" spans="1:6" ht="27" customHeight="1">
      <c r="A45" s="1941"/>
      <c r="B45" s="1846">
        <v>42</v>
      </c>
      <c r="C45" s="3493" t="s">
        <v>5762</v>
      </c>
      <c r="D45" s="3494"/>
      <c r="E45" s="2072">
        <f>软件、集成电路企业优惠情况审核表!E45</f>
        <v>0</v>
      </c>
      <c r="F45" s="1970" t="s">
        <v>5763</v>
      </c>
    </row>
    <row r="46" spans="1:6">
      <c r="A46" s="2000"/>
    </row>
  </sheetData>
  <mergeCells count="14">
    <mergeCell ref="A35:A44"/>
    <mergeCell ref="C35:C37"/>
    <mergeCell ref="C38:C42"/>
    <mergeCell ref="C43:C44"/>
    <mergeCell ref="C45:D45"/>
    <mergeCell ref="A11:A34"/>
    <mergeCell ref="C11:C15"/>
    <mergeCell ref="C16:C30"/>
    <mergeCell ref="C31:C34"/>
    <mergeCell ref="A1:E1"/>
    <mergeCell ref="B2:E2"/>
    <mergeCell ref="C3:E3"/>
    <mergeCell ref="A4:A10"/>
    <mergeCell ref="C4:C10"/>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5.6"/>
  <cols>
    <col min="1" max="1" width="4.09765625" style="1570" customWidth="1"/>
    <col min="2" max="2" width="7.59765625" style="1570" customWidth="1"/>
    <col min="3" max="3" width="5.19921875" style="1570" customWidth="1"/>
    <col min="4" max="14" width="11.0976562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3400" t="s">
        <v>5764</v>
      </c>
      <c r="B1" s="3400"/>
      <c r="C1" s="3400"/>
      <c r="D1" s="3400"/>
      <c r="E1" s="3400"/>
      <c r="F1" s="3400"/>
      <c r="G1" s="3400"/>
      <c r="H1" s="3400"/>
      <c r="I1" s="3400"/>
      <c r="J1" s="3400"/>
      <c r="K1" s="3400"/>
      <c r="L1" s="3400"/>
      <c r="M1" s="3400"/>
      <c r="N1" s="3400"/>
      <c r="O1" s="2015"/>
    </row>
    <row r="2" spans="1:19" ht="25.5" customHeight="1">
      <c r="A2" s="3401" t="s">
        <v>5765</v>
      </c>
      <c r="B2" s="3401"/>
      <c r="C2" s="3401"/>
      <c r="D2" s="3401"/>
      <c r="E2" s="3401"/>
      <c r="F2" s="3401"/>
      <c r="G2" s="3401"/>
      <c r="H2" s="3401"/>
      <c r="I2" s="3401"/>
      <c r="J2" s="3401"/>
      <c r="K2" s="3401"/>
      <c r="L2" s="3401"/>
      <c r="M2" s="3401"/>
      <c r="N2" s="3401"/>
      <c r="O2" s="1834"/>
    </row>
    <row r="3" spans="1:19" ht="33.75" customHeight="1">
      <c r="A3" s="3399" t="s">
        <v>1853</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5"/>
      <c r="N4" s="3495"/>
      <c r="O4" s="3495"/>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67"/>
    </row>
    <row r="6" spans="1:19" ht="55.5" customHeight="1">
      <c r="A6" s="1891">
        <v>1</v>
      </c>
      <c r="B6" s="1891" t="s">
        <v>6629</v>
      </c>
      <c r="C6" s="1895">
        <f>税额抵免优惠审核表!C6</f>
        <v>2011</v>
      </c>
      <c r="D6" s="2072">
        <f>税额抵免优惠审核表!D6</f>
        <v>0</v>
      </c>
      <c r="E6" s="2072">
        <f>税额抵免优惠审核表!E6</f>
        <v>0</v>
      </c>
      <c r="F6" s="2072">
        <f>税额抵免优惠审核表!F6</f>
        <v>0</v>
      </c>
      <c r="G6" s="2072">
        <f>税额抵免优惠审核表!G6</f>
        <v>0</v>
      </c>
      <c r="H6" s="2072">
        <f>税额抵免优惠审核表!H6</f>
        <v>0</v>
      </c>
      <c r="I6" s="2072">
        <f>税额抵免优惠审核表!I6</f>
        <v>0</v>
      </c>
      <c r="J6" s="2072">
        <f>税额抵免优惠审核表!J6</f>
        <v>0</v>
      </c>
      <c r="K6" s="2072">
        <f>税额抵免优惠审核表!K6</f>
        <v>0</v>
      </c>
      <c r="L6" s="2072">
        <f>税额抵免优惠审核表!L6</f>
        <v>0</v>
      </c>
      <c r="M6" s="2072">
        <f>税额抵免优惠审核表!M6</f>
        <v>0</v>
      </c>
      <c r="N6" s="1961" t="s">
        <v>1859</v>
      </c>
      <c r="O6" s="1978" t="s">
        <v>5777</v>
      </c>
      <c r="S6" s="1575"/>
    </row>
    <row r="7" spans="1:19">
      <c r="A7" s="1891">
        <v>2</v>
      </c>
      <c r="B7" s="1891" t="s">
        <v>1348</v>
      </c>
      <c r="C7" s="1895">
        <f>税额抵免优惠审核表!C7</f>
        <v>2012</v>
      </c>
      <c r="D7" s="2072">
        <f>税额抵免优惠审核表!D7</f>
        <v>0</v>
      </c>
      <c r="E7" s="2072">
        <f>税额抵免优惠审核表!E7</f>
        <v>0</v>
      </c>
      <c r="F7" s="2072">
        <f>税额抵免优惠审核表!F7</f>
        <v>0</v>
      </c>
      <c r="G7" s="1961" t="s">
        <v>1859</v>
      </c>
      <c r="H7" s="2072">
        <f>税额抵免优惠审核表!H7</f>
        <v>0</v>
      </c>
      <c r="I7" s="2072">
        <f>税额抵免优惠审核表!I7</f>
        <v>0</v>
      </c>
      <c r="J7" s="2072">
        <f>税额抵免优惠审核表!J7</f>
        <v>0</v>
      </c>
      <c r="K7" s="2072">
        <f>税额抵免优惠审核表!K7</f>
        <v>0</v>
      </c>
      <c r="L7" s="2072">
        <f>税额抵免优惠审核表!L7</f>
        <v>0</v>
      </c>
      <c r="M7" s="2072">
        <f>税额抵免优惠审核表!M7</f>
        <v>0</v>
      </c>
      <c r="N7" s="2072">
        <f>税额抵免优惠审核表!N7</f>
        <v>0</v>
      </c>
      <c r="O7" s="1974"/>
      <c r="P7" s="1675" t="s">
        <v>6475</v>
      </c>
    </row>
    <row r="8" spans="1:19">
      <c r="A8" s="1891">
        <v>3</v>
      </c>
      <c r="B8" s="1891" t="s">
        <v>1349</v>
      </c>
      <c r="C8" s="1895">
        <f>税额抵免优惠审核表!C8</f>
        <v>2013</v>
      </c>
      <c r="D8" s="2072">
        <f>税额抵免优惠审核表!D8</f>
        <v>0</v>
      </c>
      <c r="E8" s="2072">
        <f>税额抵免优惠审核表!E8</f>
        <v>0</v>
      </c>
      <c r="F8" s="2072">
        <f>税额抵免优惠审核表!F8</f>
        <v>0</v>
      </c>
      <c r="G8" s="1961" t="s">
        <v>1859</v>
      </c>
      <c r="H8" s="2068" t="s">
        <v>1859</v>
      </c>
      <c r="I8" s="2072">
        <f>税额抵免优惠审核表!I8</f>
        <v>0</v>
      </c>
      <c r="J8" s="2072">
        <f>税额抵免优惠审核表!J8</f>
        <v>0</v>
      </c>
      <c r="K8" s="2072">
        <f>税额抵免优惠审核表!K8</f>
        <v>0</v>
      </c>
      <c r="L8" s="2072">
        <f>税额抵免优惠审核表!L8</f>
        <v>0</v>
      </c>
      <c r="M8" s="2072">
        <f>税额抵免优惠审核表!M8</f>
        <v>0</v>
      </c>
      <c r="N8" s="2072">
        <f>税额抵免优惠审核表!N8</f>
        <v>0</v>
      </c>
      <c r="O8" s="1974"/>
    </row>
    <row r="9" spans="1:19">
      <c r="A9" s="1891">
        <v>4</v>
      </c>
      <c r="B9" s="1891" t="s">
        <v>1350</v>
      </c>
      <c r="C9" s="1895">
        <f>税额抵免优惠审核表!C9</f>
        <v>2014</v>
      </c>
      <c r="D9" s="2072">
        <f>税额抵免优惠审核表!D9</f>
        <v>0</v>
      </c>
      <c r="E9" s="2072">
        <f>税额抵免优惠审核表!E9</f>
        <v>0</v>
      </c>
      <c r="F9" s="2072">
        <f>税额抵免优惠审核表!F9</f>
        <v>0</v>
      </c>
      <c r="G9" s="1961" t="s">
        <v>1859</v>
      </c>
      <c r="H9" s="2068" t="s">
        <v>1859</v>
      </c>
      <c r="I9" s="1961" t="s">
        <v>1859</v>
      </c>
      <c r="J9" s="2072">
        <f>税额抵免优惠审核表!J9</f>
        <v>0</v>
      </c>
      <c r="K9" s="2072">
        <f>税额抵免优惠审核表!K9</f>
        <v>0</v>
      </c>
      <c r="L9" s="2072">
        <f>税额抵免优惠审核表!L9</f>
        <v>0</v>
      </c>
      <c r="M9" s="2072">
        <f>税额抵免优惠审核表!M9</f>
        <v>0</v>
      </c>
      <c r="N9" s="2072">
        <f>税额抵免优惠审核表!N9</f>
        <v>0</v>
      </c>
      <c r="O9" s="1974"/>
    </row>
    <row r="10" spans="1:19">
      <c r="A10" s="1891">
        <v>5</v>
      </c>
      <c r="B10" s="1891" t="s">
        <v>1351</v>
      </c>
      <c r="C10" s="1895">
        <f>税额抵免优惠审核表!C10</f>
        <v>2015</v>
      </c>
      <c r="D10" s="2072">
        <f>税额抵免优惠审核表!D10</f>
        <v>0</v>
      </c>
      <c r="E10" s="2072">
        <f>税额抵免优惠审核表!E10</f>
        <v>0</v>
      </c>
      <c r="F10" s="2072">
        <f>税额抵免优惠审核表!F10</f>
        <v>0</v>
      </c>
      <c r="G10" s="1961" t="s">
        <v>1859</v>
      </c>
      <c r="H10" s="2068" t="s">
        <v>1859</v>
      </c>
      <c r="I10" s="1961" t="s">
        <v>1859</v>
      </c>
      <c r="J10" s="1961" t="s">
        <v>1859</v>
      </c>
      <c r="K10" s="2072">
        <f>税额抵免优惠审核表!K10</f>
        <v>0</v>
      </c>
      <c r="L10" s="2072">
        <f>税额抵免优惠审核表!L10</f>
        <v>0</v>
      </c>
      <c r="M10" s="2072">
        <f>税额抵免优惠审核表!M10</f>
        <v>0</v>
      </c>
      <c r="N10" s="2072">
        <f>税额抵免优惠审核表!N10</f>
        <v>0</v>
      </c>
      <c r="O10" s="1974"/>
    </row>
    <row r="11" spans="1:19">
      <c r="A11" s="1891">
        <v>6</v>
      </c>
      <c r="B11" s="1891" t="s">
        <v>5483</v>
      </c>
      <c r="C11" s="1895">
        <f>税额抵免优惠审核表!C11</f>
        <v>2016</v>
      </c>
      <c r="D11" s="2072">
        <f ca="1">税额抵免优惠审核表!D11</f>
        <v>0</v>
      </c>
      <c r="E11" s="2072">
        <f>税额抵免优惠审核表!E11</f>
        <v>0</v>
      </c>
      <c r="F11" s="2072">
        <f>税额抵免优惠审核表!F11</f>
        <v>0</v>
      </c>
      <c r="G11" s="1961" t="s">
        <v>1859</v>
      </c>
      <c r="H11" s="1961" t="s">
        <v>1859</v>
      </c>
      <c r="I11" s="1961" t="s">
        <v>1859</v>
      </c>
      <c r="J11" s="1961" t="s">
        <v>1859</v>
      </c>
      <c r="K11" s="1961" t="s">
        <v>1859</v>
      </c>
      <c r="L11" s="1961" t="s">
        <v>1866</v>
      </c>
      <c r="M11" s="2072">
        <f ca="1">税额抵免优惠审核表!M11</f>
        <v>0</v>
      </c>
      <c r="N11" s="2072">
        <f ca="1">税额抵免优惠审核表!N11</f>
        <v>0</v>
      </c>
      <c r="O11" s="1974"/>
      <c r="P11" s="1675"/>
    </row>
    <row r="12" spans="1:19" ht="23.25" customHeight="1">
      <c r="A12" s="1891">
        <v>7</v>
      </c>
      <c r="B12" s="3497" t="s">
        <v>5778</v>
      </c>
      <c r="C12" s="3497"/>
      <c r="D12" s="3497"/>
      <c r="E12" s="3497"/>
      <c r="F12" s="3497"/>
      <c r="G12" s="3497"/>
      <c r="H12" s="3497"/>
      <c r="I12" s="3497"/>
      <c r="J12" s="3497"/>
      <c r="K12" s="3497"/>
      <c r="L12" s="3497"/>
      <c r="M12" s="2072">
        <f ca="1">税额抵免优惠审核表!M12</f>
        <v>0</v>
      </c>
      <c r="N12" s="1961" t="s">
        <v>1859</v>
      </c>
      <c r="O12" s="1978" t="s">
        <v>5779</v>
      </c>
    </row>
    <row r="13" spans="1:19">
      <c r="A13" s="1891">
        <v>8</v>
      </c>
      <c r="B13" s="3497" t="s">
        <v>5780</v>
      </c>
      <c r="C13" s="3497"/>
      <c r="D13" s="3497"/>
      <c r="E13" s="3497"/>
      <c r="F13" s="3497"/>
      <c r="G13" s="3497"/>
      <c r="H13" s="3497"/>
      <c r="I13" s="3497"/>
      <c r="J13" s="3497"/>
      <c r="K13" s="3497"/>
      <c r="L13" s="3497"/>
      <c r="M13" s="3497"/>
      <c r="N13" s="2072">
        <f ca="1">税额抵免优惠审核表!N13</f>
        <v>0</v>
      </c>
      <c r="O13" s="1974"/>
    </row>
    <row r="14" spans="1:19">
      <c r="A14" s="1891">
        <v>9</v>
      </c>
      <c r="B14" s="3407" t="s">
        <v>5781</v>
      </c>
      <c r="C14" s="3498" t="s">
        <v>5782</v>
      </c>
      <c r="D14" s="3498"/>
      <c r="E14" s="3498"/>
      <c r="F14" s="3498"/>
      <c r="G14" s="3498"/>
      <c r="H14" s="3498"/>
      <c r="I14" s="3498"/>
      <c r="J14" s="3498"/>
      <c r="K14" s="3510">
        <f>税额抵免优惠审核表!K14</f>
        <v>0</v>
      </c>
      <c r="L14" s="3510"/>
      <c r="M14" s="3510"/>
      <c r="N14" s="3510"/>
      <c r="O14" s="1974"/>
    </row>
    <row r="15" spans="1:19">
      <c r="A15" s="1891">
        <v>10</v>
      </c>
      <c r="B15" s="3399"/>
      <c r="C15" s="3498" t="s">
        <v>5783</v>
      </c>
      <c r="D15" s="3498"/>
      <c r="E15" s="3498"/>
      <c r="F15" s="3498"/>
      <c r="G15" s="3498"/>
      <c r="H15" s="3498"/>
      <c r="I15" s="3498"/>
      <c r="J15" s="3498"/>
      <c r="K15" s="3510">
        <f>税额抵免优惠审核表!K15</f>
        <v>0</v>
      </c>
      <c r="L15" s="3510"/>
      <c r="M15" s="3510"/>
      <c r="N15" s="3510"/>
      <c r="O15" s="1974"/>
    </row>
    <row r="16" spans="1:19">
      <c r="A16" s="1891">
        <v>11</v>
      </c>
      <c r="B16" s="3399"/>
      <c r="C16" s="3498" t="s">
        <v>5784</v>
      </c>
      <c r="D16" s="3498"/>
      <c r="E16" s="3498"/>
      <c r="F16" s="3498"/>
      <c r="G16" s="3498"/>
      <c r="H16" s="3498"/>
      <c r="I16" s="3498"/>
      <c r="J16" s="3498"/>
      <c r="K16" s="3510">
        <f>税额抵免优惠审核表!K16</f>
        <v>0</v>
      </c>
      <c r="L16" s="3510"/>
      <c r="M16" s="3510"/>
      <c r="N16" s="3510"/>
      <c r="O16" s="1974"/>
    </row>
  </sheetData>
  <mergeCells count="21">
    <mergeCell ref="K16:N16"/>
    <mergeCell ref="N3:N4"/>
    <mergeCell ref="O3:O4"/>
    <mergeCell ref="B12:L12"/>
    <mergeCell ref="B13:M13"/>
    <mergeCell ref="B14:B16"/>
    <mergeCell ref="C14:J14"/>
    <mergeCell ref="K14:N14"/>
    <mergeCell ref="C15:J15"/>
    <mergeCell ref="K15:N15"/>
    <mergeCell ref="C16:J16"/>
    <mergeCell ref="A1:N1"/>
    <mergeCell ref="A2:N2"/>
    <mergeCell ref="A3:A5"/>
    <mergeCell ref="B3:B5"/>
    <mergeCell ref="C3:C4"/>
    <mergeCell ref="D3:D4"/>
    <mergeCell ref="E3:E4"/>
    <mergeCell ref="F3:F4"/>
    <mergeCell ref="G3:L3"/>
    <mergeCell ref="M3:M4"/>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3400" t="s">
        <v>5785</v>
      </c>
      <c r="B1" s="3400"/>
      <c r="C1" s="3400"/>
      <c r="D1" s="3400"/>
      <c r="E1" s="3400"/>
      <c r="F1" s="3400"/>
      <c r="G1" s="3400"/>
      <c r="H1" s="3400"/>
      <c r="I1" s="3400"/>
      <c r="J1" s="3400"/>
      <c r="K1" s="3400"/>
      <c r="L1" s="3400"/>
      <c r="M1" s="3400"/>
      <c r="N1" s="3400"/>
      <c r="O1" s="3400"/>
      <c r="P1" s="3400"/>
      <c r="Q1" s="3400"/>
      <c r="R1" s="3400"/>
      <c r="S1" s="3400"/>
      <c r="T1" s="3400"/>
    </row>
    <row r="2" spans="1:21" ht="25.5" customHeight="1">
      <c r="A2" s="3499" t="s">
        <v>5786</v>
      </c>
      <c r="B2" s="3499"/>
      <c r="C2" s="3499"/>
      <c r="D2" s="3499"/>
      <c r="E2" s="3499"/>
      <c r="F2" s="3499"/>
      <c r="G2" s="3499"/>
      <c r="H2" s="3499"/>
      <c r="I2" s="3499"/>
      <c r="J2" s="3499"/>
      <c r="K2" s="3499"/>
      <c r="L2" s="3499"/>
      <c r="M2" s="3499"/>
      <c r="N2" s="3499"/>
      <c r="O2" s="3499"/>
      <c r="P2" s="3499"/>
      <c r="Q2" s="3499"/>
      <c r="R2" s="3499"/>
      <c r="S2" s="3499"/>
      <c r="T2" s="3500"/>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1" t="s">
        <v>5796</v>
      </c>
      <c r="Q3" s="3502"/>
      <c r="R3" s="3502"/>
      <c r="S3" s="3502"/>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3">
        <f>境外所得税收抵免审核表!B6</f>
        <v>0</v>
      </c>
      <c r="C6" s="2072">
        <f>境外所得税收抵免审核表!C6</f>
        <v>0</v>
      </c>
      <c r="D6" s="2072">
        <f>境外所得税收抵免审核表!D6</f>
        <v>0</v>
      </c>
      <c r="E6" s="2072">
        <f>境外所得税收抵免审核表!E6</f>
        <v>0</v>
      </c>
      <c r="F6" s="2072">
        <f>境外所得税收抵免审核表!F6</f>
        <v>0</v>
      </c>
      <c r="G6" s="2072">
        <f>境外所得税收抵免审核表!G6</f>
        <v>0</v>
      </c>
      <c r="H6" s="2072">
        <f>境外所得税收抵免审核表!H6</f>
        <v>0</v>
      </c>
      <c r="I6" s="2072">
        <f>境外所得税收抵免审核表!I6</f>
        <v>0</v>
      </c>
      <c r="J6" s="2072">
        <f>境外所得税收抵免审核表!J6</f>
        <v>0</v>
      </c>
      <c r="K6" s="2072">
        <f>境外所得税收抵免审核表!K6</f>
        <v>0</v>
      </c>
      <c r="L6" s="2072">
        <f>境外所得税收抵免审核表!L6</f>
        <v>0</v>
      </c>
      <c r="M6" s="2072">
        <f>境外所得税收抵免审核表!M6</f>
        <v>0</v>
      </c>
      <c r="N6" s="2072">
        <f>境外所得税收抵免审核表!N6</f>
        <v>0</v>
      </c>
      <c r="O6" s="2072">
        <f>境外所得税收抵免审核表!O6</f>
        <v>0</v>
      </c>
      <c r="P6" s="2072">
        <f>境外所得税收抵免审核表!P6</f>
        <v>0</v>
      </c>
      <c r="Q6" s="2072">
        <f>境外所得税收抵免审核表!Q6</f>
        <v>0</v>
      </c>
      <c r="R6" s="2072">
        <f>境外所得税收抵免审核表!R6</f>
        <v>0</v>
      </c>
      <c r="S6" s="2072">
        <f>境外所得税收抵免审核表!S6</f>
        <v>0</v>
      </c>
      <c r="T6" s="2072">
        <f>境外所得税收抵免审核表!T6</f>
        <v>0</v>
      </c>
    </row>
    <row r="7" spans="1:21" s="1616" customFormat="1" ht="14.25" customHeight="1">
      <c r="A7" s="1897">
        <v>2</v>
      </c>
      <c r="B7" s="1903">
        <f>境外所得税收抵免审核表!B7</f>
        <v>0</v>
      </c>
      <c r="C7" s="2072">
        <f>境外所得税收抵免审核表!C7</f>
        <v>0</v>
      </c>
      <c r="D7" s="2072">
        <f>境外所得税收抵免审核表!D7</f>
        <v>0</v>
      </c>
      <c r="E7" s="2072">
        <f>境外所得税收抵免审核表!E7</f>
        <v>0</v>
      </c>
      <c r="F7" s="2072">
        <f>境外所得税收抵免审核表!F7</f>
        <v>0</v>
      </c>
      <c r="G7" s="2072">
        <f>境外所得税收抵免审核表!G7</f>
        <v>0</v>
      </c>
      <c r="H7" s="2072">
        <f>境外所得税收抵免审核表!H7</f>
        <v>0</v>
      </c>
      <c r="I7" s="2072">
        <f>境外所得税收抵免审核表!I7</f>
        <v>0</v>
      </c>
      <c r="J7" s="2072">
        <f>境外所得税收抵免审核表!J7</f>
        <v>0</v>
      </c>
      <c r="K7" s="2072">
        <f>境外所得税收抵免审核表!K7</f>
        <v>0</v>
      </c>
      <c r="L7" s="2072">
        <f>境外所得税收抵免审核表!L7</f>
        <v>0</v>
      </c>
      <c r="M7" s="2072">
        <f>境外所得税收抵免审核表!M7</f>
        <v>0</v>
      </c>
      <c r="N7" s="2072">
        <f>境外所得税收抵免审核表!N7</f>
        <v>0</v>
      </c>
      <c r="O7" s="2072">
        <f>境外所得税收抵免审核表!O7</f>
        <v>0</v>
      </c>
      <c r="P7" s="2072">
        <f>境外所得税收抵免审核表!P7</f>
        <v>0</v>
      </c>
      <c r="Q7" s="2072">
        <f>境外所得税收抵免审核表!Q7</f>
        <v>0</v>
      </c>
      <c r="R7" s="2072">
        <f>境外所得税收抵免审核表!R7</f>
        <v>0</v>
      </c>
      <c r="S7" s="2072">
        <f>境外所得税收抵免审核表!S7</f>
        <v>0</v>
      </c>
      <c r="T7" s="2072">
        <f>境外所得税收抵免审核表!T7</f>
        <v>0</v>
      </c>
    </row>
    <row r="8" spans="1:21" s="1616" customFormat="1" ht="14.25" customHeight="1">
      <c r="A8" s="1897">
        <v>3</v>
      </c>
      <c r="B8" s="1903">
        <f>境外所得税收抵免审核表!B8</f>
        <v>0</v>
      </c>
      <c r="C8" s="2072">
        <f>境外所得税收抵免审核表!C8</f>
        <v>0</v>
      </c>
      <c r="D8" s="2072">
        <f>境外所得税收抵免审核表!D8</f>
        <v>0</v>
      </c>
      <c r="E8" s="2072">
        <f>境外所得税收抵免审核表!E8</f>
        <v>0</v>
      </c>
      <c r="F8" s="2072">
        <f>境外所得税收抵免审核表!F8</f>
        <v>0</v>
      </c>
      <c r="G8" s="2072">
        <f>境外所得税收抵免审核表!G8</f>
        <v>0</v>
      </c>
      <c r="H8" s="2072">
        <f>境外所得税收抵免审核表!H8</f>
        <v>0</v>
      </c>
      <c r="I8" s="2072">
        <f>境外所得税收抵免审核表!I8</f>
        <v>0</v>
      </c>
      <c r="J8" s="2072">
        <f>境外所得税收抵免审核表!J8</f>
        <v>0</v>
      </c>
      <c r="K8" s="2072">
        <f>境外所得税收抵免审核表!K8</f>
        <v>0</v>
      </c>
      <c r="L8" s="2072">
        <f>境外所得税收抵免审核表!L8</f>
        <v>0</v>
      </c>
      <c r="M8" s="2072">
        <f>境外所得税收抵免审核表!M8</f>
        <v>0</v>
      </c>
      <c r="N8" s="2072">
        <f>境外所得税收抵免审核表!N8</f>
        <v>0</v>
      </c>
      <c r="O8" s="2072">
        <f>境外所得税收抵免审核表!O8</f>
        <v>0</v>
      </c>
      <c r="P8" s="2072">
        <f>境外所得税收抵免审核表!P8</f>
        <v>0</v>
      </c>
      <c r="Q8" s="2072">
        <f>境外所得税收抵免审核表!Q8</f>
        <v>0</v>
      </c>
      <c r="R8" s="2072">
        <f>境外所得税收抵免审核表!R8</f>
        <v>0</v>
      </c>
      <c r="S8" s="2072">
        <f>境外所得税收抵免审核表!S8</f>
        <v>0</v>
      </c>
      <c r="T8" s="2072">
        <f>境外所得税收抵免审核表!T8</f>
        <v>0</v>
      </c>
    </row>
    <row r="9" spans="1:21" s="1616" customFormat="1" ht="14.25" customHeight="1">
      <c r="A9" s="1897">
        <v>4</v>
      </c>
      <c r="B9" s="1903">
        <f>境外所得税收抵免审核表!B9</f>
        <v>0</v>
      </c>
      <c r="C9" s="2072">
        <f>境外所得税收抵免审核表!C9</f>
        <v>0</v>
      </c>
      <c r="D9" s="2072">
        <f>境外所得税收抵免审核表!D9</f>
        <v>0</v>
      </c>
      <c r="E9" s="2072">
        <f>境外所得税收抵免审核表!E9</f>
        <v>0</v>
      </c>
      <c r="F9" s="2072">
        <f>境外所得税收抵免审核表!F9</f>
        <v>0</v>
      </c>
      <c r="G9" s="2072">
        <f>境外所得税收抵免审核表!G9</f>
        <v>0</v>
      </c>
      <c r="H9" s="2072">
        <f>境外所得税收抵免审核表!H9</f>
        <v>0</v>
      </c>
      <c r="I9" s="2072">
        <f>境外所得税收抵免审核表!I9</f>
        <v>0</v>
      </c>
      <c r="J9" s="2072">
        <f>境外所得税收抵免审核表!J9</f>
        <v>0</v>
      </c>
      <c r="K9" s="2072">
        <f>境外所得税收抵免审核表!K9</f>
        <v>0</v>
      </c>
      <c r="L9" s="2072">
        <f>境外所得税收抵免审核表!L9</f>
        <v>0</v>
      </c>
      <c r="M9" s="2072">
        <f>境外所得税收抵免审核表!M9</f>
        <v>0</v>
      </c>
      <c r="N9" s="2072">
        <f>境外所得税收抵免审核表!N9</f>
        <v>0</v>
      </c>
      <c r="O9" s="2072">
        <f>境外所得税收抵免审核表!O9</f>
        <v>0</v>
      </c>
      <c r="P9" s="2072">
        <f>境外所得税收抵免审核表!P9</f>
        <v>0</v>
      </c>
      <c r="Q9" s="2072">
        <f>境外所得税收抵免审核表!Q9</f>
        <v>0</v>
      </c>
      <c r="R9" s="2072">
        <f>境外所得税收抵免审核表!R9</f>
        <v>0</v>
      </c>
      <c r="S9" s="2072">
        <f>境外所得税收抵免审核表!S9</f>
        <v>0</v>
      </c>
      <c r="T9" s="2072">
        <f>境外所得税收抵免审核表!T9</f>
        <v>0</v>
      </c>
    </row>
    <row r="10" spans="1:21" s="1616" customFormat="1" ht="14.25" customHeight="1">
      <c r="A10" s="1897">
        <v>5</v>
      </c>
      <c r="B10" s="1903">
        <f>境外所得税收抵免审核表!B10</f>
        <v>0</v>
      </c>
      <c r="C10" s="2072">
        <f>境外所得税收抵免审核表!C10</f>
        <v>0</v>
      </c>
      <c r="D10" s="2072">
        <f>境外所得税收抵免审核表!D10</f>
        <v>0</v>
      </c>
      <c r="E10" s="2072">
        <f>境外所得税收抵免审核表!E10</f>
        <v>0</v>
      </c>
      <c r="F10" s="2072">
        <f>境外所得税收抵免审核表!F10</f>
        <v>0</v>
      </c>
      <c r="G10" s="2072">
        <f>境外所得税收抵免审核表!G10</f>
        <v>0</v>
      </c>
      <c r="H10" s="2072">
        <f>境外所得税收抵免审核表!H10</f>
        <v>0</v>
      </c>
      <c r="I10" s="2072">
        <f>境外所得税收抵免审核表!I10</f>
        <v>0</v>
      </c>
      <c r="J10" s="2072">
        <f>境外所得税收抵免审核表!J10</f>
        <v>0</v>
      </c>
      <c r="K10" s="2072">
        <f>境外所得税收抵免审核表!K10</f>
        <v>0</v>
      </c>
      <c r="L10" s="2072">
        <f>境外所得税收抵免审核表!L10</f>
        <v>0</v>
      </c>
      <c r="M10" s="2072">
        <f>境外所得税收抵免审核表!M10</f>
        <v>0</v>
      </c>
      <c r="N10" s="2072">
        <f>境外所得税收抵免审核表!N10</f>
        <v>0</v>
      </c>
      <c r="O10" s="2072">
        <f>境外所得税收抵免审核表!O10</f>
        <v>0</v>
      </c>
      <c r="P10" s="2072">
        <f>境外所得税收抵免审核表!P10</f>
        <v>0</v>
      </c>
      <c r="Q10" s="2072">
        <f>境外所得税收抵免审核表!Q10</f>
        <v>0</v>
      </c>
      <c r="R10" s="2072">
        <f>境外所得税收抵免审核表!R10</f>
        <v>0</v>
      </c>
      <c r="S10" s="2072">
        <f>境外所得税收抵免审核表!S10</f>
        <v>0</v>
      </c>
      <c r="T10" s="2072">
        <f>境外所得税收抵免审核表!T10</f>
        <v>0</v>
      </c>
    </row>
    <row r="11" spans="1:21" s="1616" customFormat="1" ht="14.25" customHeight="1">
      <c r="A11" s="1897">
        <v>6</v>
      </c>
      <c r="B11" s="1903">
        <f>境外所得税收抵免审核表!B11</f>
        <v>0</v>
      </c>
      <c r="C11" s="2072">
        <f>境外所得税收抵免审核表!C11</f>
        <v>0</v>
      </c>
      <c r="D11" s="2072">
        <f>境外所得税收抵免审核表!D11</f>
        <v>0</v>
      </c>
      <c r="E11" s="2072">
        <f>境外所得税收抵免审核表!E11</f>
        <v>0</v>
      </c>
      <c r="F11" s="2072">
        <f>境外所得税收抵免审核表!F11</f>
        <v>0</v>
      </c>
      <c r="G11" s="2072">
        <f>境外所得税收抵免审核表!G11</f>
        <v>0</v>
      </c>
      <c r="H11" s="2072">
        <f>境外所得税收抵免审核表!H11</f>
        <v>0</v>
      </c>
      <c r="I11" s="2072">
        <f>境外所得税收抵免审核表!I11</f>
        <v>0</v>
      </c>
      <c r="J11" s="2072">
        <f>境外所得税收抵免审核表!J11</f>
        <v>0</v>
      </c>
      <c r="K11" s="2072">
        <f>境外所得税收抵免审核表!K11</f>
        <v>0</v>
      </c>
      <c r="L11" s="2072">
        <f>境外所得税收抵免审核表!L11</f>
        <v>0</v>
      </c>
      <c r="M11" s="2072">
        <f>境外所得税收抵免审核表!M11</f>
        <v>0</v>
      </c>
      <c r="N11" s="2072">
        <f>境外所得税收抵免审核表!N11</f>
        <v>0</v>
      </c>
      <c r="O11" s="2072">
        <f>境外所得税收抵免审核表!O11</f>
        <v>0</v>
      </c>
      <c r="P11" s="2072">
        <f>境外所得税收抵免审核表!P11</f>
        <v>0</v>
      </c>
      <c r="Q11" s="2072">
        <f>境外所得税收抵免审核表!Q11</f>
        <v>0</v>
      </c>
      <c r="R11" s="2072">
        <f>境外所得税收抵免审核表!R11</f>
        <v>0</v>
      </c>
      <c r="S11" s="2072">
        <f>境外所得税收抵免审核表!S11</f>
        <v>0</v>
      </c>
      <c r="T11" s="2072">
        <f>境外所得税收抵免审核表!T11</f>
        <v>0</v>
      </c>
    </row>
    <row r="12" spans="1:21" s="1616" customFormat="1" ht="14.25" customHeight="1">
      <c r="A12" s="1897">
        <v>7</v>
      </c>
      <c r="B12" s="1903">
        <f>境外所得税收抵免审核表!B12</f>
        <v>0</v>
      </c>
      <c r="C12" s="2072">
        <f>境外所得税收抵免审核表!C12</f>
        <v>0</v>
      </c>
      <c r="D12" s="2072">
        <f>境外所得税收抵免审核表!D12</f>
        <v>0</v>
      </c>
      <c r="E12" s="2072">
        <f>境外所得税收抵免审核表!E12</f>
        <v>0</v>
      </c>
      <c r="F12" s="2072">
        <f>境外所得税收抵免审核表!F12</f>
        <v>0</v>
      </c>
      <c r="G12" s="2072">
        <f>境外所得税收抵免审核表!G12</f>
        <v>0</v>
      </c>
      <c r="H12" s="2072">
        <f>境外所得税收抵免审核表!H12</f>
        <v>0</v>
      </c>
      <c r="I12" s="2072">
        <f>境外所得税收抵免审核表!I12</f>
        <v>0</v>
      </c>
      <c r="J12" s="2072">
        <f>境外所得税收抵免审核表!J12</f>
        <v>0</v>
      </c>
      <c r="K12" s="2072">
        <f>境外所得税收抵免审核表!K12</f>
        <v>0</v>
      </c>
      <c r="L12" s="2072">
        <f>境外所得税收抵免审核表!L12</f>
        <v>0</v>
      </c>
      <c r="M12" s="2072">
        <f>境外所得税收抵免审核表!M12</f>
        <v>0</v>
      </c>
      <c r="N12" s="2072">
        <f>境外所得税收抵免审核表!N12</f>
        <v>0</v>
      </c>
      <c r="O12" s="2072">
        <f>境外所得税收抵免审核表!O12</f>
        <v>0</v>
      </c>
      <c r="P12" s="2072">
        <f>境外所得税收抵免审核表!P12</f>
        <v>0</v>
      </c>
      <c r="Q12" s="2072">
        <f>境外所得税收抵免审核表!Q12</f>
        <v>0</v>
      </c>
      <c r="R12" s="2072">
        <f>境外所得税收抵免审核表!R12</f>
        <v>0</v>
      </c>
      <c r="S12" s="2072">
        <f>境外所得税收抵免审核表!S12</f>
        <v>0</v>
      </c>
      <c r="T12" s="2072">
        <f>境外所得税收抵免审核表!T12</f>
        <v>0</v>
      </c>
    </row>
    <row r="13" spans="1:21" s="1616" customFormat="1" ht="14.25" customHeight="1">
      <c r="A13" s="1897">
        <v>8</v>
      </c>
      <c r="B13" s="1903">
        <f>境外所得税收抵免审核表!B13</f>
        <v>0</v>
      </c>
      <c r="C13" s="2072">
        <f>境外所得税收抵免审核表!C13</f>
        <v>0</v>
      </c>
      <c r="D13" s="2072">
        <f>境外所得税收抵免审核表!D13</f>
        <v>0</v>
      </c>
      <c r="E13" s="2072">
        <f>境外所得税收抵免审核表!E13</f>
        <v>0</v>
      </c>
      <c r="F13" s="2072">
        <f>境外所得税收抵免审核表!F13</f>
        <v>0</v>
      </c>
      <c r="G13" s="2072">
        <f>境外所得税收抵免审核表!G13</f>
        <v>0</v>
      </c>
      <c r="H13" s="2072">
        <f>境外所得税收抵免审核表!H13</f>
        <v>0</v>
      </c>
      <c r="I13" s="2072">
        <f>境外所得税收抵免审核表!I13</f>
        <v>0</v>
      </c>
      <c r="J13" s="2072">
        <f>境外所得税收抵免审核表!J13</f>
        <v>0</v>
      </c>
      <c r="K13" s="2072">
        <f>境外所得税收抵免审核表!K13</f>
        <v>0</v>
      </c>
      <c r="L13" s="2072">
        <f>境外所得税收抵免审核表!L13</f>
        <v>0</v>
      </c>
      <c r="M13" s="2072">
        <f>境外所得税收抵免审核表!M13</f>
        <v>0</v>
      </c>
      <c r="N13" s="2072">
        <f>境外所得税收抵免审核表!N13</f>
        <v>0</v>
      </c>
      <c r="O13" s="2072">
        <f>境外所得税收抵免审核表!O13</f>
        <v>0</v>
      </c>
      <c r="P13" s="2072">
        <f>境外所得税收抵免审核表!P13</f>
        <v>0</v>
      </c>
      <c r="Q13" s="2072">
        <f>境外所得税收抵免审核表!Q13</f>
        <v>0</v>
      </c>
      <c r="R13" s="2072">
        <f>境外所得税收抵免审核表!R13</f>
        <v>0</v>
      </c>
      <c r="S13" s="2072">
        <f>境外所得税收抵免审核表!S13</f>
        <v>0</v>
      </c>
      <c r="T13" s="2072">
        <f>境外所得税收抵免审核表!T13</f>
        <v>0</v>
      </c>
    </row>
    <row r="14" spans="1:21" s="1616" customFormat="1" ht="14.25" customHeight="1">
      <c r="A14" s="1897">
        <v>9</v>
      </c>
      <c r="B14" s="1903">
        <f>境外所得税收抵免审核表!B14</f>
        <v>0</v>
      </c>
      <c r="C14" s="2072">
        <f>境外所得税收抵免审核表!C14</f>
        <v>0</v>
      </c>
      <c r="D14" s="2072">
        <f>境外所得税收抵免审核表!D14</f>
        <v>0</v>
      </c>
      <c r="E14" s="2072">
        <f>境外所得税收抵免审核表!E14</f>
        <v>0</v>
      </c>
      <c r="F14" s="2072">
        <f>境外所得税收抵免审核表!F14</f>
        <v>0</v>
      </c>
      <c r="G14" s="2072">
        <f>境外所得税收抵免审核表!G14</f>
        <v>0</v>
      </c>
      <c r="H14" s="2072">
        <f>境外所得税收抵免审核表!H14</f>
        <v>0</v>
      </c>
      <c r="I14" s="2072">
        <f>境外所得税收抵免审核表!I14</f>
        <v>0</v>
      </c>
      <c r="J14" s="2072">
        <f>境外所得税收抵免审核表!J14</f>
        <v>0</v>
      </c>
      <c r="K14" s="2072">
        <f>境外所得税收抵免审核表!K14</f>
        <v>0</v>
      </c>
      <c r="L14" s="2072">
        <f>境外所得税收抵免审核表!L14</f>
        <v>0</v>
      </c>
      <c r="M14" s="2072">
        <f>境外所得税收抵免审核表!M14</f>
        <v>0</v>
      </c>
      <c r="N14" s="2072">
        <f>境外所得税收抵免审核表!N14</f>
        <v>0</v>
      </c>
      <c r="O14" s="2072">
        <f>境外所得税收抵免审核表!O14</f>
        <v>0</v>
      </c>
      <c r="P14" s="2072">
        <f>境外所得税收抵免审核表!P14</f>
        <v>0</v>
      </c>
      <c r="Q14" s="2072">
        <f>境外所得税收抵免审核表!Q14</f>
        <v>0</v>
      </c>
      <c r="R14" s="2072">
        <f>境外所得税收抵免审核表!R14</f>
        <v>0</v>
      </c>
      <c r="S14" s="2072">
        <f>境外所得税收抵免审核表!S14</f>
        <v>0</v>
      </c>
      <c r="T14" s="2072">
        <f>境外所得税收抵免审核表!T14</f>
        <v>0</v>
      </c>
    </row>
    <row r="15" spans="1:21" s="1616" customFormat="1" ht="14.25" customHeight="1">
      <c r="A15" s="1897">
        <v>10</v>
      </c>
      <c r="B15" s="1897" t="s">
        <v>5558</v>
      </c>
      <c r="C15" s="2072">
        <f>境外所得税收抵免审核表!C15</f>
        <v>0</v>
      </c>
      <c r="D15" s="2072">
        <f>境外所得税收抵免审核表!D15</f>
        <v>0</v>
      </c>
      <c r="E15" s="2072">
        <f>境外所得税收抵免审核表!E15</f>
        <v>0</v>
      </c>
      <c r="F15" s="2072">
        <f>境外所得税收抵免审核表!F15</f>
        <v>0</v>
      </c>
      <c r="G15" s="2072">
        <f>境外所得税收抵免审核表!G15</f>
        <v>0</v>
      </c>
      <c r="H15" s="2072">
        <f>境外所得税收抵免审核表!H15</f>
        <v>0</v>
      </c>
      <c r="I15" s="2072">
        <f>境外所得税收抵免审核表!I15</f>
        <v>0</v>
      </c>
      <c r="J15" s="2072">
        <f>境外所得税收抵免审核表!J15</f>
        <v>0</v>
      </c>
      <c r="K15" s="2072">
        <f>境外所得税收抵免审核表!K15</f>
        <v>0</v>
      </c>
      <c r="L15" s="2072">
        <f>境外所得税收抵免审核表!L15</f>
        <v>0</v>
      </c>
      <c r="M15" s="2072">
        <f>境外所得税收抵免审核表!M15</f>
        <v>0</v>
      </c>
      <c r="N15" s="2072">
        <f>境外所得税收抵免审核表!N15</f>
        <v>0</v>
      </c>
      <c r="O15" s="2072">
        <f>境外所得税收抵免审核表!O15</f>
        <v>0</v>
      </c>
      <c r="P15" s="2072">
        <f>境外所得税收抵免审核表!P15</f>
        <v>0</v>
      </c>
      <c r="Q15" s="2072">
        <f>境外所得税收抵免审核表!Q15</f>
        <v>0</v>
      </c>
      <c r="R15" s="2072">
        <f>境外所得税收抵免审核表!R15</f>
        <v>0</v>
      </c>
      <c r="S15" s="2072">
        <f>境外所得税收抵免审核表!S15</f>
        <v>0</v>
      </c>
      <c r="T15" s="2072">
        <f>境外所得税收抵免审核表!T15</f>
        <v>0</v>
      </c>
      <c r="U15" s="1770" t="s">
        <v>6477</v>
      </c>
    </row>
    <row r="16" spans="1:21" ht="215.25" customHeight="1">
      <c r="A16" s="1900"/>
      <c r="B16" s="1962"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1">
      <c r="A17" s="1999"/>
    </row>
    <row r="18" spans="1:1">
      <c r="A18" s="1999"/>
    </row>
    <row r="19" spans="1:1">
      <c r="A19" s="1999"/>
    </row>
    <row r="20" spans="1:1">
      <c r="A20" s="1999"/>
    </row>
    <row r="21" spans="1:1">
      <c r="A21" s="1999"/>
    </row>
    <row r="22" spans="1:1">
      <c r="A22" s="1999"/>
    </row>
  </sheetData>
  <mergeCells count="19">
    <mergeCell ref="T3:T4"/>
    <mergeCell ref="I3:I4"/>
    <mergeCell ref="J3:J4"/>
    <mergeCell ref="K3:K4"/>
    <mergeCell ref="L3:L4"/>
    <mergeCell ref="M3:M4"/>
    <mergeCell ref="N3:N4"/>
    <mergeCell ref="A1:T1"/>
    <mergeCell ref="A2:T2"/>
    <mergeCell ref="A3:A5"/>
    <mergeCell ref="B3:B4"/>
    <mergeCell ref="C3:C4"/>
    <mergeCell ref="D3:D4"/>
    <mergeCell ref="E3:E4"/>
    <mergeCell ref="F3:F4"/>
    <mergeCell ref="G3:G4"/>
    <mergeCell ref="H3:H4"/>
    <mergeCell ref="O3:O4"/>
    <mergeCell ref="P3:S3"/>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69921875" defaultRowHeight="13.2"/>
  <cols>
    <col min="1" max="1" width="3.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00" t="s">
        <v>6626</v>
      </c>
      <c r="B1" s="3400"/>
      <c r="C1" s="3400"/>
      <c r="D1" s="3400"/>
      <c r="E1" s="3400"/>
      <c r="F1" s="3400"/>
      <c r="G1" s="3400"/>
      <c r="H1" s="3400"/>
      <c r="I1" s="3400"/>
      <c r="J1" s="3400"/>
      <c r="K1" s="3400"/>
      <c r="L1" s="3400"/>
      <c r="M1" s="3400"/>
      <c r="N1" s="3400"/>
      <c r="O1" s="3400"/>
      <c r="P1" s="3400"/>
      <c r="Q1" s="3400"/>
      <c r="R1" s="3400"/>
      <c r="S1" s="3400"/>
    </row>
    <row r="2" spans="1:20" s="1620" customFormat="1" ht="25.5" customHeight="1">
      <c r="A2" s="3499" t="s">
        <v>5816</v>
      </c>
      <c r="B2" s="3499"/>
      <c r="C2" s="3499"/>
      <c r="D2" s="3499"/>
      <c r="E2" s="3499"/>
      <c r="F2" s="3499"/>
      <c r="G2" s="3499"/>
      <c r="H2" s="3499"/>
      <c r="I2" s="3499"/>
      <c r="J2" s="3499"/>
      <c r="K2" s="3499"/>
      <c r="L2" s="3499"/>
      <c r="M2" s="3499"/>
      <c r="N2" s="3499"/>
      <c r="O2" s="3499"/>
      <c r="P2" s="3499"/>
      <c r="Q2" s="3499"/>
      <c r="R2" s="3499"/>
      <c r="S2" s="3500"/>
    </row>
    <row r="3" spans="1:20" s="1618" customFormat="1" ht="24" customHeight="1">
      <c r="A3" s="3407" t="s">
        <v>5671</v>
      </c>
      <c r="B3" s="3407" t="s">
        <v>5787</v>
      </c>
      <c r="C3" s="3501" t="s">
        <v>5817</v>
      </c>
      <c r="D3" s="3502"/>
      <c r="E3" s="3502"/>
      <c r="F3" s="3502"/>
      <c r="G3" s="3502"/>
      <c r="H3" s="3502"/>
      <c r="I3" s="3502"/>
      <c r="J3" s="3504"/>
      <c r="K3" s="3501" t="s">
        <v>5818</v>
      </c>
      <c r="L3" s="3502"/>
      <c r="M3" s="3502"/>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903">
        <f>境外所得纳税调整后所得审核表!B6</f>
        <v>0</v>
      </c>
      <c r="C6" s="2072">
        <f>境外所得纳税调整后所得审核表!C6</f>
        <v>0</v>
      </c>
      <c r="D6" s="2072">
        <f>境外所得纳税调整后所得审核表!D6</f>
        <v>0</v>
      </c>
      <c r="E6" s="2072">
        <f>境外所得纳税调整后所得审核表!E6</f>
        <v>0</v>
      </c>
      <c r="F6" s="2072">
        <f>境外所得纳税调整后所得审核表!F6</f>
        <v>0</v>
      </c>
      <c r="G6" s="2072">
        <f>境外所得纳税调整后所得审核表!G6</f>
        <v>0</v>
      </c>
      <c r="H6" s="2072">
        <f>境外所得纳税调整后所得审核表!H6</f>
        <v>0</v>
      </c>
      <c r="I6" s="2072">
        <f>境外所得纳税调整后所得审核表!I6</f>
        <v>0</v>
      </c>
      <c r="J6" s="2072">
        <f>境外所得纳税调整后所得审核表!J6</f>
        <v>0</v>
      </c>
      <c r="K6" s="2072">
        <f>境外所得纳税调整后所得审核表!K6</f>
        <v>0</v>
      </c>
      <c r="L6" s="2072">
        <f>境外所得纳税调整后所得审核表!L6</f>
        <v>0</v>
      </c>
      <c r="M6" s="2072">
        <f>境外所得纳税调整后所得审核表!M6</f>
        <v>0</v>
      </c>
      <c r="N6" s="2072">
        <f>境外所得纳税调整后所得审核表!N6</f>
        <v>0</v>
      </c>
      <c r="O6" s="2072">
        <f>境外所得纳税调整后所得审核表!O6</f>
        <v>0</v>
      </c>
      <c r="P6" s="2072">
        <f>境外所得纳税调整后所得审核表!P6</f>
        <v>0</v>
      </c>
      <c r="Q6" s="2072">
        <f>境外所得纳税调整后所得审核表!Q6</f>
        <v>0</v>
      </c>
      <c r="R6" s="2072">
        <f>境外所得纳税调整后所得审核表!R6</f>
        <v>0</v>
      </c>
      <c r="S6" s="2072">
        <f>境外所得纳税调整后所得审核表!S6</f>
        <v>0</v>
      </c>
    </row>
    <row r="7" spans="1:20" s="1616" customFormat="1" ht="14.25" customHeight="1">
      <c r="A7" s="1897">
        <v>2</v>
      </c>
      <c r="B7" s="1903">
        <f>境外所得纳税调整后所得审核表!B7</f>
        <v>0</v>
      </c>
      <c r="C7" s="2072">
        <f>境外所得纳税调整后所得审核表!C7</f>
        <v>0</v>
      </c>
      <c r="D7" s="2072">
        <f>境外所得纳税调整后所得审核表!D7</f>
        <v>0</v>
      </c>
      <c r="E7" s="2072">
        <f>境外所得纳税调整后所得审核表!E7</f>
        <v>0</v>
      </c>
      <c r="F7" s="2072">
        <f>境外所得纳税调整后所得审核表!F7</f>
        <v>0</v>
      </c>
      <c r="G7" s="2072">
        <f>境外所得纳税调整后所得审核表!G7</f>
        <v>0</v>
      </c>
      <c r="H7" s="2072">
        <f>境外所得纳税调整后所得审核表!H7</f>
        <v>0</v>
      </c>
      <c r="I7" s="2072">
        <f>境外所得纳税调整后所得审核表!I7</f>
        <v>0</v>
      </c>
      <c r="J7" s="2072">
        <f>境外所得纳税调整后所得审核表!J7</f>
        <v>0</v>
      </c>
      <c r="K7" s="2072">
        <f>境外所得纳税调整后所得审核表!K7</f>
        <v>0</v>
      </c>
      <c r="L7" s="2072">
        <f>境外所得纳税调整后所得审核表!L7</f>
        <v>0</v>
      </c>
      <c r="M7" s="2072">
        <f>境外所得纳税调整后所得审核表!M7</f>
        <v>0</v>
      </c>
      <c r="N7" s="2072">
        <f>境外所得纳税调整后所得审核表!N7</f>
        <v>0</v>
      </c>
      <c r="O7" s="2072">
        <f>境外所得纳税调整后所得审核表!O7</f>
        <v>0</v>
      </c>
      <c r="P7" s="2072">
        <f>境外所得纳税调整后所得审核表!P7</f>
        <v>0</v>
      </c>
      <c r="Q7" s="2072">
        <f>境外所得纳税调整后所得审核表!Q7</f>
        <v>0</v>
      </c>
      <c r="R7" s="2072">
        <f>境外所得纳税调整后所得审核表!R7</f>
        <v>0</v>
      </c>
      <c r="S7" s="2072">
        <f>境外所得纳税调整后所得审核表!S7</f>
        <v>0</v>
      </c>
    </row>
    <row r="8" spans="1:20" s="1616" customFormat="1" ht="14.25" customHeight="1">
      <c r="A8" s="1897">
        <v>3</v>
      </c>
      <c r="B8" s="1903">
        <f>境外所得纳税调整后所得审核表!B8</f>
        <v>0</v>
      </c>
      <c r="C8" s="2072">
        <f>境外所得纳税调整后所得审核表!C8</f>
        <v>0</v>
      </c>
      <c r="D8" s="2072">
        <f>境外所得纳税调整后所得审核表!D8</f>
        <v>0</v>
      </c>
      <c r="E8" s="2072">
        <f>境外所得纳税调整后所得审核表!E8</f>
        <v>0</v>
      </c>
      <c r="F8" s="2072">
        <f>境外所得纳税调整后所得审核表!F8</f>
        <v>0</v>
      </c>
      <c r="G8" s="2072">
        <f>境外所得纳税调整后所得审核表!G8</f>
        <v>0</v>
      </c>
      <c r="H8" s="2072">
        <f>境外所得纳税调整后所得审核表!H8</f>
        <v>0</v>
      </c>
      <c r="I8" s="2072">
        <f>境外所得纳税调整后所得审核表!I8</f>
        <v>0</v>
      </c>
      <c r="J8" s="2072">
        <f>境外所得纳税调整后所得审核表!J8</f>
        <v>0</v>
      </c>
      <c r="K8" s="2072">
        <f>境外所得纳税调整后所得审核表!K8</f>
        <v>0</v>
      </c>
      <c r="L8" s="2072">
        <f>境外所得纳税调整后所得审核表!L8</f>
        <v>0</v>
      </c>
      <c r="M8" s="2072">
        <f>境外所得纳税调整后所得审核表!M8</f>
        <v>0</v>
      </c>
      <c r="N8" s="2072">
        <f>境外所得纳税调整后所得审核表!N8</f>
        <v>0</v>
      </c>
      <c r="O8" s="2072">
        <f>境外所得纳税调整后所得审核表!O8</f>
        <v>0</v>
      </c>
      <c r="P8" s="2072">
        <f>境外所得纳税调整后所得审核表!P8</f>
        <v>0</v>
      </c>
      <c r="Q8" s="2072">
        <f>境外所得纳税调整后所得审核表!Q8</f>
        <v>0</v>
      </c>
      <c r="R8" s="2072">
        <f>境外所得纳税调整后所得审核表!R8</f>
        <v>0</v>
      </c>
      <c r="S8" s="2072">
        <f>境外所得纳税调整后所得审核表!S8</f>
        <v>0</v>
      </c>
    </row>
    <row r="9" spans="1:20" s="1616" customFormat="1" ht="14.25" customHeight="1">
      <c r="A9" s="1897">
        <v>4</v>
      </c>
      <c r="B9" s="1903">
        <f>境外所得纳税调整后所得审核表!B9</f>
        <v>0</v>
      </c>
      <c r="C9" s="2072">
        <f>境外所得纳税调整后所得审核表!C9</f>
        <v>0</v>
      </c>
      <c r="D9" s="2072">
        <f>境外所得纳税调整后所得审核表!D9</f>
        <v>0</v>
      </c>
      <c r="E9" s="2072">
        <f>境外所得纳税调整后所得审核表!E9</f>
        <v>0</v>
      </c>
      <c r="F9" s="2072">
        <f>境外所得纳税调整后所得审核表!F9</f>
        <v>0</v>
      </c>
      <c r="G9" s="2072">
        <f>境外所得纳税调整后所得审核表!G9</f>
        <v>0</v>
      </c>
      <c r="H9" s="2072">
        <f>境外所得纳税调整后所得审核表!H9</f>
        <v>0</v>
      </c>
      <c r="I9" s="2072">
        <f>境外所得纳税调整后所得审核表!I9</f>
        <v>0</v>
      </c>
      <c r="J9" s="2072">
        <f>境外所得纳税调整后所得审核表!J9</f>
        <v>0</v>
      </c>
      <c r="K9" s="2072">
        <f>境外所得纳税调整后所得审核表!K9</f>
        <v>0</v>
      </c>
      <c r="L9" s="2072">
        <f>境外所得纳税调整后所得审核表!L9</f>
        <v>0</v>
      </c>
      <c r="M9" s="2072">
        <f>境外所得纳税调整后所得审核表!M9</f>
        <v>0</v>
      </c>
      <c r="N9" s="2072">
        <f>境外所得纳税调整后所得审核表!N9</f>
        <v>0</v>
      </c>
      <c r="O9" s="2072">
        <f>境外所得纳税调整后所得审核表!O9</f>
        <v>0</v>
      </c>
      <c r="P9" s="2072">
        <f>境外所得纳税调整后所得审核表!P9</f>
        <v>0</v>
      </c>
      <c r="Q9" s="2072">
        <f>境外所得纳税调整后所得审核表!Q9</f>
        <v>0</v>
      </c>
      <c r="R9" s="2072">
        <f>境外所得纳税调整后所得审核表!R9</f>
        <v>0</v>
      </c>
      <c r="S9" s="2072">
        <f>境外所得纳税调整后所得审核表!S9</f>
        <v>0</v>
      </c>
    </row>
    <row r="10" spans="1:20" s="1616" customFormat="1" ht="14.25" customHeight="1">
      <c r="A10" s="1897">
        <v>5</v>
      </c>
      <c r="B10" s="1903">
        <f>境外所得纳税调整后所得审核表!B10</f>
        <v>0</v>
      </c>
      <c r="C10" s="2072">
        <f>境外所得纳税调整后所得审核表!C10</f>
        <v>0</v>
      </c>
      <c r="D10" s="2072">
        <f>境外所得纳税调整后所得审核表!D10</f>
        <v>0</v>
      </c>
      <c r="E10" s="2072">
        <f>境外所得纳税调整后所得审核表!E10</f>
        <v>0</v>
      </c>
      <c r="F10" s="2072">
        <f>境外所得纳税调整后所得审核表!F10</f>
        <v>0</v>
      </c>
      <c r="G10" s="2072">
        <f>境外所得纳税调整后所得审核表!G10</f>
        <v>0</v>
      </c>
      <c r="H10" s="2072">
        <f>境外所得纳税调整后所得审核表!H10</f>
        <v>0</v>
      </c>
      <c r="I10" s="2072">
        <f>境外所得纳税调整后所得审核表!I10</f>
        <v>0</v>
      </c>
      <c r="J10" s="2072">
        <f>境外所得纳税调整后所得审核表!J10</f>
        <v>0</v>
      </c>
      <c r="K10" s="2072">
        <f>境外所得纳税调整后所得审核表!K10</f>
        <v>0</v>
      </c>
      <c r="L10" s="2072">
        <f>境外所得纳税调整后所得审核表!L10</f>
        <v>0</v>
      </c>
      <c r="M10" s="2072">
        <f>境外所得纳税调整后所得审核表!M10</f>
        <v>0</v>
      </c>
      <c r="N10" s="2072">
        <f>境外所得纳税调整后所得审核表!N10</f>
        <v>0</v>
      </c>
      <c r="O10" s="2072">
        <f>境外所得纳税调整后所得审核表!O10</f>
        <v>0</v>
      </c>
      <c r="P10" s="2072">
        <f>境外所得纳税调整后所得审核表!P10</f>
        <v>0</v>
      </c>
      <c r="Q10" s="2072">
        <f>境外所得纳税调整后所得审核表!Q10</f>
        <v>0</v>
      </c>
      <c r="R10" s="2072">
        <f>境外所得纳税调整后所得审核表!R10</f>
        <v>0</v>
      </c>
      <c r="S10" s="2072">
        <f>境外所得纳税调整后所得审核表!S10</f>
        <v>0</v>
      </c>
    </row>
    <row r="11" spans="1:20" s="1616" customFormat="1" ht="14.25" customHeight="1">
      <c r="A11" s="1897">
        <v>6</v>
      </c>
      <c r="B11" s="1903">
        <f>境外所得纳税调整后所得审核表!B11</f>
        <v>0</v>
      </c>
      <c r="C11" s="2072">
        <f>境外所得纳税调整后所得审核表!C11</f>
        <v>0</v>
      </c>
      <c r="D11" s="2072">
        <f>境外所得纳税调整后所得审核表!D11</f>
        <v>0</v>
      </c>
      <c r="E11" s="2072">
        <f>境外所得纳税调整后所得审核表!E11</f>
        <v>0</v>
      </c>
      <c r="F11" s="2072">
        <f>境外所得纳税调整后所得审核表!F11</f>
        <v>0</v>
      </c>
      <c r="G11" s="2072">
        <f>境外所得纳税调整后所得审核表!G11</f>
        <v>0</v>
      </c>
      <c r="H11" s="2072">
        <f>境外所得纳税调整后所得审核表!H11</f>
        <v>0</v>
      </c>
      <c r="I11" s="2072">
        <f>境外所得纳税调整后所得审核表!I11</f>
        <v>0</v>
      </c>
      <c r="J11" s="2072">
        <f>境外所得纳税调整后所得审核表!J11</f>
        <v>0</v>
      </c>
      <c r="K11" s="2072">
        <f>境外所得纳税调整后所得审核表!K11</f>
        <v>0</v>
      </c>
      <c r="L11" s="2072">
        <f>境外所得纳税调整后所得审核表!L11</f>
        <v>0</v>
      </c>
      <c r="M11" s="2072">
        <f>境外所得纳税调整后所得审核表!M11</f>
        <v>0</v>
      </c>
      <c r="N11" s="2072">
        <f>境外所得纳税调整后所得审核表!N11</f>
        <v>0</v>
      </c>
      <c r="O11" s="2072">
        <f>境外所得纳税调整后所得审核表!O11</f>
        <v>0</v>
      </c>
      <c r="P11" s="2072">
        <f>境外所得纳税调整后所得审核表!P11</f>
        <v>0</v>
      </c>
      <c r="Q11" s="2072">
        <f>境外所得纳税调整后所得审核表!Q11</f>
        <v>0</v>
      </c>
      <c r="R11" s="2072">
        <f>境外所得纳税调整后所得审核表!R11</f>
        <v>0</v>
      </c>
      <c r="S11" s="2072">
        <f>境外所得纳税调整后所得审核表!S11</f>
        <v>0</v>
      </c>
    </row>
    <row r="12" spans="1:20" s="1616" customFormat="1" ht="14.25" customHeight="1">
      <c r="A12" s="1897">
        <v>7</v>
      </c>
      <c r="B12" s="1903">
        <f>境外所得纳税调整后所得审核表!B12</f>
        <v>0</v>
      </c>
      <c r="C12" s="2072">
        <f>境外所得纳税调整后所得审核表!C12</f>
        <v>0</v>
      </c>
      <c r="D12" s="2072">
        <f>境外所得纳税调整后所得审核表!D12</f>
        <v>0</v>
      </c>
      <c r="E12" s="2072">
        <f>境外所得纳税调整后所得审核表!E12</f>
        <v>0</v>
      </c>
      <c r="F12" s="2072">
        <f>境外所得纳税调整后所得审核表!F12</f>
        <v>0</v>
      </c>
      <c r="G12" s="2072">
        <f>境外所得纳税调整后所得审核表!G12</f>
        <v>0</v>
      </c>
      <c r="H12" s="2072">
        <f>境外所得纳税调整后所得审核表!H12</f>
        <v>0</v>
      </c>
      <c r="I12" s="2072">
        <f>境外所得纳税调整后所得审核表!I12</f>
        <v>0</v>
      </c>
      <c r="J12" s="2072">
        <f>境外所得纳税调整后所得审核表!J12</f>
        <v>0</v>
      </c>
      <c r="K12" s="2072">
        <f>境外所得纳税调整后所得审核表!K12</f>
        <v>0</v>
      </c>
      <c r="L12" s="2072">
        <f>境外所得纳税调整后所得审核表!L12</f>
        <v>0</v>
      </c>
      <c r="M12" s="2072">
        <f>境外所得纳税调整后所得审核表!M12</f>
        <v>0</v>
      </c>
      <c r="N12" s="2072">
        <f>境外所得纳税调整后所得审核表!N12</f>
        <v>0</v>
      </c>
      <c r="O12" s="2072">
        <f>境外所得纳税调整后所得审核表!O12</f>
        <v>0</v>
      </c>
      <c r="P12" s="2072">
        <f>境外所得纳税调整后所得审核表!P12</f>
        <v>0</v>
      </c>
      <c r="Q12" s="2072">
        <f>境外所得纳税调整后所得审核表!Q12</f>
        <v>0</v>
      </c>
      <c r="R12" s="2072">
        <f>境外所得纳税调整后所得审核表!R12</f>
        <v>0</v>
      </c>
      <c r="S12" s="2072">
        <f>境外所得纳税调整后所得审核表!S12</f>
        <v>0</v>
      </c>
    </row>
    <row r="13" spans="1:20" s="1616" customFormat="1" ht="14.25" customHeight="1">
      <c r="A13" s="1897">
        <v>8</v>
      </c>
      <c r="B13" s="1903">
        <f>境外所得纳税调整后所得审核表!B13</f>
        <v>0</v>
      </c>
      <c r="C13" s="2072">
        <f>境外所得纳税调整后所得审核表!C13</f>
        <v>0</v>
      </c>
      <c r="D13" s="2072">
        <f>境外所得纳税调整后所得审核表!D13</f>
        <v>0</v>
      </c>
      <c r="E13" s="2072">
        <f>境外所得纳税调整后所得审核表!E13</f>
        <v>0</v>
      </c>
      <c r="F13" s="2072">
        <f>境外所得纳税调整后所得审核表!F13</f>
        <v>0</v>
      </c>
      <c r="G13" s="2072">
        <f>境外所得纳税调整后所得审核表!G13</f>
        <v>0</v>
      </c>
      <c r="H13" s="2072">
        <f>境外所得纳税调整后所得审核表!H13</f>
        <v>0</v>
      </c>
      <c r="I13" s="2072">
        <f>境外所得纳税调整后所得审核表!I13</f>
        <v>0</v>
      </c>
      <c r="J13" s="2072">
        <f>境外所得纳税调整后所得审核表!J13</f>
        <v>0</v>
      </c>
      <c r="K13" s="2072">
        <f>境外所得纳税调整后所得审核表!K13</f>
        <v>0</v>
      </c>
      <c r="L13" s="2072">
        <f>境外所得纳税调整后所得审核表!L13</f>
        <v>0</v>
      </c>
      <c r="M13" s="2072">
        <f>境外所得纳税调整后所得审核表!M13</f>
        <v>0</v>
      </c>
      <c r="N13" s="2072">
        <f>境外所得纳税调整后所得审核表!N13</f>
        <v>0</v>
      </c>
      <c r="O13" s="2072">
        <f>境外所得纳税调整后所得审核表!O13</f>
        <v>0</v>
      </c>
      <c r="P13" s="2072">
        <f>境外所得纳税调整后所得审核表!P13</f>
        <v>0</v>
      </c>
      <c r="Q13" s="2072">
        <f>境外所得纳税调整后所得审核表!Q13</f>
        <v>0</v>
      </c>
      <c r="R13" s="2072">
        <f>境外所得纳税调整后所得审核表!R13</f>
        <v>0</v>
      </c>
      <c r="S13" s="2072">
        <f>境外所得纳税调整后所得审核表!S13</f>
        <v>0</v>
      </c>
    </row>
    <row r="14" spans="1:20" s="1616" customFormat="1" ht="14.25" customHeight="1">
      <c r="A14" s="1897">
        <v>9</v>
      </c>
      <c r="B14" s="1903">
        <f>境外所得纳税调整后所得审核表!B14</f>
        <v>0</v>
      </c>
      <c r="C14" s="2072">
        <f>境外所得纳税调整后所得审核表!C14</f>
        <v>0</v>
      </c>
      <c r="D14" s="2072">
        <f>境外所得纳税调整后所得审核表!D14</f>
        <v>0</v>
      </c>
      <c r="E14" s="2072">
        <f>境外所得纳税调整后所得审核表!E14</f>
        <v>0</v>
      </c>
      <c r="F14" s="2072">
        <f>境外所得纳税调整后所得审核表!F14</f>
        <v>0</v>
      </c>
      <c r="G14" s="2072">
        <f>境外所得纳税调整后所得审核表!G14</f>
        <v>0</v>
      </c>
      <c r="H14" s="2072">
        <f>境外所得纳税调整后所得审核表!H14</f>
        <v>0</v>
      </c>
      <c r="I14" s="2072">
        <f>境外所得纳税调整后所得审核表!I14</f>
        <v>0</v>
      </c>
      <c r="J14" s="2072">
        <f>境外所得纳税调整后所得审核表!J14</f>
        <v>0</v>
      </c>
      <c r="K14" s="2072">
        <f>境外所得纳税调整后所得审核表!K14</f>
        <v>0</v>
      </c>
      <c r="L14" s="2072">
        <f>境外所得纳税调整后所得审核表!L14</f>
        <v>0</v>
      </c>
      <c r="M14" s="2072">
        <f>境外所得纳税调整后所得审核表!M14</f>
        <v>0</v>
      </c>
      <c r="N14" s="2072">
        <f>境外所得纳税调整后所得审核表!N14</f>
        <v>0</v>
      </c>
      <c r="O14" s="2072">
        <f>境外所得纳税调整后所得审核表!O14</f>
        <v>0</v>
      </c>
      <c r="P14" s="2072">
        <f>境外所得纳税调整后所得审核表!P14</f>
        <v>0</v>
      </c>
      <c r="Q14" s="2072">
        <f>境外所得纳税调整后所得审核表!Q14</f>
        <v>0</v>
      </c>
      <c r="R14" s="2072">
        <f>境外所得纳税调整后所得审核表!R14</f>
        <v>0</v>
      </c>
      <c r="S14" s="2072">
        <f>境外所得纳税调整后所得审核表!S14</f>
        <v>0</v>
      </c>
    </row>
    <row r="15" spans="1:20" s="1616" customFormat="1" ht="14.25" customHeight="1">
      <c r="A15" s="1897">
        <v>10</v>
      </c>
      <c r="B15" s="1897" t="s">
        <v>5482</v>
      </c>
      <c r="C15" s="2072">
        <f>境外所得纳税调整后所得审核表!C15</f>
        <v>0</v>
      </c>
      <c r="D15" s="2072">
        <f>境外所得纳税调整后所得审核表!D15</f>
        <v>0</v>
      </c>
      <c r="E15" s="2072">
        <f>境外所得纳税调整后所得审核表!E15</f>
        <v>0</v>
      </c>
      <c r="F15" s="2072">
        <f>境外所得纳税调整后所得审核表!F15</f>
        <v>0</v>
      </c>
      <c r="G15" s="2072">
        <f>境外所得纳税调整后所得审核表!G15</f>
        <v>0</v>
      </c>
      <c r="H15" s="2072">
        <f>境外所得纳税调整后所得审核表!H15</f>
        <v>0</v>
      </c>
      <c r="I15" s="2072">
        <f>境外所得纳税调整后所得审核表!I15</f>
        <v>0</v>
      </c>
      <c r="J15" s="2072">
        <f>境外所得纳税调整后所得审核表!J15</f>
        <v>0</v>
      </c>
      <c r="K15" s="2072">
        <f>境外所得纳税调整后所得审核表!K15</f>
        <v>0</v>
      </c>
      <c r="L15" s="2072">
        <f>境外所得纳税调整后所得审核表!L15</f>
        <v>0</v>
      </c>
      <c r="M15" s="2072">
        <f>境外所得纳税调整后所得审核表!M15</f>
        <v>0</v>
      </c>
      <c r="N15" s="2072">
        <f>境外所得纳税调整后所得审核表!N15</f>
        <v>0</v>
      </c>
      <c r="O15" s="2072">
        <f>境外所得纳税调整后所得审核表!O15</f>
        <v>0</v>
      </c>
      <c r="P15" s="2072">
        <f>境外所得纳税调整后所得审核表!P15</f>
        <v>0</v>
      </c>
      <c r="Q15" s="2072">
        <f>境外所得纳税调整后所得审核表!Q15</f>
        <v>0</v>
      </c>
      <c r="R15" s="2072">
        <f>境外所得纳税调整后所得审核表!R15</f>
        <v>0</v>
      </c>
      <c r="S15" s="2072">
        <f>境外所得纳税调整后所得审核表!S15</f>
        <v>0</v>
      </c>
      <c r="T15" s="1770" t="s">
        <v>6627</v>
      </c>
    </row>
    <row r="16" spans="1:20" ht="192" customHeight="1">
      <c r="A16" s="1900"/>
      <c r="B16" s="1962"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row r="17" spans="1:1">
      <c r="A17" s="2003"/>
    </row>
    <row r="18" spans="1:1">
      <c r="A18" s="2003"/>
    </row>
    <row r="19" spans="1:1">
      <c r="A19" s="2003"/>
    </row>
    <row r="20" spans="1:1">
      <c r="A20" s="2003"/>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69921875" defaultRowHeight="19.95" customHeight="1"/>
  <cols>
    <col min="1" max="1" width="3.6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00" t="s">
        <v>5840</v>
      </c>
      <c r="B1" s="3400"/>
      <c r="C1" s="3400"/>
      <c r="D1" s="3400"/>
      <c r="E1" s="3400"/>
      <c r="F1" s="3400"/>
      <c r="G1" s="3400"/>
      <c r="H1" s="3400"/>
      <c r="I1" s="3400"/>
      <c r="J1" s="3400"/>
      <c r="K1" s="3400"/>
      <c r="L1" s="3400"/>
      <c r="M1" s="3400"/>
      <c r="N1" s="3400"/>
      <c r="O1" s="3400"/>
      <c r="P1" s="3400"/>
      <c r="Q1" s="3400"/>
      <c r="R1" s="3400"/>
      <c r="S1" s="3400"/>
      <c r="T1" s="3400"/>
    </row>
    <row r="2" spans="1:20" s="1622" customFormat="1" ht="25.5" customHeight="1">
      <c r="A2" s="1906" t="s">
        <v>5841</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9">
        <f>境外分支机构弥补亏损审核表!B9</f>
        <v>0</v>
      </c>
      <c r="C9" s="2072">
        <f>境外分支机构弥补亏损审核表!C9</f>
        <v>0</v>
      </c>
      <c r="D9" s="2072">
        <f>境外分支机构弥补亏损审核表!D9</f>
        <v>0</v>
      </c>
      <c r="E9" s="2072">
        <f>境外分支机构弥补亏损审核表!E9</f>
        <v>0</v>
      </c>
      <c r="F9" s="2072">
        <f>境外分支机构弥补亏损审核表!F9</f>
        <v>0</v>
      </c>
      <c r="G9" s="2072">
        <f>境外分支机构弥补亏损审核表!G9</f>
        <v>0</v>
      </c>
      <c r="H9" s="2072">
        <f>境外分支机构弥补亏损审核表!H9</f>
        <v>0</v>
      </c>
      <c r="I9" s="2072">
        <f>境外分支机构弥补亏损审核表!I9</f>
        <v>0</v>
      </c>
      <c r="J9" s="2072">
        <f>境外分支机构弥补亏损审核表!J9</f>
        <v>0</v>
      </c>
      <c r="K9" s="2072">
        <f>境外分支机构弥补亏损审核表!K9</f>
        <v>0</v>
      </c>
      <c r="L9" s="2072">
        <f>境外分支机构弥补亏损审核表!L9</f>
        <v>0</v>
      </c>
      <c r="M9" s="2072">
        <f>境外分支机构弥补亏损审核表!M9</f>
        <v>0</v>
      </c>
      <c r="N9" s="2072">
        <f>境外分支机构弥补亏损审核表!N9</f>
        <v>0</v>
      </c>
      <c r="O9" s="2072">
        <f>境外分支机构弥补亏损审核表!O9</f>
        <v>0</v>
      </c>
      <c r="P9" s="2072">
        <f>境外分支机构弥补亏损审核表!P9</f>
        <v>0</v>
      </c>
      <c r="Q9" s="2072">
        <f>境外分支机构弥补亏损审核表!Q9</f>
        <v>0</v>
      </c>
      <c r="R9" s="2072">
        <f>境外分支机构弥补亏损审核表!R9</f>
        <v>0</v>
      </c>
      <c r="S9" s="2072">
        <f>境外分支机构弥补亏损审核表!S9</f>
        <v>0</v>
      </c>
      <c r="T9" s="2072">
        <f>境外分支机构弥补亏损审核表!T9</f>
        <v>0</v>
      </c>
    </row>
    <row r="10" spans="1:20" ht="14.25" customHeight="1">
      <c r="A10" s="1910">
        <v>2</v>
      </c>
      <c r="B10" s="1909">
        <f>境外分支机构弥补亏损审核表!B10</f>
        <v>0</v>
      </c>
      <c r="C10" s="2072">
        <f>境外分支机构弥补亏损审核表!C10</f>
        <v>0</v>
      </c>
      <c r="D10" s="2072">
        <f>境外分支机构弥补亏损审核表!D10</f>
        <v>0</v>
      </c>
      <c r="E10" s="2072">
        <f>境外分支机构弥补亏损审核表!E10</f>
        <v>0</v>
      </c>
      <c r="F10" s="2072">
        <f>境外分支机构弥补亏损审核表!F10</f>
        <v>0</v>
      </c>
      <c r="G10" s="2072">
        <f>境外分支机构弥补亏损审核表!G10</f>
        <v>0</v>
      </c>
      <c r="H10" s="2072">
        <f>境外分支机构弥补亏损审核表!H10</f>
        <v>0</v>
      </c>
      <c r="I10" s="2072">
        <f>境外分支机构弥补亏损审核表!I10</f>
        <v>0</v>
      </c>
      <c r="J10" s="2072">
        <f>境外分支机构弥补亏损审核表!J10</f>
        <v>0</v>
      </c>
      <c r="K10" s="2072">
        <f>境外分支机构弥补亏损审核表!K10</f>
        <v>0</v>
      </c>
      <c r="L10" s="2072">
        <f>境外分支机构弥补亏损审核表!L10</f>
        <v>0</v>
      </c>
      <c r="M10" s="2072">
        <f>境外分支机构弥补亏损审核表!M10</f>
        <v>0</v>
      </c>
      <c r="N10" s="2072">
        <f>境外分支机构弥补亏损审核表!N10</f>
        <v>0</v>
      </c>
      <c r="O10" s="2072">
        <f>境外分支机构弥补亏损审核表!O10</f>
        <v>0</v>
      </c>
      <c r="P10" s="2072">
        <f>境外分支机构弥补亏损审核表!P10</f>
        <v>0</v>
      </c>
      <c r="Q10" s="2072">
        <f>境外分支机构弥补亏损审核表!Q10</f>
        <v>0</v>
      </c>
      <c r="R10" s="2072">
        <f>境外分支机构弥补亏损审核表!R10</f>
        <v>0</v>
      </c>
      <c r="S10" s="2072">
        <f>境外分支机构弥补亏损审核表!S10</f>
        <v>0</v>
      </c>
      <c r="T10" s="2072">
        <f>境外分支机构弥补亏损审核表!T10</f>
        <v>0</v>
      </c>
    </row>
    <row r="11" spans="1:20" ht="14.25" customHeight="1">
      <c r="A11" s="1910">
        <v>3</v>
      </c>
      <c r="B11" s="1909">
        <f>境外分支机构弥补亏损审核表!B11</f>
        <v>0</v>
      </c>
      <c r="C11" s="2072">
        <f>境外分支机构弥补亏损审核表!C11</f>
        <v>0</v>
      </c>
      <c r="D11" s="2072">
        <f>境外分支机构弥补亏损审核表!D11</f>
        <v>0</v>
      </c>
      <c r="E11" s="2072">
        <f>境外分支机构弥补亏损审核表!E11</f>
        <v>0</v>
      </c>
      <c r="F11" s="2072">
        <f>境外分支机构弥补亏损审核表!F11</f>
        <v>0</v>
      </c>
      <c r="G11" s="2072">
        <f>境外分支机构弥补亏损审核表!G11</f>
        <v>0</v>
      </c>
      <c r="H11" s="2072">
        <f>境外分支机构弥补亏损审核表!H11</f>
        <v>0</v>
      </c>
      <c r="I11" s="2072">
        <f>境外分支机构弥补亏损审核表!I11</f>
        <v>0</v>
      </c>
      <c r="J11" s="2072">
        <f>境外分支机构弥补亏损审核表!J11</f>
        <v>0</v>
      </c>
      <c r="K11" s="2072">
        <f>境外分支机构弥补亏损审核表!K11</f>
        <v>0</v>
      </c>
      <c r="L11" s="2072">
        <f>境外分支机构弥补亏损审核表!L11</f>
        <v>0</v>
      </c>
      <c r="M11" s="2072">
        <f>境外分支机构弥补亏损审核表!M11</f>
        <v>0</v>
      </c>
      <c r="N11" s="2072">
        <f>境外分支机构弥补亏损审核表!N11</f>
        <v>0</v>
      </c>
      <c r="O11" s="2072">
        <f>境外分支机构弥补亏损审核表!O11</f>
        <v>0</v>
      </c>
      <c r="P11" s="2072">
        <f>境外分支机构弥补亏损审核表!P11</f>
        <v>0</v>
      </c>
      <c r="Q11" s="2072">
        <f>境外分支机构弥补亏损审核表!Q11</f>
        <v>0</v>
      </c>
      <c r="R11" s="2072">
        <f>境外分支机构弥补亏损审核表!R11</f>
        <v>0</v>
      </c>
      <c r="S11" s="2072">
        <f>境外分支机构弥补亏损审核表!S11</f>
        <v>0</v>
      </c>
      <c r="T11" s="2072">
        <f>境外分支机构弥补亏损审核表!T11</f>
        <v>0</v>
      </c>
    </row>
    <row r="12" spans="1:20" ht="14.25" customHeight="1">
      <c r="A12" s="1910">
        <v>4</v>
      </c>
      <c r="B12" s="1909">
        <f>境外分支机构弥补亏损审核表!B12</f>
        <v>0</v>
      </c>
      <c r="C12" s="2072">
        <f>境外分支机构弥补亏损审核表!C12</f>
        <v>0</v>
      </c>
      <c r="D12" s="2072">
        <f>境外分支机构弥补亏损审核表!D12</f>
        <v>0</v>
      </c>
      <c r="E12" s="2072">
        <f>境外分支机构弥补亏损审核表!E12</f>
        <v>0</v>
      </c>
      <c r="F12" s="2072">
        <f>境外分支机构弥补亏损审核表!F12</f>
        <v>0</v>
      </c>
      <c r="G12" s="2072">
        <f>境外分支机构弥补亏损审核表!G12</f>
        <v>0</v>
      </c>
      <c r="H12" s="2072">
        <f>境外分支机构弥补亏损审核表!H12</f>
        <v>0</v>
      </c>
      <c r="I12" s="2072">
        <f>境外分支机构弥补亏损审核表!I12</f>
        <v>0</v>
      </c>
      <c r="J12" s="2072">
        <f>境外分支机构弥补亏损审核表!J12</f>
        <v>0</v>
      </c>
      <c r="K12" s="2072">
        <f>境外分支机构弥补亏损审核表!K12</f>
        <v>0</v>
      </c>
      <c r="L12" s="2072">
        <f>境外分支机构弥补亏损审核表!L12</f>
        <v>0</v>
      </c>
      <c r="M12" s="2072">
        <f>境外分支机构弥补亏损审核表!M12</f>
        <v>0</v>
      </c>
      <c r="N12" s="2072">
        <f>境外分支机构弥补亏损审核表!N12</f>
        <v>0</v>
      </c>
      <c r="O12" s="2072">
        <f>境外分支机构弥补亏损审核表!O12</f>
        <v>0</v>
      </c>
      <c r="P12" s="2072">
        <f>境外分支机构弥补亏损审核表!P12</f>
        <v>0</v>
      </c>
      <c r="Q12" s="2072">
        <f>境外分支机构弥补亏损审核表!Q12</f>
        <v>0</v>
      </c>
      <c r="R12" s="2072">
        <f>境外分支机构弥补亏损审核表!R12</f>
        <v>0</v>
      </c>
      <c r="S12" s="2072">
        <f>境外分支机构弥补亏损审核表!S12</f>
        <v>0</v>
      </c>
      <c r="T12" s="2072">
        <f>境外分支机构弥补亏损审核表!T12</f>
        <v>0</v>
      </c>
    </row>
    <row r="13" spans="1:20" ht="14.25" customHeight="1">
      <c r="A13" s="1910">
        <v>5</v>
      </c>
      <c r="B13" s="1909">
        <f>境外分支机构弥补亏损审核表!B13</f>
        <v>0</v>
      </c>
      <c r="C13" s="2072">
        <f>境外分支机构弥补亏损审核表!C13</f>
        <v>0</v>
      </c>
      <c r="D13" s="2072">
        <f>境外分支机构弥补亏损审核表!D13</f>
        <v>0</v>
      </c>
      <c r="E13" s="2072">
        <f>境外分支机构弥补亏损审核表!E13</f>
        <v>0</v>
      </c>
      <c r="F13" s="2072">
        <f>境外分支机构弥补亏损审核表!F13</f>
        <v>0</v>
      </c>
      <c r="G13" s="2072">
        <f>境外分支机构弥补亏损审核表!G13</f>
        <v>0</v>
      </c>
      <c r="H13" s="2072">
        <f>境外分支机构弥补亏损审核表!H13</f>
        <v>0</v>
      </c>
      <c r="I13" s="2072">
        <f>境外分支机构弥补亏损审核表!I13</f>
        <v>0</v>
      </c>
      <c r="J13" s="2072">
        <f>境外分支机构弥补亏损审核表!J13</f>
        <v>0</v>
      </c>
      <c r="K13" s="2072">
        <f>境外分支机构弥补亏损审核表!K13</f>
        <v>0</v>
      </c>
      <c r="L13" s="2072">
        <f>境外分支机构弥补亏损审核表!L13</f>
        <v>0</v>
      </c>
      <c r="M13" s="2072">
        <f>境外分支机构弥补亏损审核表!M13</f>
        <v>0</v>
      </c>
      <c r="N13" s="2072">
        <f>境外分支机构弥补亏损审核表!N13</f>
        <v>0</v>
      </c>
      <c r="O13" s="2072">
        <f>境外分支机构弥补亏损审核表!O13</f>
        <v>0</v>
      </c>
      <c r="P13" s="2072">
        <f>境外分支机构弥补亏损审核表!P13</f>
        <v>0</v>
      </c>
      <c r="Q13" s="2072">
        <f>境外分支机构弥补亏损审核表!Q13</f>
        <v>0</v>
      </c>
      <c r="R13" s="2072">
        <f>境外分支机构弥补亏损审核表!R13</f>
        <v>0</v>
      </c>
      <c r="S13" s="2072">
        <f>境外分支机构弥补亏损审核表!S13</f>
        <v>0</v>
      </c>
      <c r="T13" s="2072">
        <f>境外分支机构弥补亏损审核表!T13</f>
        <v>0</v>
      </c>
    </row>
    <row r="14" spans="1:20" ht="14.25" customHeight="1">
      <c r="A14" s="1910">
        <v>6</v>
      </c>
      <c r="B14" s="1909">
        <f>境外分支机构弥补亏损审核表!B14</f>
        <v>0</v>
      </c>
      <c r="C14" s="2072">
        <f>境外分支机构弥补亏损审核表!C14</f>
        <v>0</v>
      </c>
      <c r="D14" s="2072">
        <f>境外分支机构弥补亏损审核表!D14</f>
        <v>0</v>
      </c>
      <c r="E14" s="2072">
        <f>境外分支机构弥补亏损审核表!E14</f>
        <v>0</v>
      </c>
      <c r="F14" s="2072">
        <f>境外分支机构弥补亏损审核表!F14</f>
        <v>0</v>
      </c>
      <c r="G14" s="2072">
        <f>境外分支机构弥补亏损审核表!G14</f>
        <v>0</v>
      </c>
      <c r="H14" s="2072">
        <f>境外分支机构弥补亏损审核表!H14</f>
        <v>0</v>
      </c>
      <c r="I14" s="2072">
        <f>境外分支机构弥补亏损审核表!I14</f>
        <v>0</v>
      </c>
      <c r="J14" s="2072">
        <f>境外分支机构弥补亏损审核表!J14</f>
        <v>0</v>
      </c>
      <c r="K14" s="2072">
        <f>境外分支机构弥补亏损审核表!K14</f>
        <v>0</v>
      </c>
      <c r="L14" s="2072">
        <f>境外分支机构弥补亏损审核表!L14</f>
        <v>0</v>
      </c>
      <c r="M14" s="2072">
        <f>境外分支机构弥补亏损审核表!M14</f>
        <v>0</v>
      </c>
      <c r="N14" s="2072">
        <f>境外分支机构弥补亏损审核表!N14</f>
        <v>0</v>
      </c>
      <c r="O14" s="2072">
        <f>境外分支机构弥补亏损审核表!O14</f>
        <v>0</v>
      </c>
      <c r="P14" s="2072">
        <f>境外分支机构弥补亏损审核表!P14</f>
        <v>0</v>
      </c>
      <c r="Q14" s="2072">
        <f>境外分支机构弥补亏损审核表!Q14</f>
        <v>0</v>
      </c>
      <c r="R14" s="2072">
        <f>境外分支机构弥补亏损审核表!R14</f>
        <v>0</v>
      </c>
      <c r="S14" s="2072">
        <f>境外分支机构弥补亏损审核表!S14</f>
        <v>0</v>
      </c>
      <c r="T14" s="2072">
        <f>境外分支机构弥补亏损审核表!T14</f>
        <v>0</v>
      </c>
    </row>
    <row r="15" spans="1:20" ht="14.25" customHeight="1">
      <c r="A15" s="1910">
        <v>7</v>
      </c>
      <c r="B15" s="1909">
        <f>境外分支机构弥补亏损审核表!B15</f>
        <v>0</v>
      </c>
      <c r="C15" s="2072">
        <f>境外分支机构弥补亏损审核表!C15</f>
        <v>0</v>
      </c>
      <c r="D15" s="2072">
        <f>境外分支机构弥补亏损审核表!D15</f>
        <v>0</v>
      </c>
      <c r="E15" s="2072">
        <f>境外分支机构弥补亏损审核表!E15</f>
        <v>0</v>
      </c>
      <c r="F15" s="2072">
        <f>境外分支机构弥补亏损审核表!F15</f>
        <v>0</v>
      </c>
      <c r="G15" s="2072">
        <f>境外分支机构弥补亏损审核表!G15</f>
        <v>0</v>
      </c>
      <c r="H15" s="2072">
        <f>境外分支机构弥补亏损审核表!H15</f>
        <v>0</v>
      </c>
      <c r="I15" s="2072">
        <f>境外分支机构弥补亏损审核表!I15</f>
        <v>0</v>
      </c>
      <c r="J15" s="2072">
        <f>境外分支机构弥补亏损审核表!J15</f>
        <v>0</v>
      </c>
      <c r="K15" s="2072">
        <f>境外分支机构弥补亏损审核表!K15</f>
        <v>0</v>
      </c>
      <c r="L15" s="2072">
        <f>境外分支机构弥补亏损审核表!L15</f>
        <v>0</v>
      </c>
      <c r="M15" s="2072">
        <f>境外分支机构弥补亏损审核表!M15</f>
        <v>0</v>
      </c>
      <c r="N15" s="2072">
        <f>境外分支机构弥补亏损审核表!N15</f>
        <v>0</v>
      </c>
      <c r="O15" s="2072">
        <f>境外分支机构弥补亏损审核表!O15</f>
        <v>0</v>
      </c>
      <c r="P15" s="2072">
        <f>境外分支机构弥补亏损审核表!P15</f>
        <v>0</v>
      </c>
      <c r="Q15" s="2072">
        <f>境外分支机构弥补亏损审核表!Q15</f>
        <v>0</v>
      </c>
      <c r="R15" s="2072">
        <f>境外分支机构弥补亏损审核表!R15</f>
        <v>0</v>
      </c>
      <c r="S15" s="2072">
        <f>境外分支机构弥补亏损审核表!S15</f>
        <v>0</v>
      </c>
      <c r="T15" s="2072">
        <f>境外分支机构弥补亏损审核表!T15</f>
        <v>0</v>
      </c>
    </row>
    <row r="16" spans="1:20" ht="14.25" customHeight="1">
      <c r="A16" s="1910">
        <v>8</v>
      </c>
      <c r="B16" s="1909">
        <f>境外分支机构弥补亏损审核表!B16</f>
        <v>0</v>
      </c>
      <c r="C16" s="2072">
        <f>境外分支机构弥补亏损审核表!C16</f>
        <v>0</v>
      </c>
      <c r="D16" s="2072">
        <f>境外分支机构弥补亏损审核表!D16</f>
        <v>0</v>
      </c>
      <c r="E16" s="2072">
        <f>境外分支机构弥补亏损审核表!E16</f>
        <v>0</v>
      </c>
      <c r="F16" s="2072">
        <f>境外分支机构弥补亏损审核表!F16</f>
        <v>0</v>
      </c>
      <c r="G16" s="2072">
        <f>境外分支机构弥补亏损审核表!G16</f>
        <v>0</v>
      </c>
      <c r="H16" s="2072">
        <f>境外分支机构弥补亏损审核表!H16</f>
        <v>0</v>
      </c>
      <c r="I16" s="2072">
        <f>境外分支机构弥补亏损审核表!I16</f>
        <v>0</v>
      </c>
      <c r="J16" s="2072">
        <f>境外分支机构弥补亏损审核表!J16</f>
        <v>0</v>
      </c>
      <c r="K16" s="2072">
        <f>境外分支机构弥补亏损审核表!K16</f>
        <v>0</v>
      </c>
      <c r="L16" s="2072">
        <f>境外分支机构弥补亏损审核表!L16</f>
        <v>0</v>
      </c>
      <c r="M16" s="2072">
        <f>境外分支机构弥补亏损审核表!M16</f>
        <v>0</v>
      </c>
      <c r="N16" s="2072">
        <f>境外分支机构弥补亏损审核表!N16</f>
        <v>0</v>
      </c>
      <c r="O16" s="2072">
        <f>境外分支机构弥补亏损审核表!O16</f>
        <v>0</v>
      </c>
      <c r="P16" s="2072">
        <f>境外分支机构弥补亏损审核表!P16</f>
        <v>0</v>
      </c>
      <c r="Q16" s="2072">
        <f>境外分支机构弥补亏损审核表!Q16</f>
        <v>0</v>
      </c>
      <c r="R16" s="2072">
        <f>境外分支机构弥补亏损审核表!R16</f>
        <v>0</v>
      </c>
      <c r="S16" s="2072">
        <f>境外分支机构弥补亏损审核表!S16</f>
        <v>0</v>
      </c>
      <c r="T16" s="2072">
        <f>境外分支机构弥补亏损审核表!T16</f>
        <v>0</v>
      </c>
    </row>
    <row r="17" spans="1:21" ht="14.25" customHeight="1">
      <c r="A17" s="1910">
        <v>9</v>
      </c>
      <c r="B17" s="1909">
        <f>境外分支机构弥补亏损审核表!B17</f>
        <v>0</v>
      </c>
      <c r="C17" s="2072">
        <f>境外分支机构弥补亏损审核表!C17</f>
        <v>0</v>
      </c>
      <c r="D17" s="2072">
        <f>境外分支机构弥补亏损审核表!D17</f>
        <v>0</v>
      </c>
      <c r="E17" s="2072">
        <f>境外分支机构弥补亏损审核表!E17</f>
        <v>0</v>
      </c>
      <c r="F17" s="2072">
        <f>境外分支机构弥补亏损审核表!F17</f>
        <v>0</v>
      </c>
      <c r="G17" s="2072">
        <f>境外分支机构弥补亏损审核表!G17</f>
        <v>0</v>
      </c>
      <c r="H17" s="2072">
        <f>境外分支机构弥补亏损审核表!H17</f>
        <v>0</v>
      </c>
      <c r="I17" s="2072">
        <f>境外分支机构弥补亏损审核表!I17</f>
        <v>0</v>
      </c>
      <c r="J17" s="2072">
        <f>境外分支机构弥补亏损审核表!J17</f>
        <v>0</v>
      </c>
      <c r="K17" s="2072">
        <f>境外分支机构弥补亏损审核表!K17</f>
        <v>0</v>
      </c>
      <c r="L17" s="2072">
        <f>境外分支机构弥补亏损审核表!L17</f>
        <v>0</v>
      </c>
      <c r="M17" s="2072">
        <f>境外分支机构弥补亏损审核表!M17</f>
        <v>0</v>
      </c>
      <c r="N17" s="2072">
        <f>境外分支机构弥补亏损审核表!N17</f>
        <v>0</v>
      </c>
      <c r="O17" s="2072">
        <f>境外分支机构弥补亏损审核表!O17</f>
        <v>0</v>
      </c>
      <c r="P17" s="2072">
        <f>境外分支机构弥补亏损审核表!P17</f>
        <v>0</v>
      </c>
      <c r="Q17" s="2072">
        <f>境外分支机构弥补亏损审核表!Q17</f>
        <v>0</v>
      </c>
      <c r="R17" s="2072">
        <f>境外分支机构弥补亏损审核表!R17</f>
        <v>0</v>
      </c>
      <c r="S17" s="2072">
        <f>境外分支机构弥补亏损审核表!S17</f>
        <v>0</v>
      </c>
      <c r="T17" s="2072">
        <f>境外分支机构弥补亏损审核表!T17</f>
        <v>0</v>
      </c>
    </row>
    <row r="18" spans="1:21" ht="14.25" customHeight="1">
      <c r="A18" s="1910">
        <v>10</v>
      </c>
      <c r="B18" s="1910" t="s">
        <v>5482</v>
      </c>
      <c r="C18" s="2072">
        <f>境外分支机构弥补亏损审核表!C18</f>
        <v>0</v>
      </c>
      <c r="D18" s="2072">
        <f>境外分支机构弥补亏损审核表!D18</f>
        <v>0</v>
      </c>
      <c r="E18" s="2072">
        <f>境外分支机构弥补亏损审核表!E18</f>
        <v>0</v>
      </c>
      <c r="F18" s="2072">
        <f>境外分支机构弥补亏损审核表!F18</f>
        <v>0</v>
      </c>
      <c r="G18" s="2072">
        <f>境外分支机构弥补亏损审核表!G18</f>
        <v>0</v>
      </c>
      <c r="H18" s="2072">
        <f>境外分支机构弥补亏损审核表!H18</f>
        <v>0</v>
      </c>
      <c r="I18" s="2072">
        <f>境外分支机构弥补亏损审核表!I18</f>
        <v>0</v>
      </c>
      <c r="J18" s="2072">
        <f>境外分支机构弥补亏损审核表!J18</f>
        <v>0</v>
      </c>
      <c r="K18" s="2072">
        <f>境外分支机构弥补亏损审核表!K18</f>
        <v>0</v>
      </c>
      <c r="L18" s="2072">
        <f>境外分支机构弥补亏损审核表!L18</f>
        <v>0</v>
      </c>
      <c r="M18" s="2072">
        <f>境外分支机构弥补亏损审核表!M18</f>
        <v>0</v>
      </c>
      <c r="N18" s="2072">
        <f>境外分支机构弥补亏损审核表!N18</f>
        <v>0</v>
      </c>
      <c r="O18" s="2072">
        <f>境外分支机构弥补亏损审核表!O18</f>
        <v>0</v>
      </c>
      <c r="P18" s="2072">
        <f>境外分支机构弥补亏损审核表!P18</f>
        <v>0</v>
      </c>
      <c r="Q18" s="2072">
        <f>境外分支机构弥补亏损审核表!Q18</f>
        <v>0</v>
      </c>
      <c r="R18" s="2072">
        <f>境外分支机构弥补亏损审核表!R18</f>
        <v>0</v>
      </c>
      <c r="S18" s="2072">
        <f>境外分支机构弥补亏损审核表!S18</f>
        <v>0</v>
      </c>
      <c r="T18" s="2072">
        <f>境外分支机构弥补亏损审核表!T18</f>
        <v>0</v>
      </c>
      <c r="U18" s="1770" t="s">
        <v>6480</v>
      </c>
    </row>
    <row r="19" spans="1:21" ht="106.5" customHeight="1">
      <c r="A19" s="1914"/>
      <c r="B19" s="1902" t="s">
        <v>5861</v>
      </c>
      <c r="C19" s="1914"/>
      <c r="D19" s="1962"/>
      <c r="E19" s="1962" t="s">
        <v>5862</v>
      </c>
      <c r="F19" s="1914"/>
      <c r="G19" s="1914"/>
      <c r="H19" s="1914"/>
      <c r="I19" s="1914"/>
      <c r="J19" s="1914"/>
      <c r="K19" s="1914"/>
      <c r="L19" s="1914"/>
      <c r="M19" s="1914"/>
      <c r="N19" s="1962"/>
      <c r="O19" s="1962"/>
      <c r="P19" s="1962"/>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3.2"/>
  <cols>
    <col min="1" max="1" width="2.89843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00" t="s">
        <v>5863</v>
      </c>
      <c r="B1" s="3400"/>
      <c r="C1" s="3400"/>
      <c r="D1" s="3400"/>
      <c r="E1" s="3400"/>
      <c r="F1" s="3400"/>
      <c r="G1" s="3400"/>
      <c r="H1" s="3400"/>
      <c r="I1" s="3400"/>
      <c r="J1" s="3400"/>
      <c r="K1" s="3400"/>
      <c r="L1" s="3400"/>
      <c r="M1" s="3400"/>
      <c r="N1" s="3400"/>
      <c r="O1" s="3400"/>
      <c r="P1" s="3400"/>
      <c r="Q1" s="3400"/>
      <c r="R1" s="3400"/>
      <c r="S1" s="3400"/>
      <c r="T1" s="3400"/>
    </row>
    <row r="2" spans="1:21" s="1624" customFormat="1" ht="25.5" customHeight="1">
      <c r="A2" s="3401" t="s">
        <v>5864</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3">
        <f>跨年度结转抵免境外所得税审核表!B6</f>
        <v>0</v>
      </c>
      <c r="C6" s="2072">
        <f>跨年度结转抵免境外所得税审核表!C6</f>
        <v>0</v>
      </c>
      <c r="D6" s="2072">
        <f>跨年度结转抵免境外所得税审核表!D6</f>
        <v>0</v>
      </c>
      <c r="E6" s="2072">
        <f>跨年度结转抵免境外所得税审核表!E6</f>
        <v>0</v>
      </c>
      <c r="F6" s="2072">
        <f>跨年度结转抵免境外所得税审核表!F6</f>
        <v>0</v>
      </c>
      <c r="G6" s="2072">
        <f>跨年度结转抵免境外所得税审核表!G6</f>
        <v>0</v>
      </c>
      <c r="H6" s="2072">
        <f>跨年度结转抵免境外所得税审核表!H6</f>
        <v>0</v>
      </c>
      <c r="I6" s="2072">
        <f>跨年度结转抵免境外所得税审核表!I6</f>
        <v>0</v>
      </c>
      <c r="J6" s="2072">
        <f>跨年度结转抵免境外所得税审核表!J6</f>
        <v>0</v>
      </c>
      <c r="K6" s="2072">
        <f>跨年度结转抵免境外所得税审核表!K6</f>
        <v>0</v>
      </c>
      <c r="L6" s="2072">
        <f>跨年度结转抵免境外所得税审核表!L6</f>
        <v>0</v>
      </c>
      <c r="M6" s="2072">
        <f>跨年度结转抵免境外所得税审核表!M6</f>
        <v>0</v>
      </c>
      <c r="N6" s="2072">
        <f>跨年度结转抵免境外所得税审核表!N6</f>
        <v>0</v>
      </c>
      <c r="O6" s="2072">
        <f>跨年度结转抵免境外所得税审核表!O6</f>
        <v>0</v>
      </c>
      <c r="P6" s="2072">
        <f>跨年度结转抵免境外所得税审核表!P6</f>
        <v>0</v>
      </c>
      <c r="Q6" s="2072">
        <f>跨年度结转抵免境外所得税审核表!Q6</f>
        <v>0</v>
      </c>
      <c r="R6" s="2072">
        <f>跨年度结转抵免境外所得税审核表!R6</f>
        <v>0</v>
      </c>
      <c r="S6" s="2072">
        <f>跨年度结转抵免境外所得税审核表!S6</f>
        <v>0</v>
      </c>
      <c r="T6" s="2072">
        <f>跨年度结转抵免境外所得税审核表!T6</f>
        <v>0</v>
      </c>
    </row>
    <row r="7" spans="1:21" s="1616" customFormat="1" ht="14.25" customHeight="1">
      <c r="A7" s="1897">
        <v>2</v>
      </c>
      <c r="B7" s="1903">
        <f>跨年度结转抵免境外所得税审核表!B7</f>
        <v>0</v>
      </c>
      <c r="C7" s="2072">
        <f>跨年度结转抵免境外所得税审核表!C7</f>
        <v>0</v>
      </c>
      <c r="D7" s="2072">
        <f>跨年度结转抵免境外所得税审核表!D7</f>
        <v>0</v>
      </c>
      <c r="E7" s="2072">
        <f>跨年度结转抵免境外所得税审核表!E7</f>
        <v>0</v>
      </c>
      <c r="F7" s="2072">
        <f>跨年度结转抵免境外所得税审核表!F7</f>
        <v>0</v>
      </c>
      <c r="G7" s="2072">
        <f>跨年度结转抵免境外所得税审核表!G7</f>
        <v>0</v>
      </c>
      <c r="H7" s="2072">
        <f>跨年度结转抵免境外所得税审核表!H7</f>
        <v>0</v>
      </c>
      <c r="I7" s="2072">
        <f>跨年度结转抵免境外所得税审核表!I7</f>
        <v>0</v>
      </c>
      <c r="J7" s="2072">
        <f>跨年度结转抵免境外所得税审核表!J7</f>
        <v>0</v>
      </c>
      <c r="K7" s="2072">
        <f>跨年度结转抵免境外所得税审核表!K7</f>
        <v>0</v>
      </c>
      <c r="L7" s="2072">
        <f>跨年度结转抵免境外所得税审核表!L7</f>
        <v>0</v>
      </c>
      <c r="M7" s="2072">
        <f>跨年度结转抵免境外所得税审核表!M7</f>
        <v>0</v>
      </c>
      <c r="N7" s="2072">
        <f>跨年度结转抵免境外所得税审核表!N7</f>
        <v>0</v>
      </c>
      <c r="O7" s="2072">
        <f>跨年度结转抵免境外所得税审核表!O7</f>
        <v>0</v>
      </c>
      <c r="P7" s="2072">
        <f>跨年度结转抵免境外所得税审核表!P7</f>
        <v>0</v>
      </c>
      <c r="Q7" s="2072">
        <f>跨年度结转抵免境外所得税审核表!Q7</f>
        <v>0</v>
      </c>
      <c r="R7" s="2072">
        <f>跨年度结转抵免境外所得税审核表!R7</f>
        <v>0</v>
      </c>
      <c r="S7" s="2072">
        <f>跨年度结转抵免境外所得税审核表!S7</f>
        <v>0</v>
      </c>
      <c r="T7" s="2072">
        <f>跨年度结转抵免境外所得税审核表!T7</f>
        <v>0</v>
      </c>
    </row>
    <row r="8" spans="1:21" s="1616" customFormat="1" ht="14.25" customHeight="1">
      <c r="A8" s="1897">
        <v>3</v>
      </c>
      <c r="B8" s="1903">
        <f>跨年度结转抵免境外所得税审核表!B8</f>
        <v>0</v>
      </c>
      <c r="C8" s="2072">
        <f>跨年度结转抵免境外所得税审核表!C8</f>
        <v>0</v>
      </c>
      <c r="D8" s="2072">
        <f>跨年度结转抵免境外所得税审核表!D8</f>
        <v>0</v>
      </c>
      <c r="E8" s="2072">
        <f>跨年度结转抵免境外所得税审核表!E8</f>
        <v>0</v>
      </c>
      <c r="F8" s="2072">
        <f>跨年度结转抵免境外所得税审核表!F8</f>
        <v>0</v>
      </c>
      <c r="G8" s="2072">
        <f>跨年度结转抵免境外所得税审核表!G8</f>
        <v>0</v>
      </c>
      <c r="H8" s="2072">
        <f>跨年度结转抵免境外所得税审核表!H8</f>
        <v>0</v>
      </c>
      <c r="I8" s="2072">
        <f>跨年度结转抵免境外所得税审核表!I8</f>
        <v>0</v>
      </c>
      <c r="J8" s="2072">
        <f>跨年度结转抵免境外所得税审核表!J8</f>
        <v>0</v>
      </c>
      <c r="K8" s="2072">
        <f>跨年度结转抵免境外所得税审核表!K8</f>
        <v>0</v>
      </c>
      <c r="L8" s="2072">
        <f>跨年度结转抵免境外所得税审核表!L8</f>
        <v>0</v>
      </c>
      <c r="M8" s="2072">
        <f>跨年度结转抵免境外所得税审核表!M8</f>
        <v>0</v>
      </c>
      <c r="N8" s="2072">
        <f>跨年度结转抵免境外所得税审核表!N8</f>
        <v>0</v>
      </c>
      <c r="O8" s="2072">
        <f>跨年度结转抵免境外所得税审核表!O8</f>
        <v>0</v>
      </c>
      <c r="P8" s="2072">
        <f>跨年度结转抵免境外所得税审核表!P8</f>
        <v>0</v>
      </c>
      <c r="Q8" s="2072">
        <f>跨年度结转抵免境外所得税审核表!Q8</f>
        <v>0</v>
      </c>
      <c r="R8" s="2072">
        <f>跨年度结转抵免境外所得税审核表!R8</f>
        <v>0</v>
      </c>
      <c r="S8" s="2072">
        <f>跨年度结转抵免境外所得税审核表!S8</f>
        <v>0</v>
      </c>
      <c r="T8" s="2072">
        <f>跨年度结转抵免境外所得税审核表!T8</f>
        <v>0</v>
      </c>
    </row>
    <row r="9" spans="1:21" s="1616" customFormat="1" ht="14.25" customHeight="1">
      <c r="A9" s="1897">
        <v>4</v>
      </c>
      <c r="B9" s="1903">
        <f>跨年度结转抵免境外所得税审核表!B9</f>
        <v>0</v>
      </c>
      <c r="C9" s="2072">
        <f>跨年度结转抵免境外所得税审核表!C9</f>
        <v>0</v>
      </c>
      <c r="D9" s="2072">
        <f>跨年度结转抵免境外所得税审核表!D9</f>
        <v>0</v>
      </c>
      <c r="E9" s="2072">
        <f>跨年度结转抵免境外所得税审核表!E9</f>
        <v>0</v>
      </c>
      <c r="F9" s="2072">
        <f>跨年度结转抵免境外所得税审核表!F9</f>
        <v>0</v>
      </c>
      <c r="G9" s="2072">
        <f>跨年度结转抵免境外所得税审核表!G9</f>
        <v>0</v>
      </c>
      <c r="H9" s="2072">
        <f>跨年度结转抵免境外所得税审核表!H9</f>
        <v>0</v>
      </c>
      <c r="I9" s="2072">
        <f>跨年度结转抵免境外所得税审核表!I9</f>
        <v>0</v>
      </c>
      <c r="J9" s="2072">
        <f>跨年度结转抵免境外所得税审核表!J9</f>
        <v>0</v>
      </c>
      <c r="K9" s="2072">
        <f>跨年度结转抵免境外所得税审核表!K9</f>
        <v>0</v>
      </c>
      <c r="L9" s="2072">
        <f>跨年度结转抵免境外所得税审核表!L9</f>
        <v>0</v>
      </c>
      <c r="M9" s="2072">
        <f>跨年度结转抵免境外所得税审核表!M9</f>
        <v>0</v>
      </c>
      <c r="N9" s="2072">
        <f>跨年度结转抵免境外所得税审核表!N9</f>
        <v>0</v>
      </c>
      <c r="O9" s="2072">
        <f>跨年度结转抵免境外所得税审核表!O9</f>
        <v>0</v>
      </c>
      <c r="P9" s="2072">
        <f>跨年度结转抵免境外所得税审核表!P9</f>
        <v>0</v>
      </c>
      <c r="Q9" s="2072">
        <f>跨年度结转抵免境外所得税审核表!Q9</f>
        <v>0</v>
      </c>
      <c r="R9" s="2072">
        <f>跨年度结转抵免境外所得税审核表!R9</f>
        <v>0</v>
      </c>
      <c r="S9" s="2072">
        <f>跨年度结转抵免境外所得税审核表!S9</f>
        <v>0</v>
      </c>
      <c r="T9" s="2072">
        <f>跨年度结转抵免境外所得税审核表!T9</f>
        <v>0</v>
      </c>
    </row>
    <row r="10" spans="1:21" s="1616" customFormat="1" ht="14.25" customHeight="1">
      <c r="A10" s="1897">
        <v>5</v>
      </c>
      <c r="B10" s="1903">
        <f>跨年度结转抵免境外所得税审核表!B10</f>
        <v>0</v>
      </c>
      <c r="C10" s="2072">
        <f>跨年度结转抵免境外所得税审核表!C10</f>
        <v>0</v>
      </c>
      <c r="D10" s="2072">
        <f>跨年度结转抵免境外所得税审核表!D10</f>
        <v>0</v>
      </c>
      <c r="E10" s="2072">
        <f>跨年度结转抵免境外所得税审核表!E10</f>
        <v>0</v>
      </c>
      <c r="F10" s="2072">
        <f>跨年度结转抵免境外所得税审核表!F10</f>
        <v>0</v>
      </c>
      <c r="G10" s="2072">
        <f>跨年度结转抵免境外所得税审核表!G10</f>
        <v>0</v>
      </c>
      <c r="H10" s="2072">
        <f>跨年度结转抵免境外所得税审核表!H10</f>
        <v>0</v>
      </c>
      <c r="I10" s="2072">
        <f>跨年度结转抵免境外所得税审核表!I10</f>
        <v>0</v>
      </c>
      <c r="J10" s="2072">
        <f>跨年度结转抵免境外所得税审核表!J10</f>
        <v>0</v>
      </c>
      <c r="K10" s="2072">
        <f>跨年度结转抵免境外所得税审核表!K10</f>
        <v>0</v>
      </c>
      <c r="L10" s="2072">
        <f>跨年度结转抵免境外所得税审核表!L10</f>
        <v>0</v>
      </c>
      <c r="M10" s="2072">
        <f>跨年度结转抵免境外所得税审核表!M10</f>
        <v>0</v>
      </c>
      <c r="N10" s="2072">
        <f>跨年度结转抵免境外所得税审核表!N10</f>
        <v>0</v>
      </c>
      <c r="O10" s="2072">
        <f>跨年度结转抵免境外所得税审核表!O10</f>
        <v>0</v>
      </c>
      <c r="P10" s="2072">
        <f>跨年度结转抵免境外所得税审核表!P10</f>
        <v>0</v>
      </c>
      <c r="Q10" s="2072">
        <f>跨年度结转抵免境外所得税审核表!Q10</f>
        <v>0</v>
      </c>
      <c r="R10" s="2072">
        <f>跨年度结转抵免境外所得税审核表!R10</f>
        <v>0</v>
      </c>
      <c r="S10" s="2072">
        <f>跨年度结转抵免境外所得税审核表!S10</f>
        <v>0</v>
      </c>
      <c r="T10" s="2072">
        <f>跨年度结转抵免境外所得税审核表!T10</f>
        <v>0</v>
      </c>
    </row>
    <row r="11" spans="1:21" s="1616" customFormat="1" ht="14.25" customHeight="1">
      <c r="A11" s="1897">
        <v>6</v>
      </c>
      <c r="B11" s="1903">
        <f>跨年度结转抵免境外所得税审核表!B11</f>
        <v>0</v>
      </c>
      <c r="C11" s="2072">
        <f>跨年度结转抵免境外所得税审核表!C11</f>
        <v>0</v>
      </c>
      <c r="D11" s="2072">
        <f>跨年度结转抵免境外所得税审核表!D11</f>
        <v>0</v>
      </c>
      <c r="E11" s="2072">
        <f>跨年度结转抵免境外所得税审核表!E11</f>
        <v>0</v>
      </c>
      <c r="F11" s="2072">
        <f>跨年度结转抵免境外所得税审核表!F11</f>
        <v>0</v>
      </c>
      <c r="G11" s="2072">
        <f>跨年度结转抵免境外所得税审核表!G11</f>
        <v>0</v>
      </c>
      <c r="H11" s="2072">
        <f>跨年度结转抵免境外所得税审核表!H11</f>
        <v>0</v>
      </c>
      <c r="I11" s="2072">
        <f>跨年度结转抵免境外所得税审核表!I11</f>
        <v>0</v>
      </c>
      <c r="J11" s="2072">
        <f>跨年度结转抵免境外所得税审核表!J11</f>
        <v>0</v>
      </c>
      <c r="K11" s="2072">
        <f>跨年度结转抵免境外所得税审核表!K11</f>
        <v>0</v>
      </c>
      <c r="L11" s="2072">
        <f>跨年度结转抵免境外所得税审核表!L11</f>
        <v>0</v>
      </c>
      <c r="M11" s="2072">
        <f>跨年度结转抵免境外所得税审核表!M11</f>
        <v>0</v>
      </c>
      <c r="N11" s="2072">
        <f>跨年度结转抵免境外所得税审核表!N11</f>
        <v>0</v>
      </c>
      <c r="O11" s="2072">
        <f>跨年度结转抵免境外所得税审核表!O11</f>
        <v>0</v>
      </c>
      <c r="P11" s="2072">
        <f>跨年度结转抵免境外所得税审核表!P11</f>
        <v>0</v>
      </c>
      <c r="Q11" s="2072">
        <f>跨年度结转抵免境外所得税审核表!Q11</f>
        <v>0</v>
      </c>
      <c r="R11" s="2072">
        <f>跨年度结转抵免境外所得税审核表!R11</f>
        <v>0</v>
      </c>
      <c r="S11" s="2072">
        <f>跨年度结转抵免境外所得税审核表!S11</f>
        <v>0</v>
      </c>
      <c r="T11" s="2072">
        <f>跨年度结转抵免境外所得税审核表!T11</f>
        <v>0</v>
      </c>
    </row>
    <row r="12" spans="1:21" s="1616" customFormat="1" ht="14.25" customHeight="1">
      <c r="A12" s="1897">
        <v>7</v>
      </c>
      <c r="B12" s="1903">
        <f>跨年度结转抵免境外所得税审核表!B12</f>
        <v>0</v>
      </c>
      <c r="C12" s="2072">
        <f>跨年度结转抵免境外所得税审核表!C12</f>
        <v>0</v>
      </c>
      <c r="D12" s="2072">
        <f>跨年度结转抵免境外所得税审核表!D12</f>
        <v>0</v>
      </c>
      <c r="E12" s="2072">
        <f>跨年度结转抵免境外所得税审核表!E12</f>
        <v>0</v>
      </c>
      <c r="F12" s="2072">
        <f>跨年度结转抵免境外所得税审核表!F12</f>
        <v>0</v>
      </c>
      <c r="G12" s="2072">
        <f>跨年度结转抵免境外所得税审核表!G12</f>
        <v>0</v>
      </c>
      <c r="H12" s="2072">
        <f>跨年度结转抵免境外所得税审核表!H12</f>
        <v>0</v>
      </c>
      <c r="I12" s="2072">
        <f>跨年度结转抵免境外所得税审核表!I12</f>
        <v>0</v>
      </c>
      <c r="J12" s="2072">
        <f>跨年度结转抵免境外所得税审核表!J12</f>
        <v>0</v>
      </c>
      <c r="K12" s="2072">
        <f>跨年度结转抵免境外所得税审核表!K12</f>
        <v>0</v>
      </c>
      <c r="L12" s="2072">
        <f>跨年度结转抵免境外所得税审核表!L12</f>
        <v>0</v>
      </c>
      <c r="M12" s="2072">
        <f>跨年度结转抵免境外所得税审核表!M12</f>
        <v>0</v>
      </c>
      <c r="N12" s="2072">
        <f>跨年度结转抵免境外所得税审核表!N12</f>
        <v>0</v>
      </c>
      <c r="O12" s="2072">
        <f>跨年度结转抵免境外所得税审核表!O12</f>
        <v>0</v>
      </c>
      <c r="P12" s="2072">
        <f>跨年度结转抵免境外所得税审核表!P12</f>
        <v>0</v>
      </c>
      <c r="Q12" s="2072">
        <f>跨年度结转抵免境外所得税审核表!Q12</f>
        <v>0</v>
      </c>
      <c r="R12" s="2072">
        <f>跨年度结转抵免境外所得税审核表!R12</f>
        <v>0</v>
      </c>
      <c r="S12" s="2072">
        <f>跨年度结转抵免境外所得税审核表!S12</f>
        <v>0</v>
      </c>
      <c r="T12" s="2072">
        <f>跨年度结转抵免境外所得税审核表!T12</f>
        <v>0</v>
      </c>
    </row>
    <row r="13" spans="1:21" s="1616" customFormat="1" ht="14.25" customHeight="1">
      <c r="A13" s="1897">
        <v>8</v>
      </c>
      <c r="B13" s="1903">
        <f>跨年度结转抵免境外所得税审核表!B13</f>
        <v>0</v>
      </c>
      <c r="C13" s="2072">
        <f>跨年度结转抵免境外所得税审核表!C13</f>
        <v>0</v>
      </c>
      <c r="D13" s="2072">
        <f>跨年度结转抵免境外所得税审核表!D13</f>
        <v>0</v>
      </c>
      <c r="E13" s="2072">
        <f>跨年度结转抵免境外所得税审核表!E13</f>
        <v>0</v>
      </c>
      <c r="F13" s="2072">
        <f>跨年度结转抵免境外所得税审核表!F13</f>
        <v>0</v>
      </c>
      <c r="G13" s="2072">
        <f>跨年度结转抵免境外所得税审核表!G13</f>
        <v>0</v>
      </c>
      <c r="H13" s="2072">
        <f>跨年度结转抵免境外所得税审核表!H13</f>
        <v>0</v>
      </c>
      <c r="I13" s="2072">
        <f>跨年度结转抵免境外所得税审核表!I13</f>
        <v>0</v>
      </c>
      <c r="J13" s="2072">
        <f>跨年度结转抵免境外所得税审核表!J13</f>
        <v>0</v>
      </c>
      <c r="K13" s="2072">
        <f>跨年度结转抵免境外所得税审核表!K13</f>
        <v>0</v>
      </c>
      <c r="L13" s="2072">
        <f>跨年度结转抵免境外所得税审核表!L13</f>
        <v>0</v>
      </c>
      <c r="M13" s="2072">
        <f>跨年度结转抵免境外所得税审核表!M13</f>
        <v>0</v>
      </c>
      <c r="N13" s="2072">
        <f>跨年度结转抵免境外所得税审核表!N13</f>
        <v>0</v>
      </c>
      <c r="O13" s="2072">
        <f>跨年度结转抵免境外所得税审核表!O13</f>
        <v>0</v>
      </c>
      <c r="P13" s="2072">
        <f>跨年度结转抵免境外所得税审核表!P13</f>
        <v>0</v>
      </c>
      <c r="Q13" s="2072">
        <f>跨年度结转抵免境外所得税审核表!Q13</f>
        <v>0</v>
      </c>
      <c r="R13" s="2072">
        <f>跨年度结转抵免境外所得税审核表!R13</f>
        <v>0</v>
      </c>
      <c r="S13" s="2072">
        <f>跨年度结转抵免境外所得税审核表!S13</f>
        <v>0</v>
      </c>
      <c r="T13" s="2072">
        <f>跨年度结转抵免境外所得税审核表!T13</f>
        <v>0</v>
      </c>
    </row>
    <row r="14" spans="1:21" s="1625" customFormat="1" ht="14.25" customHeight="1">
      <c r="A14" s="1897">
        <v>9</v>
      </c>
      <c r="B14" s="1903">
        <f>跨年度结转抵免境外所得税审核表!B14</f>
        <v>0</v>
      </c>
      <c r="C14" s="2072">
        <f>跨年度结转抵免境外所得税审核表!C14</f>
        <v>0</v>
      </c>
      <c r="D14" s="2072">
        <f>跨年度结转抵免境外所得税审核表!D14</f>
        <v>0</v>
      </c>
      <c r="E14" s="2072">
        <f>跨年度结转抵免境外所得税审核表!E14</f>
        <v>0</v>
      </c>
      <c r="F14" s="2072">
        <f>跨年度结转抵免境外所得税审核表!F14</f>
        <v>0</v>
      </c>
      <c r="G14" s="2072">
        <f>跨年度结转抵免境外所得税审核表!G14</f>
        <v>0</v>
      </c>
      <c r="H14" s="2072">
        <f>跨年度结转抵免境外所得税审核表!H14</f>
        <v>0</v>
      </c>
      <c r="I14" s="2072">
        <f>跨年度结转抵免境外所得税审核表!I14</f>
        <v>0</v>
      </c>
      <c r="J14" s="2072">
        <f>跨年度结转抵免境外所得税审核表!J14</f>
        <v>0</v>
      </c>
      <c r="K14" s="2072">
        <f>跨年度结转抵免境外所得税审核表!K14</f>
        <v>0</v>
      </c>
      <c r="L14" s="2072">
        <f>跨年度结转抵免境外所得税审核表!L14</f>
        <v>0</v>
      </c>
      <c r="M14" s="2072">
        <f>跨年度结转抵免境外所得税审核表!M14</f>
        <v>0</v>
      </c>
      <c r="N14" s="2072">
        <f>跨年度结转抵免境外所得税审核表!N14</f>
        <v>0</v>
      </c>
      <c r="O14" s="2072">
        <f>跨年度结转抵免境外所得税审核表!O14</f>
        <v>0</v>
      </c>
      <c r="P14" s="2072">
        <f>跨年度结转抵免境外所得税审核表!P14</f>
        <v>0</v>
      </c>
      <c r="Q14" s="2072">
        <f>跨年度结转抵免境外所得税审核表!Q14</f>
        <v>0</v>
      </c>
      <c r="R14" s="2072">
        <f>跨年度结转抵免境外所得税审核表!R14</f>
        <v>0</v>
      </c>
      <c r="S14" s="2072">
        <f>跨年度结转抵免境外所得税审核表!S14</f>
        <v>0</v>
      </c>
      <c r="T14" s="2072">
        <f>跨年度结转抵免境外所得税审核表!T14</f>
        <v>0</v>
      </c>
    </row>
    <row r="15" spans="1:21" s="1625" customFormat="1" ht="14.25" customHeight="1">
      <c r="A15" s="1897">
        <v>10</v>
      </c>
      <c r="B15" s="1910" t="s">
        <v>5482</v>
      </c>
      <c r="C15" s="2072">
        <f>跨年度结转抵免境外所得税审核表!C15</f>
        <v>0</v>
      </c>
      <c r="D15" s="2072">
        <f>跨年度结转抵免境外所得税审核表!D15</f>
        <v>0</v>
      </c>
      <c r="E15" s="2072">
        <f>跨年度结转抵免境外所得税审核表!E15</f>
        <v>0</v>
      </c>
      <c r="F15" s="2072">
        <f>跨年度结转抵免境外所得税审核表!F15</f>
        <v>0</v>
      </c>
      <c r="G15" s="2072">
        <f>跨年度结转抵免境外所得税审核表!G15</f>
        <v>0</v>
      </c>
      <c r="H15" s="2072">
        <f>跨年度结转抵免境外所得税审核表!H15</f>
        <v>0</v>
      </c>
      <c r="I15" s="2072">
        <f>跨年度结转抵免境外所得税审核表!I15</f>
        <v>0</v>
      </c>
      <c r="J15" s="2072">
        <f>跨年度结转抵免境外所得税审核表!J15</f>
        <v>0</v>
      </c>
      <c r="K15" s="2072">
        <f>跨年度结转抵免境外所得税审核表!K15</f>
        <v>0</v>
      </c>
      <c r="L15" s="2072">
        <f>跨年度结转抵免境外所得税审核表!L15</f>
        <v>0</v>
      </c>
      <c r="M15" s="2072">
        <f>跨年度结转抵免境外所得税审核表!M15</f>
        <v>0</v>
      </c>
      <c r="N15" s="2072">
        <f>跨年度结转抵免境外所得税审核表!N15</f>
        <v>0</v>
      </c>
      <c r="O15" s="2072">
        <f>跨年度结转抵免境外所得税审核表!O15</f>
        <v>0</v>
      </c>
      <c r="P15" s="2072">
        <f>跨年度结转抵免境外所得税审核表!P15</f>
        <v>0</v>
      </c>
      <c r="Q15" s="2072">
        <f>跨年度结转抵免境外所得税审核表!Q15</f>
        <v>0</v>
      </c>
      <c r="R15" s="2072">
        <f>跨年度结转抵免境外所得税审核表!R15</f>
        <v>0</v>
      </c>
      <c r="S15" s="2072">
        <f>跨年度结转抵免境外所得税审核表!S15</f>
        <v>0</v>
      </c>
      <c r="T15" s="2072">
        <f>跨年度结转抵免境外所得税审核表!T15</f>
        <v>0</v>
      </c>
      <c r="U15" s="1770" t="s">
        <v>6482</v>
      </c>
    </row>
    <row r="16" spans="1:21" s="1625" customFormat="1" ht="280.5" customHeight="1">
      <c r="A16" s="1911"/>
      <c r="B16" s="1962" t="s">
        <v>6511</v>
      </c>
      <c r="C16" s="1962"/>
      <c r="D16" s="1962"/>
      <c r="E16" s="1962"/>
      <c r="F16" s="1911"/>
      <c r="G16" s="1911"/>
      <c r="H16" s="1911"/>
      <c r="I16" s="1911"/>
      <c r="J16" s="1911"/>
      <c r="K16" s="1911"/>
      <c r="L16" s="1911"/>
      <c r="M16" s="1911"/>
      <c r="N16" s="1902" t="s">
        <v>5874</v>
      </c>
      <c r="O16" s="1962"/>
      <c r="P16" s="1962"/>
      <c r="Q16" s="1962"/>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5.6"/>
  <cols>
    <col min="1" max="1" width="5.19921875" style="1629" customWidth="1"/>
    <col min="2" max="2" width="56.09765625" style="1629" customWidth="1"/>
    <col min="3" max="3" width="19.19921875" style="1629" customWidth="1"/>
    <col min="4" max="4" width="22.5" style="1629" customWidth="1"/>
    <col min="5" max="256" width="9" style="1629"/>
    <col min="257" max="257" width="5.19921875" style="1629" customWidth="1"/>
    <col min="258" max="258" width="56.09765625" style="1629" customWidth="1"/>
    <col min="259" max="259" width="19.19921875" style="1629" customWidth="1"/>
    <col min="260" max="260" width="22.5" style="1629" customWidth="1"/>
    <col min="261" max="512" width="9" style="1629"/>
    <col min="513" max="513" width="5.19921875" style="1629" customWidth="1"/>
    <col min="514" max="514" width="56.09765625" style="1629" customWidth="1"/>
    <col min="515" max="515" width="19.19921875" style="1629" customWidth="1"/>
    <col min="516" max="516" width="22.5" style="1629" customWidth="1"/>
    <col min="517" max="768" width="9" style="1629"/>
    <col min="769" max="769" width="5.19921875" style="1629" customWidth="1"/>
    <col min="770" max="770" width="56.09765625" style="1629" customWidth="1"/>
    <col min="771" max="771" width="19.19921875" style="1629" customWidth="1"/>
    <col min="772" max="772" width="22.5" style="1629" customWidth="1"/>
    <col min="773" max="1024" width="9" style="1629"/>
    <col min="1025" max="1025" width="5.19921875" style="1629" customWidth="1"/>
    <col min="1026" max="1026" width="56.09765625" style="1629" customWidth="1"/>
    <col min="1027" max="1027" width="19.19921875" style="1629" customWidth="1"/>
    <col min="1028" max="1028" width="22.5" style="1629" customWidth="1"/>
    <col min="1029" max="1280" width="9" style="1629"/>
    <col min="1281" max="1281" width="5.19921875" style="1629" customWidth="1"/>
    <col min="1282" max="1282" width="56.09765625" style="1629" customWidth="1"/>
    <col min="1283" max="1283" width="19.19921875" style="1629" customWidth="1"/>
    <col min="1284" max="1284" width="22.5" style="1629" customWidth="1"/>
    <col min="1285" max="1536" width="9" style="1629"/>
    <col min="1537" max="1537" width="5.19921875" style="1629" customWidth="1"/>
    <col min="1538" max="1538" width="56.09765625" style="1629" customWidth="1"/>
    <col min="1539" max="1539" width="19.19921875" style="1629" customWidth="1"/>
    <col min="1540" max="1540" width="22.5" style="1629" customWidth="1"/>
    <col min="1541" max="1792" width="9" style="1629"/>
    <col min="1793" max="1793" width="5.19921875" style="1629" customWidth="1"/>
    <col min="1794" max="1794" width="56.09765625" style="1629" customWidth="1"/>
    <col min="1795" max="1795" width="19.19921875" style="1629" customWidth="1"/>
    <col min="1796" max="1796" width="22.5" style="1629" customWidth="1"/>
    <col min="1797" max="2048" width="9" style="1629"/>
    <col min="2049" max="2049" width="5.19921875" style="1629" customWidth="1"/>
    <col min="2050" max="2050" width="56.09765625" style="1629" customWidth="1"/>
    <col min="2051" max="2051" width="19.19921875" style="1629" customWidth="1"/>
    <col min="2052" max="2052" width="22.5" style="1629" customWidth="1"/>
    <col min="2053" max="2304" width="9" style="1629"/>
    <col min="2305" max="2305" width="5.19921875" style="1629" customWidth="1"/>
    <col min="2306" max="2306" width="56.09765625" style="1629" customWidth="1"/>
    <col min="2307" max="2307" width="19.19921875" style="1629" customWidth="1"/>
    <col min="2308" max="2308" width="22.5" style="1629" customWidth="1"/>
    <col min="2309" max="2560" width="9" style="1629"/>
    <col min="2561" max="2561" width="5.19921875" style="1629" customWidth="1"/>
    <col min="2562" max="2562" width="56.09765625" style="1629" customWidth="1"/>
    <col min="2563" max="2563" width="19.19921875" style="1629" customWidth="1"/>
    <col min="2564" max="2564" width="22.5" style="1629" customWidth="1"/>
    <col min="2565" max="2816" width="9" style="1629"/>
    <col min="2817" max="2817" width="5.19921875" style="1629" customWidth="1"/>
    <col min="2818" max="2818" width="56.09765625" style="1629" customWidth="1"/>
    <col min="2819" max="2819" width="19.19921875" style="1629" customWidth="1"/>
    <col min="2820" max="2820" width="22.5" style="1629" customWidth="1"/>
    <col min="2821" max="3072" width="9" style="1629"/>
    <col min="3073" max="3073" width="5.19921875" style="1629" customWidth="1"/>
    <col min="3074" max="3074" width="56.09765625" style="1629" customWidth="1"/>
    <col min="3075" max="3075" width="19.19921875" style="1629" customWidth="1"/>
    <col min="3076" max="3076" width="22.5" style="1629" customWidth="1"/>
    <col min="3077" max="3328" width="9" style="1629"/>
    <col min="3329" max="3329" width="5.19921875" style="1629" customWidth="1"/>
    <col min="3330" max="3330" width="56.09765625" style="1629" customWidth="1"/>
    <col min="3331" max="3331" width="19.19921875" style="1629" customWidth="1"/>
    <col min="3332" max="3332" width="22.5" style="1629" customWidth="1"/>
    <col min="3333" max="3584" width="9" style="1629"/>
    <col min="3585" max="3585" width="5.19921875" style="1629" customWidth="1"/>
    <col min="3586" max="3586" width="56.09765625" style="1629" customWidth="1"/>
    <col min="3587" max="3587" width="19.19921875" style="1629" customWidth="1"/>
    <col min="3588" max="3588" width="22.5" style="1629" customWidth="1"/>
    <col min="3589" max="3840" width="9" style="1629"/>
    <col min="3841" max="3841" width="5.19921875" style="1629" customWidth="1"/>
    <col min="3842" max="3842" width="56.09765625" style="1629" customWidth="1"/>
    <col min="3843" max="3843" width="19.19921875" style="1629" customWidth="1"/>
    <col min="3844" max="3844" width="22.5" style="1629" customWidth="1"/>
    <col min="3845" max="4096" width="9" style="1629"/>
    <col min="4097" max="4097" width="5.19921875" style="1629" customWidth="1"/>
    <col min="4098" max="4098" width="56.09765625" style="1629" customWidth="1"/>
    <col min="4099" max="4099" width="19.19921875" style="1629" customWidth="1"/>
    <col min="4100" max="4100" width="22.5" style="1629" customWidth="1"/>
    <col min="4101" max="4352" width="9" style="1629"/>
    <col min="4353" max="4353" width="5.19921875" style="1629" customWidth="1"/>
    <col min="4354" max="4354" width="56.09765625" style="1629" customWidth="1"/>
    <col min="4355" max="4355" width="19.19921875" style="1629" customWidth="1"/>
    <col min="4356" max="4356" width="22.5" style="1629" customWidth="1"/>
    <col min="4357" max="4608" width="9" style="1629"/>
    <col min="4609" max="4609" width="5.19921875" style="1629" customWidth="1"/>
    <col min="4610" max="4610" width="56.09765625" style="1629" customWidth="1"/>
    <col min="4611" max="4611" width="19.19921875" style="1629" customWidth="1"/>
    <col min="4612" max="4612" width="22.5" style="1629" customWidth="1"/>
    <col min="4613" max="4864" width="9" style="1629"/>
    <col min="4865" max="4865" width="5.19921875" style="1629" customWidth="1"/>
    <col min="4866" max="4866" width="56.09765625" style="1629" customWidth="1"/>
    <col min="4867" max="4867" width="19.19921875" style="1629" customWidth="1"/>
    <col min="4868" max="4868" width="22.5" style="1629" customWidth="1"/>
    <col min="4869" max="5120" width="9" style="1629"/>
    <col min="5121" max="5121" width="5.19921875" style="1629" customWidth="1"/>
    <col min="5122" max="5122" width="56.09765625" style="1629" customWidth="1"/>
    <col min="5123" max="5123" width="19.19921875" style="1629" customWidth="1"/>
    <col min="5124" max="5124" width="22.5" style="1629" customWidth="1"/>
    <col min="5125" max="5376" width="9" style="1629"/>
    <col min="5377" max="5377" width="5.19921875" style="1629" customWidth="1"/>
    <col min="5378" max="5378" width="56.09765625" style="1629" customWidth="1"/>
    <col min="5379" max="5379" width="19.19921875" style="1629" customWidth="1"/>
    <col min="5380" max="5380" width="22.5" style="1629" customWidth="1"/>
    <col min="5381" max="5632" width="9" style="1629"/>
    <col min="5633" max="5633" width="5.19921875" style="1629" customWidth="1"/>
    <col min="5634" max="5634" width="56.09765625" style="1629" customWidth="1"/>
    <col min="5635" max="5635" width="19.19921875" style="1629" customWidth="1"/>
    <col min="5636" max="5636" width="22.5" style="1629" customWidth="1"/>
    <col min="5637" max="5888" width="9" style="1629"/>
    <col min="5889" max="5889" width="5.19921875" style="1629" customWidth="1"/>
    <col min="5890" max="5890" width="56.09765625" style="1629" customWidth="1"/>
    <col min="5891" max="5891" width="19.19921875" style="1629" customWidth="1"/>
    <col min="5892" max="5892" width="22.5" style="1629" customWidth="1"/>
    <col min="5893" max="6144" width="9" style="1629"/>
    <col min="6145" max="6145" width="5.19921875" style="1629" customWidth="1"/>
    <col min="6146" max="6146" width="56.09765625" style="1629" customWidth="1"/>
    <col min="6147" max="6147" width="19.19921875" style="1629" customWidth="1"/>
    <col min="6148" max="6148" width="22.5" style="1629" customWidth="1"/>
    <col min="6149" max="6400" width="9" style="1629"/>
    <col min="6401" max="6401" width="5.19921875" style="1629" customWidth="1"/>
    <col min="6402" max="6402" width="56.09765625" style="1629" customWidth="1"/>
    <col min="6403" max="6403" width="19.19921875" style="1629" customWidth="1"/>
    <col min="6404" max="6404" width="22.5" style="1629" customWidth="1"/>
    <col min="6405" max="6656" width="9" style="1629"/>
    <col min="6657" max="6657" width="5.19921875" style="1629" customWidth="1"/>
    <col min="6658" max="6658" width="56.09765625" style="1629" customWidth="1"/>
    <col min="6659" max="6659" width="19.19921875" style="1629" customWidth="1"/>
    <col min="6660" max="6660" width="22.5" style="1629" customWidth="1"/>
    <col min="6661" max="6912" width="9" style="1629"/>
    <col min="6913" max="6913" width="5.19921875" style="1629" customWidth="1"/>
    <col min="6914" max="6914" width="56.09765625" style="1629" customWidth="1"/>
    <col min="6915" max="6915" width="19.19921875" style="1629" customWidth="1"/>
    <col min="6916" max="6916" width="22.5" style="1629" customWidth="1"/>
    <col min="6917" max="7168" width="9" style="1629"/>
    <col min="7169" max="7169" width="5.19921875" style="1629" customWidth="1"/>
    <col min="7170" max="7170" width="56.09765625" style="1629" customWidth="1"/>
    <col min="7171" max="7171" width="19.19921875" style="1629" customWidth="1"/>
    <col min="7172" max="7172" width="22.5" style="1629" customWidth="1"/>
    <col min="7173" max="7424" width="9" style="1629"/>
    <col min="7425" max="7425" width="5.19921875" style="1629" customWidth="1"/>
    <col min="7426" max="7426" width="56.09765625" style="1629" customWidth="1"/>
    <col min="7427" max="7427" width="19.19921875" style="1629" customWidth="1"/>
    <col min="7428" max="7428" width="22.5" style="1629" customWidth="1"/>
    <col min="7429" max="7680" width="9" style="1629"/>
    <col min="7681" max="7681" width="5.19921875" style="1629" customWidth="1"/>
    <col min="7682" max="7682" width="56.09765625" style="1629" customWidth="1"/>
    <col min="7683" max="7683" width="19.19921875" style="1629" customWidth="1"/>
    <col min="7684" max="7684" width="22.5" style="1629" customWidth="1"/>
    <col min="7685" max="7936" width="9" style="1629"/>
    <col min="7937" max="7937" width="5.19921875" style="1629" customWidth="1"/>
    <col min="7938" max="7938" width="56.09765625" style="1629" customWidth="1"/>
    <col min="7939" max="7939" width="19.19921875" style="1629" customWidth="1"/>
    <col min="7940" max="7940" width="22.5" style="1629" customWidth="1"/>
    <col min="7941" max="8192" width="9" style="1629"/>
    <col min="8193" max="8193" width="5.19921875" style="1629" customWidth="1"/>
    <col min="8194" max="8194" width="56.09765625" style="1629" customWidth="1"/>
    <col min="8195" max="8195" width="19.19921875" style="1629" customWidth="1"/>
    <col min="8196" max="8196" width="22.5" style="1629" customWidth="1"/>
    <col min="8197" max="8448" width="9" style="1629"/>
    <col min="8449" max="8449" width="5.19921875" style="1629" customWidth="1"/>
    <col min="8450" max="8450" width="56.09765625" style="1629" customWidth="1"/>
    <col min="8451" max="8451" width="19.19921875" style="1629" customWidth="1"/>
    <col min="8452" max="8452" width="22.5" style="1629" customWidth="1"/>
    <col min="8453" max="8704" width="9" style="1629"/>
    <col min="8705" max="8705" width="5.19921875" style="1629" customWidth="1"/>
    <col min="8706" max="8706" width="56.09765625" style="1629" customWidth="1"/>
    <col min="8707" max="8707" width="19.19921875" style="1629" customWidth="1"/>
    <col min="8708" max="8708" width="22.5" style="1629" customWidth="1"/>
    <col min="8709" max="8960" width="9" style="1629"/>
    <col min="8961" max="8961" width="5.19921875" style="1629" customWidth="1"/>
    <col min="8962" max="8962" width="56.09765625" style="1629" customWidth="1"/>
    <col min="8963" max="8963" width="19.19921875" style="1629" customWidth="1"/>
    <col min="8964" max="8964" width="22.5" style="1629" customWidth="1"/>
    <col min="8965" max="9216" width="9" style="1629"/>
    <col min="9217" max="9217" width="5.19921875" style="1629" customWidth="1"/>
    <col min="9218" max="9218" width="56.09765625" style="1629" customWidth="1"/>
    <col min="9219" max="9219" width="19.19921875" style="1629" customWidth="1"/>
    <col min="9220" max="9220" width="22.5" style="1629" customWidth="1"/>
    <col min="9221" max="9472" width="9" style="1629"/>
    <col min="9473" max="9473" width="5.19921875" style="1629" customWidth="1"/>
    <col min="9474" max="9474" width="56.09765625" style="1629" customWidth="1"/>
    <col min="9475" max="9475" width="19.19921875" style="1629" customWidth="1"/>
    <col min="9476" max="9476" width="22.5" style="1629" customWidth="1"/>
    <col min="9477" max="9728" width="9" style="1629"/>
    <col min="9729" max="9729" width="5.19921875" style="1629" customWidth="1"/>
    <col min="9730" max="9730" width="56.09765625" style="1629" customWidth="1"/>
    <col min="9731" max="9731" width="19.19921875" style="1629" customWidth="1"/>
    <col min="9732" max="9732" width="22.5" style="1629" customWidth="1"/>
    <col min="9733" max="9984" width="9" style="1629"/>
    <col min="9985" max="9985" width="5.19921875" style="1629" customWidth="1"/>
    <col min="9986" max="9986" width="56.09765625" style="1629" customWidth="1"/>
    <col min="9987" max="9987" width="19.19921875" style="1629" customWidth="1"/>
    <col min="9988" max="9988" width="22.5" style="1629" customWidth="1"/>
    <col min="9989" max="10240" width="9" style="1629"/>
    <col min="10241" max="10241" width="5.19921875" style="1629" customWidth="1"/>
    <col min="10242" max="10242" width="56.09765625" style="1629" customWidth="1"/>
    <col min="10243" max="10243" width="19.19921875" style="1629" customWidth="1"/>
    <col min="10244" max="10244" width="22.5" style="1629" customWidth="1"/>
    <col min="10245" max="10496" width="9" style="1629"/>
    <col min="10497" max="10497" width="5.19921875" style="1629" customWidth="1"/>
    <col min="10498" max="10498" width="56.09765625" style="1629" customWidth="1"/>
    <col min="10499" max="10499" width="19.19921875" style="1629" customWidth="1"/>
    <col min="10500" max="10500" width="22.5" style="1629" customWidth="1"/>
    <col min="10501" max="10752" width="9" style="1629"/>
    <col min="10753" max="10753" width="5.19921875" style="1629" customWidth="1"/>
    <col min="10754" max="10754" width="56.09765625" style="1629" customWidth="1"/>
    <col min="10755" max="10755" width="19.19921875" style="1629" customWidth="1"/>
    <col min="10756" max="10756" width="22.5" style="1629" customWidth="1"/>
    <col min="10757" max="11008" width="9" style="1629"/>
    <col min="11009" max="11009" width="5.19921875" style="1629" customWidth="1"/>
    <col min="11010" max="11010" width="56.09765625" style="1629" customWidth="1"/>
    <col min="11011" max="11011" width="19.19921875" style="1629" customWidth="1"/>
    <col min="11012" max="11012" width="22.5" style="1629" customWidth="1"/>
    <col min="11013" max="11264" width="9" style="1629"/>
    <col min="11265" max="11265" width="5.19921875" style="1629" customWidth="1"/>
    <col min="11266" max="11266" width="56.09765625" style="1629" customWidth="1"/>
    <col min="11267" max="11267" width="19.19921875" style="1629" customWidth="1"/>
    <col min="11268" max="11268" width="22.5" style="1629" customWidth="1"/>
    <col min="11269" max="11520" width="9" style="1629"/>
    <col min="11521" max="11521" width="5.19921875" style="1629" customWidth="1"/>
    <col min="11522" max="11522" width="56.09765625" style="1629" customWidth="1"/>
    <col min="11523" max="11523" width="19.19921875" style="1629" customWidth="1"/>
    <col min="11524" max="11524" width="22.5" style="1629" customWidth="1"/>
    <col min="11525" max="11776" width="9" style="1629"/>
    <col min="11777" max="11777" width="5.19921875" style="1629" customWidth="1"/>
    <col min="11778" max="11778" width="56.09765625" style="1629" customWidth="1"/>
    <col min="11779" max="11779" width="19.19921875" style="1629" customWidth="1"/>
    <col min="11780" max="11780" width="22.5" style="1629" customWidth="1"/>
    <col min="11781" max="12032" width="9" style="1629"/>
    <col min="12033" max="12033" width="5.19921875" style="1629" customWidth="1"/>
    <col min="12034" max="12034" width="56.09765625" style="1629" customWidth="1"/>
    <col min="12035" max="12035" width="19.19921875" style="1629" customWidth="1"/>
    <col min="12036" max="12036" width="22.5" style="1629" customWidth="1"/>
    <col min="12037" max="12288" width="9" style="1629"/>
    <col min="12289" max="12289" width="5.19921875" style="1629" customWidth="1"/>
    <col min="12290" max="12290" width="56.09765625" style="1629" customWidth="1"/>
    <col min="12291" max="12291" width="19.19921875" style="1629" customWidth="1"/>
    <col min="12292" max="12292" width="22.5" style="1629" customWidth="1"/>
    <col min="12293" max="12544" width="9" style="1629"/>
    <col min="12545" max="12545" width="5.19921875" style="1629" customWidth="1"/>
    <col min="12546" max="12546" width="56.09765625" style="1629" customWidth="1"/>
    <col min="12547" max="12547" width="19.19921875" style="1629" customWidth="1"/>
    <col min="12548" max="12548" width="22.5" style="1629" customWidth="1"/>
    <col min="12549" max="12800" width="9" style="1629"/>
    <col min="12801" max="12801" width="5.19921875" style="1629" customWidth="1"/>
    <col min="12802" max="12802" width="56.09765625" style="1629" customWidth="1"/>
    <col min="12803" max="12803" width="19.19921875" style="1629" customWidth="1"/>
    <col min="12804" max="12804" width="22.5" style="1629" customWidth="1"/>
    <col min="12805" max="13056" width="9" style="1629"/>
    <col min="13057" max="13057" width="5.19921875" style="1629" customWidth="1"/>
    <col min="13058" max="13058" width="56.09765625" style="1629" customWidth="1"/>
    <col min="13059" max="13059" width="19.19921875" style="1629" customWidth="1"/>
    <col min="13060" max="13060" width="22.5" style="1629" customWidth="1"/>
    <col min="13061" max="13312" width="9" style="1629"/>
    <col min="13313" max="13313" width="5.19921875" style="1629" customWidth="1"/>
    <col min="13314" max="13314" width="56.09765625" style="1629" customWidth="1"/>
    <col min="13315" max="13315" width="19.19921875" style="1629" customWidth="1"/>
    <col min="13316" max="13316" width="22.5" style="1629" customWidth="1"/>
    <col min="13317" max="13568" width="9" style="1629"/>
    <col min="13569" max="13569" width="5.19921875" style="1629" customWidth="1"/>
    <col min="13570" max="13570" width="56.09765625" style="1629" customWidth="1"/>
    <col min="13571" max="13571" width="19.19921875" style="1629" customWidth="1"/>
    <col min="13572" max="13572" width="22.5" style="1629" customWidth="1"/>
    <col min="13573" max="13824" width="9" style="1629"/>
    <col min="13825" max="13825" width="5.19921875" style="1629" customWidth="1"/>
    <col min="13826" max="13826" width="56.09765625" style="1629" customWidth="1"/>
    <col min="13827" max="13827" width="19.19921875" style="1629" customWidth="1"/>
    <col min="13828" max="13828" width="22.5" style="1629" customWidth="1"/>
    <col min="13829" max="14080" width="9" style="1629"/>
    <col min="14081" max="14081" width="5.19921875" style="1629" customWidth="1"/>
    <col min="14082" max="14082" width="56.09765625" style="1629" customWidth="1"/>
    <col min="14083" max="14083" width="19.19921875" style="1629" customWidth="1"/>
    <col min="14084" max="14084" width="22.5" style="1629" customWidth="1"/>
    <col min="14085" max="14336" width="9" style="1629"/>
    <col min="14337" max="14337" width="5.19921875" style="1629" customWidth="1"/>
    <col min="14338" max="14338" width="56.09765625" style="1629" customWidth="1"/>
    <col min="14339" max="14339" width="19.19921875" style="1629" customWidth="1"/>
    <col min="14340" max="14340" width="22.5" style="1629" customWidth="1"/>
    <col min="14341" max="14592" width="9" style="1629"/>
    <col min="14593" max="14593" width="5.19921875" style="1629" customWidth="1"/>
    <col min="14594" max="14594" width="56.09765625" style="1629" customWidth="1"/>
    <col min="14595" max="14595" width="19.19921875" style="1629" customWidth="1"/>
    <col min="14596" max="14596" width="22.5" style="1629" customWidth="1"/>
    <col min="14597" max="14848" width="9" style="1629"/>
    <col min="14849" max="14849" width="5.19921875" style="1629" customWidth="1"/>
    <col min="14850" max="14850" width="56.09765625" style="1629" customWidth="1"/>
    <col min="14851" max="14851" width="19.19921875" style="1629" customWidth="1"/>
    <col min="14852" max="14852" width="22.5" style="1629" customWidth="1"/>
    <col min="14853" max="15104" width="9" style="1629"/>
    <col min="15105" max="15105" width="5.19921875" style="1629" customWidth="1"/>
    <col min="15106" max="15106" width="56.09765625" style="1629" customWidth="1"/>
    <col min="15107" max="15107" width="19.19921875" style="1629" customWidth="1"/>
    <col min="15108" max="15108" width="22.5" style="1629" customWidth="1"/>
    <col min="15109" max="15360" width="9" style="1629"/>
    <col min="15361" max="15361" width="5.19921875" style="1629" customWidth="1"/>
    <col min="15362" max="15362" width="56.09765625" style="1629" customWidth="1"/>
    <col min="15363" max="15363" width="19.19921875" style="1629" customWidth="1"/>
    <col min="15364" max="15364" width="22.5" style="1629" customWidth="1"/>
    <col min="15365" max="15616" width="9" style="1629"/>
    <col min="15617" max="15617" width="5.19921875" style="1629" customWidth="1"/>
    <col min="15618" max="15618" width="56.09765625" style="1629" customWidth="1"/>
    <col min="15619" max="15619" width="19.19921875" style="1629" customWidth="1"/>
    <col min="15620" max="15620" width="22.5" style="1629" customWidth="1"/>
    <col min="15621" max="15872" width="9" style="1629"/>
    <col min="15873" max="15873" width="5.19921875" style="1629" customWidth="1"/>
    <col min="15874" max="15874" width="56.09765625" style="1629" customWidth="1"/>
    <col min="15875" max="15875" width="19.19921875" style="1629" customWidth="1"/>
    <col min="15876" max="15876" width="22.5" style="1629" customWidth="1"/>
    <col min="15877" max="16128" width="9" style="1629"/>
    <col min="16129" max="16129" width="5.19921875" style="1629" customWidth="1"/>
    <col min="16130" max="16130" width="56.09765625" style="1629" customWidth="1"/>
    <col min="16131" max="16131" width="19.19921875" style="1629" customWidth="1"/>
    <col min="16132" max="16132" width="22.5" style="1629" customWidth="1"/>
    <col min="16133" max="16384" width="9" style="1629"/>
  </cols>
  <sheetData>
    <row r="1" spans="1:7" s="1621" customFormat="1" ht="20.100000000000001" customHeight="1">
      <c r="A1" s="3460" t="s">
        <v>5876</v>
      </c>
      <c r="B1" s="3460"/>
      <c r="C1" s="3460"/>
      <c r="D1" s="2023"/>
    </row>
    <row r="2" spans="1:7" s="1622" customFormat="1" ht="25.5" customHeight="1">
      <c r="A2" s="3401" t="s">
        <v>5877</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2">
        <f>跨地区经营汇总纳税企业年度分摊企业所得税审核表!C4</f>
        <v>0</v>
      </c>
      <c r="D4" s="1913" t="s">
        <v>5880</v>
      </c>
    </row>
    <row r="5" spans="1:7" s="1627" customFormat="1" ht="14.25" customHeight="1">
      <c r="A5" s="1910">
        <v>2</v>
      </c>
      <c r="B5" s="1913" t="s">
        <v>5881</v>
      </c>
      <c r="C5" s="2072">
        <f>跨地区经营汇总纳税企业年度分摊企业所得税审核表!C5</f>
        <v>0</v>
      </c>
      <c r="D5" s="1913" t="s">
        <v>5882</v>
      </c>
    </row>
    <row r="6" spans="1:7" s="1627" customFormat="1" ht="14.25" customHeight="1">
      <c r="A6" s="1910">
        <v>3</v>
      </c>
      <c r="B6" s="1913" t="s">
        <v>5883</v>
      </c>
      <c r="C6" s="2072">
        <f>跨地区经营汇总纳税企业年度分摊企业所得税审核表!C6</f>
        <v>0</v>
      </c>
      <c r="D6" s="1913" t="s">
        <v>5884</v>
      </c>
    </row>
    <row r="7" spans="1:7" s="1627" customFormat="1" ht="14.25" customHeight="1">
      <c r="A7" s="1910">
        <v>4</v>
      </c>
      <c r="B7" s="1914" t="s">
        <v>5885</v>
      </c>
      <c r="C7" s="2072">
        <f>跨地区经营汇总纳税企业年度分摊企业所得税审核表!C7</f>
        <v>0</v>
      </c>
      <c r="D7" s="1913"/>
    </row>
    <row r="8" spans="1:7" s="1627" customFormat="1" ht="14.25" customHeight="1">
      <c r="A8" s="1910">
        <v>5</v>
      </c>
      <c r="B8" s="1914" t="s">
        <v>5886</v>
      </c>
      <c r="C8" s="2072">
        <f>跨地区经营汇总纳税企业年度分摊企业所得税审核表!C8</f>
        <v>0</v>
      </c>
      <c r="D8" s="1913" t="s">
        <v>5887</v>
      </c>
    </row>
    <row r="9" spans="1:7" s="1627" customFormat="1" ht="14.25" customHeight="1">
      <c r="A9" s="1910">
        <v>6</v>
      </c>
      <c r="B9" s="1914" t="s">
        <v>5888</v>
      </c>
      <c r="C9" s="2072">
        <f>跨地区经营汇总纳税企业年度分摊企业所得税审核表!C9</f>
        <v>0</v>
      </c>
      <c r="D9" s="1913"/>
    </row>
    <row r="10" spans="1:7" s="1627" customFormat="1" ht="14.25" customHeight="1">
      <c r="A10" s="1910">
        <v>7</v>
      </c>
      <c r="B10" s="1914" t="s">
        <v>5889</v>
      </c>
      <c r="C10" s="2072">
        <f>跨地区经营汇总纳税企业年度分摊企业所得税审核表!C10</f>
        <v>0</v>
      </c>
      <c r="D10" s="1913"/>
    </row>
    <row r="11" spans="1:7" s="1627" customFormat="1" ht="14.25" customHeight="1">
      <c r="A11" s="1910">
        <v>8</v>
      </c>
      <c r="B11" s="1914" t="s">
        <v>5890</v>
      </c>
      <c r="C11" s="2072">
        <f>跨地区经营汇总纳税企业年度分摊企业所得税审核表!C11</f>
        <v>0</v>
      </c>
      <c r="D11" s="1913"/>
    </row>
    <row r="12" spans="1:7" s="1627" customFormat="1" ht="14.25" customHeight="1">
      <c r="A12" s="1910">
        <v>9</v>
      </c>
      <c r="B12" s="1914" t="s">
        <v>5891</v>
      </c>
      <c r="C12" s="2072">
        <f>跨地区经营汇总纳税企业年度分摊企业所得税审核表!C12</f>
        <v>0</v>
      </c>
      <c r="D12" s="1913"/>
    </row>
    <row r="13" spans="1:7" s="1627" customFormat="1" ht="14.25" customHeight="1">
      <c r="A13" s="1910">
        <v>10</v>
      </c>
      <c r="B13" s="1914" t="s">
        <v>5892</v>
      </c>
      <c r="C13" s="2072">
        <f>跨地区经营汇总纳税企业年度分摊企业所得税审核表!C13</f>
        <v>0</v>
      </c>
      <c r="D13" s="1913"/>
    </row>
    <row r="14" spans="1:7" s="1627" customFormat="1" ht="14.25" customHeight="1">
      <c r="A14" s="1910">
        <v>11</v>
      </c>
      <c r="B14" s="1914" t="s">
        <v>5893</v>
      </c>
      <c r="C14" s="2072">
        <f>跨地区经营汇总纳税企业年度分摊企业所得税审核表!C14</f>
        <v>0</v>
      </c>
      <c r="D14" s="1913"/>
    </row>
    <row r="15" spans="1:7" s="1627" customFormat="1" ht="14.25" customHeight="1">
      <c r="A15" s="1910">
        <v>12</v>
      </c>
      <c r="B15" s="1914" t="s">
        <v>5894</v>
      </c>
      <c r="C15" s="2072">
        <f>跨地区经营汇总纳税企业年度分摊企业所得税审核表!C15</f>
        <v>0</v>
      </c>
      <c r="D15" s="1913" t="s">
        <v>5895</v>
      </c>
    </row>
    <row r="16" spans="1:7" s="1627" customFormat="1" ht="14.25" customHeight="1">
      <c r="A16" s="1910">
        <v>13</v>
      </c>
      <c r="B16" s="1914" t="s">
        <v>5896</v>
      </c>
      <c r="C16" s="2072">
        <f>跨地区经营汇总纳税企业年度分摊企业所得税审核表!C16</f>
        <v>0</v>
      </c>
      <c r="D16" s="1913" t="s">
        <v>5897</v>
      </c>
    </row>
    <row r="17" spans="1:5" s="1627" customFormat="1" ht="14.25" customHeight="1">
      <c r="A17" s="1910">
        <v>14</v>
      </c>
      <c r="B17" s="1902" t="s">
        <v>5898</v>
      </c>
      <c r="C17" s="2072">
        <f>跨地区经营汇总纳税企业年度分摊企业所得税审核表!C17</f>
        <v>0</v>
      </c>
      <c r="D17" s="1913"/>
    </row>
    <row r="18" spans="1:5" s="1627" customFormat="1" ht="28.5" customHeight="1">
      <c r="A18" s="1910">
        <v>15</v>
      </c>
      <c r="B18" s="1902" t="s">
        <v>5899</v>
      </c>
      <c r="C18" s="2072">
        <f>跨地区经营汇总纳税企业年度分摊企业所得税审核表!C18</f>
        <v>0</v>
      </c>
      <c r="D18" s="1987" t="s">
        <v>5900</v>
      </c>
    </row>
    <row r="19" spans="1:5" s="1627" customFormat="1" ht="14.25" customHeight="1">
      <c r="A19" s="1910">
        <v>16</v>
      </c>
      <c r="B19" s="1914" t="s">
        <v>5901</v>
      </c>
      <c r="C19" s="2072">
        <f>跨地区经营汇总纳税企业年度分摊企业所得税审核表!C19</f>
        <v>0</v>
      </c>
      <c r="D19" s="1913"/>
    </row>
    <row r="20" spans="1:5" s="1627" customFormat="1" ht="14.25" customHeight="1">
      <c r="A20" s="1910">
        <v>17</v>
      </c>
      <c r="B20" s="1914" t="s">
        <v>5902</v>
      </c>
      <c r="C20" s="2072">
        <f>跨地区经营汇总纳税企业年度分摊企业所得税审核表!C20</f>
        <v>0</v>
      </c>
      <c r="D20" s="1913"/>
      <c r="E20" s="1770" t="s">
        <v>6484</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19921875" style="1554" customWidth="1"/>
    <col min="2" max="2" width="20.3984375" style="1630" customWidth="1"/>
    <col min="3" max="3" width="17.59765625" style="1630" customWidth="1"/>
    <col min="4" max="4" width="12.09765625" style="1630" customWidth="1"/>
    <col min="5" max="5" width="11.8984375" style="1630" customWidth="1"/>
    <col min="6" max="6" width="12.19921875" style="1630" customWidth="1"/>
    <col min="7" max="7" width="8.69921875" style="1630" customWidth="1"/>
    <col min="8" max="8" width="1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2" t="s">
        <v>5903</v>
      </c>
      <c r="B1" s="3462"/>
      <c r="C1" s="3462"/>
      <c r="D1" s="3462"/>
      <c r="E1" s="3462"/>
      <c r="F1" s="3462"/>
      <c r="G1" s="3462"/>
      <c r="H1" s="3462"/>
      <c r="I1" s="1802"/>
    </row>
    <row r="2" spans="1:9" ht="25.5" customHeight="1">
      <c r="A2" s="3964" t="s">
        <v>2409</v>
      </c>
      <c r="B2" s="3964"/>
      <c r="C2" s="3964"/>
      <c r="D2" s="3964"/>
      <c r="E2" s="3964"/>
      <c r="F2" s="3964"/>
      <c r="G2" s="3964"/>
      <c r="H2" s="3965"/>
      <c r="I2" s="1943"/>
    </row>
    <row r="3" spans="1:9" s="1554" customFormat="1" ht="33.75" customHeight="1">
      <c r="A3" s="3410" t="s">
        <v>6795</v>
      </c>
      <c r="B3" s="3412"/>
      <c r="C3" s="2231">
        <v>10</v>
      </c>
      <c r="D3" s="3966" t="s">
        <v>6796</v>
      </c>
      <c r="E3" s="3966"/>
      <c r="F3" s="3966"/>
      <c r="G3" s="3966"/>
      <c r="H3" s="3966"/>
      <c r="I3" s="3966"/>
    </row>
    <row r="4" spans="1:9" s="1554" customFormat="1" ht="20.25" customHeight="1">
      <c r="A4" s="3967" t="s">
        <v>6797</v>
      </c>
      <c r="B4" s="3967"/>
      <c r="C4" s="3967"/>
      <c r="D4" s="3967"/>
      <c r="E4" s="3967"/>
      <c r="F4" s="3967"/>
      <c r="G4" s="3967"/>
      <c r="H4" s="3967"/>
      <c r="I4" s="3967"/>
    </row>
    <row r="5" spans="1:9" s="1554" customFormat="1" ht="21" customHeight="1">
      <c r="A5" s="3407" t="s">
        <v>5905</v>
      </c>
      <c r="B5" s="3407"/>
      <c r="C5" s="1806" t="s">
        <v>1622</v>
      </c>
      <c r="D5" s="3407" t="s">
        <v>2415</v>
      </c>
      <c r="E5" s="3407"/>
      <c r="F5" s="3407" t="s">
        <v>2416</v>
      </c>
      <c r="G5" s="3407"/>
      <c r="H5" s="1849" t="s">
        <v>2417</v>
      </c>
      <c r="I5" s="1849" t="s">
        <v>4899</v>
      </c>
    </row>
    <row r="6" spans="1:9" s="1631" customFormat="1" ht="24" customHeight="1">
      <c r="A6" s="3968">
        <f>企业所得税汇总纳税分支机构所得税分配表!A6</f>
        <v>0</v>
      </c>
      <c r="B6" s="3968"/>
      <c r="C6" s="2072">
        <f>企业所得税汇总纳税分支机构所得税分配表!C6</f>
        <v>0</v>
      </c>
      <c r="D6" s="3969">
        <f>企业所得税汇总纳税分支机构所得税分配表!D6</f>
        <v>0</v>
      </c>
      <c r="E6" s="3970"/>
      <c r="F6" s="3969">
        <f>企业所得税汇总纳税分支机构所得税分配表!F6</f>
        <v>0</v>
      </c>
      <c r="G6" s="3970"/>
      <c r="H6" s="2072">
        <f>企业所得税汇总纳税分支机构所得税分配表!H6</f>
        <v>0</v>
      </c>
      <c r="I6" s="1988" t="s">
        <v>5906</v>
      </c>
    </row>
    <row r="7" spans="1:9" s="1631" customFormat="1" ht="14.25" customHeight="1">
      <c r="A7" s="3511" t="s">
        <v>2419</v>
      </c>
      <c r="B7" s="3399" t="s">
        <v>5907</v>
      </c>
      <c r="C7" s="3407" t="s">
        <v>2421</v>
      </c>
      <c r="D7" s="3399" t="s">
        <v>2422</v>
      </c>
      <c r="E7" s="3399"/>
      <c r="F7" s="3399"/>
      <c r="G7" s="3407" t="s">
        <v>5908</v>
      </c>
      <c r="H7" s="3407" t="s">
        <v>2471</v>
      </c>
      <c r="I7" s="3407"/>
    </row>
    <row r="8" spans="1:9" s="1631" customFormat="1" ht="14.25" customHeight="1">
      <c r="A8" s="3511"/>
      <c r="B8" s="3399"/>
      <c r="C8" s="3407"/>
      <c r="D8" s="1849" t="s">
        <v>2439</v>
      </c>
      <c r="E8" s="1849" t="s">
        <v>5909</v>
      </c>
      <c r="F8" s="1849" t="s">
        <v>5910</v>
      </c>
      <c r="G8" s="3407"/>
      <c r="H8" s="3407"/>
      <c r="I8" s="3407"/>
    </row>
    <row r="9" spans="1:9" s="1554" customFormat="1" ht="14.25" customHeight="1">
      <c r="A9" s="3511"/>
      <c r="B9" s="1915" t="str">
        <f>IF(企业所得税汇总纳税分支机构所得税分配表!B9=0,"",企业所得税汇总纳税分支机构所得税分配表!B9)</f>
        <v/>
      </c>
      <c r="C9" s="2232" t="str">
        <f>IF(企业所得税汇总纳税分支机构所得税分配表!C9=0,"",企业所得税汇总纳税分支机构所得税分配表!C9)</f>
        <v/>
      </c>
      <c r="D9" s="2232" t="str">
        <f>IF(企业所得税汇总纳税分支机构所得税分配表!D9=0,"",企业所得税汇总纳税分支机构所得税分配表!D9)</f>
        <v/>
      </c>
      <c r="E9" s="2232" t="str">
        <f>IF(企业所得税汇总纳税分支机构所得税分配表!E9=0,"",企业所得税汇总纳税分支机构所得税分配表!E9)</f>
        <v/>
      </c>
      <c r="F9" s="2232" t="str">
        <f>IF(企业所得税汇总纳税分支机构所得税分配表!F9=0,"",企业所得税汇总纳税分支机构所得税分配表!F9)</f>
        <v/>
      </c>
      <c r="G9" s="2235" t="str">
        <f>IF(企业所得税汇总纳税分支机构所得税分配表!G9=0,"",企业所得税汇总纳税分支机构所得税分配表!G9)</f>
        <v/>
      </c>
      <c r="H9" s="2232" t="str">
        <f>IF(企业所得税汇总纳税分支机构所得税分配表!H9=0,"",企业所得税汇总纳税分支机构所得税分配表!H9)</f>
        <v/>
      </c>
      <c r="I9" s="1963"/>
    </row>
    <row r="10" spans="1:9" s="1554" customFormat="1" ht="14.25" customHeight="1">
      <c r="A10" s="3511"/>
      <c r="B10" s="2232" t="str">
        <f>IF(企业所得税汇总纳税分支机构所得税分配表!B10=0,"",企业所得税汇总纳税分支机构所得税分配表!B10)</f>
        <v/>
      </c>
      <c r="C10" s="2232" t="str">
        <f>IF(企业所得税汇总纳税分支机构所得税分配表!C10=0,"",企业所得税汇总纳税分支机构所得税分配表!C10)</f>
        <v/>
      </c>
      <c r="D10" s="2232" t="str">
        <f>IF(企业所得税汇总纳税分支机构所得税分配表!D10=0,"",企业所得税汇总纳税分支机构所得税分配表!D10)</f>
        <v/>
      </c>
      <c r="E10" s="2232" t="str">
        <f>IF(企业所得税汇总纳税分支机构所得税分配表!E10=0,"",企业所得税汇总纳税分支机构所得税分配表!E10)</f>
        <v/>
      </c>
      <c r="F10" s="2232" t="str">
        <f>IF(企业所得税汇总纳税分支机构所得税分配表!F10=0,"",企业所得税汇总纳税分支机构所得税分配表!F10)</f>
        <v/>
      </c>
      <c r="G10" s="2235" t="str">
        <f>IF(企业所得税汇总纳税分支机构所得税分配表!G10=0,"",企业所得税汇总纳税分支机构所得税分配表!G10)</f>
        <v/>
      </c>
      <c r="H10" s="2232" t="str">
        <f>IF(企业所得税汇总纳税分支机构所得税分配表!H10=0,"",企业所得税汇总纳税分支机构所得税分配表!H10)</f>
        <v/>
      </c>
      <c r="I10" s="1963"/>
    </row>
    <row r="11" spans="1:9" s="1554" customFormat="1" ht="14.25" customHeight="1">
      <c r="A11" s="3511"/>
      <c r="B11" s="2232" t="str">
        <f>IF(企业所得税汇总纳税分支机构所得税分配表!B11=0,"",企业所得税汇总纳税分支机构所得税分配表!B11)</f>
        <v/>
      </c>
      <c r="C11" s="2232" t="str">
        <f>IF(企业所得税汇总纳税分支机构所得税分配表!C11=0,"",企业所得税汇总纳税分支机构所得税分配表!C11)</f>
        <v/>
      </c>
      <c r="D11" s="2232" t="str">
        <f>IF(企业所得税汇总纳税分支机构所得税分配表!D11=0,"",企业所得税汇总纳税分支机构所得税分配表!D11)</f>
        <v/>
      </c>
      <c r="E11" s="2232" t="str">
        <f>IF(企业所得税汇总纳税分支机构所得税分配表!E11=0,"",企业所得税汇总纳税分支机构所得税分配表!E11)</f>
        <v/>
      </c>
      <c r="F11" s="2232" t="str">
        <f>IF(企业所得税汇总纳税分支机构所得税分配表!F11=0,"",企业所得税汇总纳税分支机构所得税分配表!F11)</f>
        <v/>
      </c>
      <c r="G11" s="2235" t="str">
        <f>IF(企业所得税汇总纳税分支机构所得税分配表!G11=0,"",企业所得税汇总纳税分支机构所得税分配表!G11)</f>
        <v/>
      </c>
      <c r="H11" s="2232" t="str">
        <f>IF(企业所得税汇总纳税分支机构所得税分配表!H11=0,"",企业所得税汇总纳税分支机构所得税分配表!H11)</f>
        <v/>
      </c>
      <c r="I11" s="1963"/>
    </row>
    <row r="12" spans="1:9" s="1554" customFormat="1" ht="14.25" customHeight="1">
      <c r="A12" s="3511"/>
      <c r="B12" s="2232" t="str">
        <f>IF(企业所得税汇总纳税分支机构所得税分配表!B12=0,"",企业所得税汇总纳税分支机构所得税分配表!B12)</f>
        <v/>
      </c>
      <c r="C12" s="2232" t="str">
        <f>IF(企业所得税汇总纳税分支机构所得税分配表!C12=0,"",企业所得税汇总纳税分支机构所得税分配表!C12)</f>
        <v/>
      </c>
      <c r="D12" s="2232" t="str">
        <f>IF(企业所得税汇总纳税分支机构所得税分配表!D12=0,"",企业所得税汇总纳税分支机构所得税分配表!D12)</f>
        <v/>
      </c>
      <c r="E12" s="2232" t="str">
        <f>IF(企业所得税汇总纳税分支机构所得税分配表!E12=0,"",企业所得税汇总纳税分支机构所得税分配表!E12)</f>
        <v/>
      </c>
      <c r="F12" s="2232" t="str">
        <f>IF(企业所得税汇总纳税分支机构所得税分配表!F12=0,"",企业所得税汇总纳税分支机构所得税分配表!F12)</f>
        <v/>
      </c>
      <c r="G12" s="2235" t="str">
        <f>IF(企业所得税汇总纳税分支机构所得税分配表!G12=0,"",企业所得税汇总纳税分支机构所得税分配表!G12)</f>
        <v/>
      </c>
      <c r="H12" s="2232" t="str">
        <f>IF(企业所得税汇总纳税分支机构所得税分配表!H12=0,"",企业所得税汇总纳税分支机构所得税分配表!H12)</f>
        <v/>
      </c>
      <c r="I12" s="1963"/>
    </row>
    <row r="13" spans="1:9" s="1554" customFormat="1" ht="14.25" customHeight="1">
      <c r="A13" s="3511"/>
      <c r="B13" s="2232" t="str">
        <f>IF(企业所得税汇总纳税分支机构所得税分配表!B13=0,"",企业所得税汇总纳税分支机构所得税分配表!B13)</f>
        <v/>
      </c>
      <c r="C13" s="2232" t="str">
        <f>IF(企业所得税汇总纳税分支机构所得税分配表!C13=0,"",企业所得税汇总纳税分支机构所得税分配表!C13)</f>
        <v/>
      </c>
      <c r="D13" s="2232" t="str">
        <f>IF(企业所得税汇总纳税分支机构所得税分配表!D13=0,"",企业所得税汇总纳税分支机构所得税分配表!D13)</f>
        <v/>
      </c>
      <c r="E13" s="2232" t="str">
        <f>IF(企业所得税汇总纳税分支机构所得税分配表!E13=0,"",企业所得税汇总纳税分支机构所得税分配表!E13)</f>
        <v/>
      </c>
      <c r="F13" s="2232" t="str">
        <f>IF(企业所得税汇总纳税分支机构所得税分配表!F13=0,"",企业所得税汇总纳税分支机构所得税分配表!F13)</f>
        <v/>
      </c>
      <c r="G13" s="2235" t="str">
        <f>IF(企业所得税汇总纳税分支机构所得税分配表!G13=0,"",企业所得税汇总纳税分支机构所得税分配表!G13)</f>
        <v/>
      </c>
      <c r="H13" s="2232" t="str">
        <f>IF(企业所得税汇总纳税分支机构所得税分配表!H13=0,"",企业所得税汇总纳税分支机构所得税分配表!H13)</f>
        <v/>
      </c>
      <c r="I13" s="1963"/>
    </row>
    <row r="14" spans="1:9" s="1554" customFormat="1" ht="14.25" customHeight="1">
      <c r="A14" s="3511"/>
      <c r="B14" s="2232" t="str">
        <f>IF(企业所得税汇总纳税分支机构所得税分配表!B14=0,"",企业所得税汇总纳税分支机构所得税分配表!B14)</f>
        <v/>
      </c>
      <c r="C14" s="2232" t="str">
        <f>IF(企业所得税汇总纳税分支机构所得税分配表!C14=0,"",企业所得税汇总纳税分支机构所得税分配表!C14)</f>
        <v/>
      </c>
      <c r="D14" s="2232" t="str">
        <f>IF(企业所得税汇总纳税分支机构所得税分配表!D14=0,"",企业所得税汇总纳税分支机构所得税分配表!D14)</f>
        <v/>
      </c>
      <c r="E14" s="2232" t="str">
        <f>IF(企业所得税汇总纳税分支机构所得税分配表!E14=0,"",企业所得税汇总纳税分支机构所得税分配表!E14)</f>
        <v/>
      </c>
      <c r="F14" s="2232" t="str">
        <f>IF(企业所得税汇总纳税分支机构所得税分配表!F14=0,"",企业所得税汇总纳税分支机构所得税分配表!F14)</f>
        <v/>
      </c>
      <c r="G14" s="2235" t="str">
        <f>IF(企业所得税汇总纳税分支机构所得税分配表!G14=0,"",企业所得税汇总纳税分支机构所得税分配表!G14)</f>
        <v/>
      </c>
      <c r="H14" s="2232" t="str">
        <f>IF(企业所得税汇总纳税分支机构所得税分配表!H14=0,"",企业所得税汇总纳税分支机构所得税分配表!H14)</f>
        <v/>
      </c>
      <c r="I14" s="1963"/>
    </row>
    <row r="15" spans="1:9" s="1554" customFormat="1" ht="14.25" customHeight="1">
      <c r="A15" s="3511"/>
      <c r="B15" s="2232" t="str">
        <f>IF(企业所得税汇总纳税分支机构所得税分配表!B15=0,"",企业所得税汇总纳税分支机构所得税分配表!B15)</f>
        <v/>
      </c>
      <c r="C15" s="2232" t="str">
        <f>IF(企业所得税汇总纳税分支机构所得税分配表!C15=0,"",企业所得税汇总纳税分支机构所得税分配表!C15)</f>
        <v/>
      </c>
      <c r="D15" s="2232" t="str">
        <f>IF(企业所得税汇总纳税分支机构所得税分配表!D15=0,"",企业所得税汇总纳税分支机构所得税分配表!D15)</f>
        <v/>
      </c>
      <c r="E15" s="2232" t="str">
        <f>IF(企业所得税汇总纳税分支机构所得税分配表!E15=0,"",企业所得税汇总纳税分支机构所得税分配表!E15)</f>
        <v/>
      </c>
      <c r="F15" s="2232" t="str">
        <f>IF(企业所得税汇总纳税分支机构所得税分配表!F15=0,"",企业所得税汇总纳税分支机构所得税分配表!F15)</f>
        <v/>
      </c>
      <c r="G15" s="2235" t="str">
        <f>IF(企业所得税汇总纳税分支机构所得税分配表!G15=0,"",企业所得税汇总纳税分支机构所得税分配表!G15)</f>
        <v/>
      </c>
      <c r="H15" s="2232" t="str">
        <f>IF(企业所得税汇总纳税分支机构所得税分配表!H15=0,"",企业所得税汇总纳税分支机构所得税分配表!H15)</f>
        <v/>
      </c>
      <c r="I15" s="1963"/>
    </row>
    <row r="16" spans="1:9" s="1554" customFormat="1" ht="14.25" customHeight="1">
      <c r="A16" s="3511"/>
      <c r="B16" s="2232" t="str">
        <f>IF(企业所得税汇总纳税分支机构所得税分配表!B16=0,"",企业所得税汇总纳税分支机构所得税分配表!B16)</f>
        <v/>
      </c>
      <c r="C16" s="2232" t="str">
        <f>IF(企业所得税汇总纳税分支机构所得税分配表!C16=0,"",企业所得税汇总纳税分支机构所得税分配表!C16)</f>
        <v/>
      </c>
      <c r="D16" s="2232" t="str">
        <f>IF(企业所得税汇总纳税分支机构所得税分配表!D16=0,"",企业所得税汇总纳税分支机构所得税分配表!D16)</f>
        <v/>
      </c>
      <c r="E16" s="2232" t="str">
        <f>IF(企业所得税汇总纳税分支机构所得税分配表!E16=0,"",企业所得税汇总纳税分支机构所得税分配表!E16)</f>
        <v/>
      </c>
      <c r="F16" s="2232" t="str">
        <f>IF(企业所得税汇总纳税分支机构所得税分配表!F16=0,"",企业所得税汇总纳税分支机构所得税分配表!F16)</f>
        <v/>
      </c>
      <c r="G16" s="2235" t="str">
        <f>IF(企业所得税汇总纳税分支机构所得税分配表!G16=0,"",企业所得税汇总纳税分支机构所得税分配表!G16)</f>
        <v/>
      </c>
      <c r="H16" s="2232" t="str">
        <f>IF(企业所得税汇总纳税分支机构所得税分配表!H16=0,"",企业所得税汇总纳税分支机构所得税分配表!H16)</f>
        <v/>
      </c>
      <c r="I16" s="1963"/>
    </row>
    <row r="17" spans="1:10" s="1554" customFormat="1" ht="14.25" customHeight="1">
      <c r="A17" s="3511"/>
      <c r="B17" s="2232" t="str">
        <f>IF(企业所得税汇总纳税分支机构所得税分配表!B17=0,"",企业所得税汇总纳税分支机构所得税分配表!B17)</f>
        <v/>
      </c>
      <c r="C17" s="2232" t="str">
        <f>IF(企业所得税汇总纳税分支机构所得税分配表!C17=0,"",企业所得税汇总纳税分支机构所得税分配表!C17)</f>
        <v/>
      </c>
      <c r="D17" s="2232" t="str">
        <f>IF(企业所得税汇总纳税分支机构所得税分配表!D17=0,"",企业所得税汇总纳税分支机构所得税分配表!D17)</f>
        <v/>
      </c>
      <c r="E17" s="2232" t="str">
        <f>IF(企业所得税汇总纳税分支机构所得税分配表!E17=0,"",企业所得税汇总纳税分支机构所得税分配表!E17)</f>
        <v/>
      </c>
      <c r="F17" s="2232" t="str">
        <f>IF(企业所得税汇总纳税分支机构所得税分配表!F17=0,"",企业所得税汇总纳税分支机构所得税分配表!F17)</f>
        <v/>
      </c>
      <c r="G17" s="2235" t="str">
        <f>IF(企业所得税汇总纳税分支机构所得税分配表!G17=0,"",企业所得税汇总纳税分支机构所得税分配表!G17)</f>
        <v/>
      </c>
      <c r="H17" s="2232" t="str">
        <f>IF(企业所得税汇总纳税分支机构所得税分配表!H17=0,"",企业所得税汇总纳税分支机构所得税分配表!H17)</f>
        <v/>
      </c>
      <c r="I17" s="1963"/>
    </row>
    <row r="18" spans="1:10" s="1554" customFormat="1" ht="14.25" customHeight="1">
      <c r="A18" s="3511"/>
      <c r="B18" s="2232" t="str">
        <f>IF(企业所得税汇总纳税分支机构所得税分配表!B18=0,"",企业所得税汇总纳税分支机构所得税分配表!B18)</f>
        <v/>
      </c>
      <c r="C18" s="2232" t="str">
        <f>IF(企业所得税汇总纳税分支机构所得税分配表!C18=0,"",企业所得税汇总纳税分支机构所得税分配表!C18)</f>
        <v/>
      </c>
      <c r="D18" s="2232" t="str">
        <f>IF(企业所得税汇总纳税分支机构所得税分配表!D18=0,"",企业所得税汇总纳税分支机构所得税分配表!D18)</f>
        <v/>
      </c>
      <c r="E18" s="2232" t="str">
        <f>IF(企业所得税汇总纳税分支机构所得税分配表!E18=0,"",企业所得税汇总纳税分支机构所得税分配表!E18)</f>
        <v/>
      </c>
      <c r="F18" s="2232" t="str">
        <f>IF(企业所得税汇总纳税分支机构所得税分配表!F18=0,"",企业所得税汇总纳税分支机构所得税分配表!F18)</f>
        <v/>
      </c>
      <c r="G18" s="2235" t="str">
        <f>IF(企业所得税汇总纳税分支机构所得税分配表!G18=0,"",企业所得税汇总纳税分支机构所得税分配表!G18)</f>
        <v/>
      </c>
      <c r="H18" s="2232" t="str">
        <f>IF(企业所得税汇总纳税分支机构所得税分配表!H18=0,"",企业所得税汇总纳税分支机构所得税分配表!H18)</f>
        <v/>
      </c>
      <c r="I18" s="1963"/>
    </row>
    <row r="19" spans="1:10" s="1554" customFormat="1" ht="14.25" customHeight="1">
      <c r="A19" s="3511"/>
      <c r="B19" s="2232" t="str">
        <f>IF(企业所得税汇总纳税分支机构所得税分配表!B19=0,"",企业所得税汇总纳税分支机构所得税分配表!B19)</f>
        <v/>
      </c>
      <c r="C19" s="2232" t="str">
        <f>IF(企业所得税汇总纳税分支机构所得税分配表!C19=0,"",企业所得税汇总纳税分支机构所得税分配表!C19)</f>
        <v/>
      </c>
      <c r="D19" s="2232" t="str">
        <f>IF(企业所得税汇总纳税分支机构所得税分配表!D19=0,"",企业所得税汇总纳税分支机构所得税分配表!D19)</f>
        <v/>
      </c>
      <c r="E19" s="2232" t="str">
        <f>IF(企业所得税汇总纳税分支机构所得税分配表!E19=0,"",企业所得税汇总纳税分支机构所得税分配表!E19)</f>
        <v/>
      </c>
      <c r="F19" s="2232" t="str">
        <f>IF(企业所得税汇总纳税分支机构所得税分配表!F19=0,"",企业所得税汇总纳税分支机构所得税分配表!F19)</f>
        <v/>
      </c>
      <c r="G19" s="2235" t="str">
        <f>IF(企业所得税汇总纳税分支机构所得税分配表!G19=0,"",企业所得税汇总纳税分支机构所得税分配表!G19)</f>
        <v/>
      </c>
      <c r="H19" s="2232" t="str">
        <f>IF(企业所得税汇总纳税分支机构所得税分配表!H19=0,"",企业所得税汇总纳税分支机构所得税分配表!H19)</f>
        <v/>
      </c>
      <c r="I19" s="1963"/>
    </row>
    <row r="20" spans="1:10" s="1554" customFormat="1" ht="14.25" customHeight="1">
      <c r="A20" s="3511"/>
      <c r="B20" s="2232" t="str">
        <f>IF(企业所得税汇总纳税分支机构所得税分配表!B20=0,"",企业所得税汇总纳税分支机构所得税分配表!B20)</f>
        <v/>
      </c>
      <c r="C20" s="2232" t="str">
        <f>IF(企业所得税汇总纳税分支机构所得税分配表!C20=0,"",企业所得税汇总纳税分支机构所得税分配表!C20)</f>
        <v/>
      </c>
      <c r="D20" s="2232" t="str">
        <f>IF(企业所得税汇总纳税分支机构所得税分配表!D20=0,"",企业所得税汇总纳税分支机构所得税分配表!D20)</f>
        <v/>
      </c>
      <c r="E20" s="2232" t="str">
        <f>IF(企业所得税汇总纳税分支机构所得税分配表!E20=0,"",企业所得税汇总纳税分支机构所得税分配表!E20)</f>
        <v/>
      </c>
      <c r="F20" s="2232" t="str">
        <f>IF(企业所得税汇总纳税分支机构所得税分配表!F20=0,"",企业所得税汇总纳税分支机构所得税分配表!F20)</f>
        <v/>
      </c>
      <c r="G20" s="2235" t="str">
        <f>IF(企业所得税汇总纳税分支机构所得税分配表!G20=0,"",企业所得税汇总纳税分支机构所得税分配表!G20)</f>
        <v/>
      </c>
      <c r="H20" s="2232" t="str">
        <f>IF(企业所得税汇总纳税分支机构所得税分配表!H20=0,"",企业所得税汇总纳税分支机构所得税分配表!H20)</f>
        <v/>
      </c>
      <c r="I20" s="1963"/>
    </row>
    <row r="21" spans="1:10" s="1554" customFormat="1" ht="14.25" customHeight="1">
      <c r="A21" s="3511"/>
      <c r="B21" s="2232" t="str">
        <f>IF(企业所得税汇总纳税分支机构所得税分配表!B21=0,"",企业所得税汇总纳税分支机构所得税分配表!B21)</f>
        <v/>
      </c>
      <c r="C21" s="2232" t="str">
        <f>IF(企业所得税汇总纳税分支机构所得税分配表!C21=0,"",企业所得税汇总纳税分支机构所得税分配表!C21)</f>
        <v/>
      </c>
      <c r="D21" s="2232" t="str">
        <f>IF(企业所得税汇总纳税分支机构所得税分配表!D21=0,"",企业所得税汇总纳税分支机构所得税分配表!D21)</f>
        <v/>
      </c>
      <c r="E21" s="2232" t="str">
        <f>IF(企业所得税汇总纳税分支机构所得税分配表!E21=0,"",企业所得税汇总纳税分支机构所得税分配表!E21)</f>
        <v/>
      </c>
      <c r="F21" s="2232" t="str">
        <f>IF(企业所得税汇总纳税分支机构所得税分配表!F21=0,"",企业所得税汇总纳税分支机构所得税分配表!F21)</f>
        <v/>
      </c>
      <c r="G21" s="2235" t="str">
        <f>IF(企业所得税汇总纳税分支机构所得税分配表!G21=0,"",企业所得税汇总纳税分支机构所得税分配表!G21)</f>
        <v/>
      </c>
      <c r="H21" s="2232" t="str">
        <f>IF(企业所得税汇总纳税分支机构所得税分配表!H21=0,"",企业所得税汇总纳税分支机构所得税分配表!H21)</f>
        <v/>
      </c>
      <c r="I21" s="1963"/>
    </row>
    <row r="22" spans="1:10" s="1554" customFormat="1" ht="14.25" customHeight="1">
      <c r="A22" s="3511"/>
      <c r="B22" s="2232" t="str">
        <f>IF(企业所得税汇总纳税分支机构所得税分配表!B22=0,"",企业所得税汇总纳税分支机构所得税分配表!B22)</f>
        <v/>
      </c>
      <c r="C22" s="2232" t="str">
        <f>IF(企业所得税汇总纳税分支机构所得税分配表!C22=0,"",企业所得税汇总纳税分支机构所得税分配表!C22)</f>
        <v/>
      </c>
      <c r="D22" s="2232" t="str">
        <f>IF(企业所得税汇总纳税分支机构所得税分配表!D22=0,"",企业所得税汇总纳税分支机构所得税分配表!D22)</f>
        <v/>
      </c>
      <c r="E22" s="2232" t="str">
        <f>IF(企业所得税汇总纳税分支机构所得税分配表!E22=0,"",企业所得税汇总纳税分支机构所得税分配表!E22)</f>
        <v/>
      </c>
      <c r="F22" s="2232" t="str">
        <f>IF(企业所得税汇总纳税分支机构所得税分配表!F22=0,"",企业所得税汇总纳税分支机构所得税分配表!F22)</f>
        <v/>
      </c>
      <c r="G22" s="2235" t="str">
        <f>IF(企业所得税汇总纳税分支机构所得税分配表!G22=0,"",企业所得税汇总纳税分支机构所得税分配表!G22)</f>
        <v/>
      </c>
      <c r="H22" s="2232" t="str">
        <f>IF(企业所得税汇总纳税分支机构所得税分配表!H22=0,"",企业所得税汇总纳税分支机构所得税分配表!H22)</f>
        <v/>
      </c>
      <c r="I22" s="1963"/>
    </row>
    <row r="23" spans="1:10" s="1554" customFormat="1" ht="14.25" customHeight="1">
      <c r="A23" s="3511"/>
      <c r="B23" s="1806" t="s">
        <v>5482</v>
      </c>
      <c r="C23" s="1964" t="s">
        <v>1242</v>
      </c>
      <c r="D23" s="2072">
        <f>企业所得税汇总纳税分支机构所得税分配表!D23</f>
        <v>0</v>
      </c>
      <c r="E23" s="2072">
        <f>企业所得税汇总纳税分支机构所得税分配表!E23</f>
        <v>0</v>
      </c>
      <c r="F23" s="2072">
        <f>企业所得税汇总纳税分支机构所得税分配表!F23</f>
        <v>0</v>
      </c>
      <c r="G23" s="2236">
        <f>企业所得税汇总纳税分支机构所得税分配表!G23</f>
        <v>0</v>
      </c>
      <c r="H23" s="2072">
        <f>企业所得税汇总纳税分支机构所得税分配表!H23</f>
        <v>0</v>
      </c>
      <c r="I23" s="1963"/>
      <c r="J23" s="1770" t="s">
        <v>6486</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5.6"/>
    <row r="424" ht="15.6"/>
    <row r="425" ht="15.6"/>
    <row r="426" ht="15.6"/>
    <row r="427" ht="15.6"/>
    <row r="428" ht="15.6"/>
    <row r="429" ht="15.6"/>
    <row r="430" ht="15.6"/>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B3"/>
    <mergeCell ref="D3:I3"/>
    <mergeCell ref="A4:I4"/>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09765625" defaultRowHeight="15.6"/>
  <cols>
    <col min="1" max="1" width="20.3984375" style="2466" customWidth="1"/>
    <col min="2" max="2" width="18.59765625" style="2466" customWidth="1"/>
    <col min="3" max="3" width="15.8984375" style="2466" customWidth="1"/>
    <col min="4" max="4" width="20.3984375" style="2466" customWidth="1"/>
    <col min="5" max="5" width="14.5" style="2466" customWidth="1"/>
    <col min="6" max="6" width="5.5" style="2466" customWidth="1"/>
    <col min="7" max="256" width="8.09765625" style="2466"/>
    <col min="257" max="257" width="15.8984375" style="2466" customWidth="1"/>
    <col min="258" max="258" width="18.59765625" style="2466" customWidth="1"/>
    <col min="259" max="259" width="15.8984375" style="2466" customWidth="1"/>
    <col min="260" max="260" width="17.5" style="2466" customWidth="1"/>
    <col min="261" max="261" width="12.69921875" style="2466" customWidth="1"/>
    <col min="262" max="262" width="5.5" style="2466" customWidth="1"/>
    <col min="263" max="512" width="8.09765625" style="2466"/>
    <col min="513" max="513" width="15.8984375" style="2466" customWidth="1"/>
    <col min="514" max="514" width="18.59765625" style="2466" customWidth="1"/>
    <col min="515" max="515" width="15.8984375" style="2466" customWidth="1"/>
    <col min="516" max="516" width="17.5" style="2466" customWidth="1"/>
    <col min="517" max="517" width="12.69921875" style="2466" customWidth="1"/>
    <col min="518" max="518" width="5.5" style="2466" customWidth="1"/>
    <col min="519" max="768" width="8.09765625" style="2466"/>
    <col min="769" max="769" width="15.8984375" style="2466" customWidth="1"/>
    <col min="770" max="770" width="18.59765625" style="2466" customWidth="1"/>
    <col min="771" max="771" width="15.8984375" style="2466" customWidth="1"/>
    <col min="772" max="772" width="17.5" style="2466" customWidth="1"/>
    <col min="773" max="773" width="12.69921875" style="2466" customWidth="1"/>
    <col min="774" max="774" width="5.5" style="2466" customWidth="1"/>
    <col min="775" max="1024" width="8.09765625" style="2466"/>
    <col min="1025" max="1025" width="15.8984375" style="2466" customWidth="1"/>
    <col min="1026" max="1026" width="18.59765625" style="2466" customWidth="1"/>
    <col min="1027" max="1027" width="15.8984375" style="2466" customWidth="1"/>
    <col min="1028" max="1028" width="17.5" style="2466" customWidth="1"/>
    <col min="1029" max="1029" width="12.69921875" style="2466" customWidth="1"/>
    <col min="1030" max="1030" width="5.5" style="2466" customWidth="1"/>
    <col min="1031" max="1280" width="8.09765625" style="2466"/>
    <col min="1281" max="1281" width="15.8984375" style="2466" customWidth="1"/>
    <col min="1282" max="1282" width="18.59765625" style="2466" customWidth="1"/>
    <col min="1283" max="1283" width="15.8984375" style="2466" customWidth="1"/>
    <col min="1284" max="1284" width="17.5" style="2466" customWidth="1"/>
    <col min="1285" max="1285" width="12.69921875" style="2466" customWidth="1"/>
    <col min="1286" max="1286" width="5.5" style="2466" customWidth="1"/>
    <col min="1287" max="1536" width="8.09765625" style="2466"/>
    <col min="1537" max="1537" width="15.8984375" style="2466" customWidth="1"/>
    <col min="1538" max="1538" width="18.59765625" style="2466" customWidth="1"/>
    <col min="1539" max="1539" width="15.8984375" style="2466" customWidth="1"/>
    <col min="1540" max="1540" width="17.5" style="2466" customWidth="1"/>
    <col min="1541" max="1541" width="12.69921875" style="2466" customWidth="1"/>
    <col min="1542" max="1542" width="5.5" style="2466" customWidth="1"/>
    <col min="1543" max="1792" width="8.09765625" style="2466"/>
    <col min="1793" max="1793" width="15.8984375" style="2466" customWidth="1"/>
    <col min="1794" max="1794" width="18.59765625" style="2466" customWidth="1"/>
    <col min="1795" max="1795" width="15.8984375" style="2466" customWidth="1"/>
    <col min="1796" max="1796" width="17.5" style="2466" customWidth="1"/>
    <col min="1797" max="1797" width="12.69921875" style="2466" customWidth="1"/>
    <col min="1798" max="1798" width="5.5" style="2466" customWidth="1"/>
    <col min="1799" max="2048" width="8.09765625" style="2466"/>
    <col min="2049" max="2049" width="15.8984375" style="2466" customWidth="1"/>
    <col min="2050" max="2050" width="18.59765625" style="2466" customWidth="1"/>
    <col min="2051" max="2051" width="15.8984375" style="2466" customWidth="1"/>
    <col min="2052" max="2052" width="17.5" style="2466" customWidth="1"/>
    <col min="2053" max="2053" width="12.69921875" style="2466" customWidth="1"/>
    <col min="2054" max="2054" width="5.5" style="2466" customWidth="1"/>
    <col min="2055" max="2304" width="8.09765625" style="2466"/>
    <col min="2305" max="2305" width="15.8984375" style="2466" customWidth="1"/>
    <col min="2306" max="2306" width="18.59765625" style="2466" customWidth="1"/>
    <col min="2307" max="2307" width="15.8984375" style="2466" customWidth="1"/>
    <col min="2308" max="2308" width="17.5" style="2466" customWidth="1"/>
    <col min="2309" max="2309" width="12.69921875" style="2466" customWidth="1"/>
    <col min="2310" max="2310" width="5.5" style="2466" customWidth="1"/>
    <col min="2311" max="2560" width="8.09765625" style="2466"/>
    <col min="2561" max="2561" width="15.8984375" style="2466" customWidth="1"/>
    <col min="2562" max="2562" width="18.59765625" style="2466" customWidth="1"/>
    <col min="2563" max="2563" width="15.8984375" style="2466" customWidth="1"/>
    <col min="2564" max="2564" width="17.5" style="2466" customWidth="1"/>
    <col min="2565" max="2565" width="12.69921875" style="2466" customWidth="1"/>
    <col min="2566" max="2566" width="5.5" style="2466" customWidth="1"/>
    <col min="2567" max="2816" width="8.09765625" style="2466"/>
    <col min="2817" max="2817" width="15.8984375" style="2466" customWidth="1"/>
    <col min="2818" max="2818" width="18.59765625" style="2466" customWidth="1"/>
    <col min="2819" max="2819" width="15.8984375" style="2466" customWidth="1"/>
    <col min="2820" max="2820" width="17.5" style="2466" customWidth="1"/>
    <col min="2821" max="2821" width="12.69921875" style="2466" customWidth="1"/>
    <col min="2822" max="2822" width="5.5" style="2466" customWidth="1"/>
    <col min="2823" max="3072" width="8.09765625" style="2466"/>
    <col min="3073" max="3073" width="15.8984375" style="2466" customWidth="1"/>
    <col min="3074" max="3074" width="18.59765625" style="2466" customWidth="1"/>
    <col min="3075" max="3075" width="15.8984375" style="2466" customWidth="1"/>
    <col min="3076" max="3076" width="17.5" style="2466" customWidth="1"/>
    <col min="3077" max="3077" width="12.69921875" style="2466" customWidth="1"/>
    <col min="3078" max="3078" width="5.5" style="2466" customWidth="1"/>
    <col min="3079" max="3328" width="8.09765625" style="2466"/>
    <col min="3329" max="3329" width="15.8984375" style="2466" customWidth="1"/>
    <col min="3330" max="3330" width="18.59765625" style="2466" customWidth="1"/>
    <col min="3331" max="3331" width="15.8984375" style="2466" customWidth="1"/>
    <col min="3332" max="3332" width="17.5" style="2466" customWidth="1"/>
    <col min="3333" max="3333" width="12.69921875" style="2466" customWidth="1"/>
    <col min="3334" max="3334" width="5.5" style="2466" customWidth="1"/>
    <col min="3335" max="3584" width="8.09765625" style="2466"/>
    <col min="3585" max="3585" width="15.8984375" style="2466" customWidth="1"/>
    <col min="3586" max="3586" width="18.59765625" style="2466" customWidth="1"/>
    <col min="3587" max="3587" width="15.8984375" style="2466" customWidth="1"/>
    <col min="3588" max="3588" width="17.5" style="2466" customWidth="1"/>
    <col min="3589" max="3589" width="12.69921875" style="2466" customWidth="1"/>
    <col min="3590" max="3590" width="5.5" style="2466" customWidth="1"/>
    <col min="3591" max="3840" width="8.09765625" style="2466"/>
    <col min="3841" max="3841" width="15.8984375" style="2466" customWidth="1"/>
    <col min="3842" max="3842" width="18.59765625" style="2466" customWidth="1"/>
    <col min="3843" max="3843" width="15.8984375" style="2466" customWidth="1"/>
    <col min="3844" max="3844" width="17.5" style="2466" customWidth="1"/>
    <col min="3845" max="3845" width="12.69921875" style="2466" customWidth="1"/>
    <col min="3846" max="3846" width="5.5" style="2466" customWidth="1"/>
    <col min="3847" max="4096" width="8.09765625" style="2466"/>
    <col min="4097" max="4097" width="15.8984375" style="2466" customWidth="1"/>
    <col min="4098" max="4098" width="18.59765625" style="2466" customWidth="1"/>
    <col min="4099" max="4099" width="15.8984375" style="2466" customWidth="1"/>
    <col min="4100" max="4100" width="17.5" style="2466" customWidth="1"/>
    <col min="4101" max="4101" width="12.69921875" style="2466" customWidth="1"/>
    <col min="4102" max="4102" width="5.5" style="2466" customWidth="1"/>
    <col min="4103" max="4352" width="8.09765625" style="2466"/>
    <col min="4353" max="4353" width="15.8984375" style="2466" customWidth="1"/>
    <col min="4354" max="4354" width="18.59765625" style="2466" customWidth="1"/>
    <col min="4355" max="4355" width="15.8984375" style="2466" customWidth="1"/>
    <col min="4356" max="4356" width="17.5" style="2466" customWidth="1"/>
    <col min="4357" max="4357" width="12.69921875" style="2466" customWidth="1"/>
    <col min="4358" max="4358" width="5.5" style="2466" customWidth="1"/>
    <col min="4359" max="4608" width="8.09765625" style="2466"/>
    <col min="4609" max="4609" width="15.8984375" style="2466" customWidth="1"/>
    <col min="4610" max="4610" width="18.59765625" style="2466" customWidth="1"/>
    <col min="4611" max="4611" width="15.8984375" style="2466" customWidth="1"/>
    <col min="4612" max="4612" width="17.5" style="2466" customWidth="1"/>
    <col min="4613" max="4613" width="12.69921875" style="2466" customWidth="1"/>
    <col min="4614" max="4614" width="5.5" style="2466" customWidth="1"/>
    <col min="4615" max="4864" width="8.09765625" style="2466"/>
    <col min="4865" max="4865" width="15.8984375" style="2466" customWidth="1"/>
    <col min="4866" max="4866" width="18.59765625" style="2466" customWidth="1"/>
    <col min="4867" max="4867" width="15.8984375" style="2466" customWidth="1"/>
    <col min="4868" max="4868" width="17.5" style="2466" customWidth="1"/>
    <col min="4869" max="4869" width="12.69921875" style="2466" customWidth="1"/>
    <col min="4870" max="4870" width="5.5" style="2466" customWidth="1"/>
    <col min="4871" max="5120" width="8.09765625" style="2466"/>
    <col min="5121" max="5121" width="15.8984375" style="2466" customWidth="1"/>
    <col min="5122" max="5122" width="18.59765625" style="2466" customWidth="1"/>
    <col min="5123" max="5123" width="15.8984375" style="2466" customWidth="1"/>
    <col min="5124" max="5124" width="17.5" style="2466" customWidth="1"/>
    <col min="5125" max="5125" width="12.69921875" style="2466" customWidth="1"/>
    <col min="5126" max="5126" width="5.5" style="2466" customWidth="1"/>
    <col min="5127" max="5376" width="8.09765625" style="2466"/>
    <col min="5377" max="5377" width="15.8984375" style="2466" customWidth="1"/>
    <col min="5378" max="5378" width="18.59765625" style="2466" customWidth="1"/>
    <col min="5379" max="5379" width="15.8984375" style="2466" customWidth="1"/>
    <col min="5380" max="5380" width="17.5" style="2466" customWidth="1"/>
    <col min="5381" max="5381" width="12.69921875" style="2466" customWidth="1"/>
    <col min="5382" max="5382" width="5.5" style="2466" customWidth="1"/>
    <col min="5383" max="5632" width="8.09765625" style="2466"/>
    <col min="5633" max="5633" width="15.8984375" style="2466" customWidth="1"/>
    <col min="5634" max="5634" width="18.59765625" style="2466" customWidth="1"/>
    <col min="5635" max="5635" width="15.8984375" style="2466" customWidth="1"/>
    <col min="5636" max="5636" width="17.5" style="2466" customWidth="1"/>
    <col min="5637" max="5637" width="12.69921875" style="2466" customWidth="1"/>
    <col min="5638" max="5638" width="5.5" style="2466" customWidth="1"/>
    <col min="5639" max="5888" width="8.09765625" style="2466"/>
    <col min="5889" max="5889" width="15.8984375" style="2466" customWidth="1"/>
    <col min="5890" max="5890" width="18.59765625" style="2466" customWidth="1"/>
    <col min="5891" max="5891" width="15.8984375" style="2466" customWidth="1"/>
    <col min="5892" max="5892" width="17.5" style="2466" customWidth="1"/>
    <col min="5893" max="5893" width="12.69921875" style="2466" customWidth="1"/>
    <col min="5894" max="5894" width="5.5" style="2466" customWidth="1"/>
    <col min="5895" max="6144" width="8.09765625" style="2466"/>
    <col min="6145" max="6145" width="15.8984375" style="2466" customWidth="1"/>
    <col min="6146" max="6146" width="18.59765625" style="2466" customWidth="1"/>
    <col min="6147" max="6147" width="15.8984375" style="2466" customWidth="1"/>
    <col min="6148" max="6148" width="17.5" style="2466" customWidth="1"/>
    <col min="6149" max="6149" width="12.69921875" style="2466" customWidth="1"/>
    <col min="6150" max="6150" width="5.5" style="2466" customWidth="1"/>
    <col min="6151" max="6400" width="8.09765625" style="2466"/>
    <col min="6401" max="6401" width="15.8984375" style="2466" customWidth="1"/>
    <col min="6402" max="6402" width="18.59765625" style="2466" customWidth="1"/>
    <col min="6403" max="6403" width="15.8984375" style="2466" customWidth="1"/>
    <col min="6404" max="6404" width="17.5" style="2466" customWidth="1"/>
    <col min="6405" max="6405" width="12.69921875" style="2466" customWidth="1"/>
    <col min="6406" max="6406" width="5.5" style="2466" customWidth="1"/>
    <col min="6407" max="6656" width="8.09765625" style="2466"/>
    <col min="6657" max="6657" width="15.8984375" style="2466" customWidth="1"/>
    <col min="6658" max="6658" width="18.59765625" style="2466" customWidth="1"/>
    <col min="6659" max="6659" width="15.8984375" style="2466" customWidth="1"/>
    <col min="6660" max="6660" width="17.5" style="2466" customWidth="1"/>
    <col min="6661" max="6661" width="12.69921875" style="2466" customWidth="1"/>
    <col min="6662" max="6662" width="5.5" style="2466" customWidth="1"/>
    <col min="6663" max="6912" width="8.09765625" style="2466"/>
    <col min="6913" max="6913" width="15.8984375" style="2466" customWidth="1"/>
    <col min="6914" max="6914" width="18.59765625" style="2466" customWidth="1"/>
    <col min="6915" max="6915" width="15.8984375" style="2466" customWidth="1"/>
    <col min="6916" max="6916" width="17.5" style="2466" customWidth="1"/>
    <col min="6917" max="6917" width="12.69921875" style="2466" customWidth="1"/>
    <col min="6918" max="6918" width="5.5" style="2466" customWidth="1"/>
    <col min="6919" max="7168" width="8.09765625" style="2466"/>
    <col min="7169" max="7169" width="15.8984375" style="2466" customWidth="1"/>
    <col min="7170" max="7170" width="18.59765625" style="2466" customWidth="1"/>
    <col min="7171" max="7171" width="15.8984375" style="2466" customWidth="1"/>
    <col min="7172" max="7172" width="17.5" style="2466" customWidth="1"/>
    <col min="7173" max="7173" width="12.69921875" style="2466" customWidth="1"/>
    <col min="7174" max="7174" width="5.5" style="2466" customWidth="1"/>
    <col min="7175" max="7424" width="8.09765625" style="2466"/>
    <col min="7425" max="7425" width="15.8984375" style="2466" customWidth="1"/>
    <col min="7426" max="7426" width="18.59765625" style="2466" customWidth="1"/>
    <col min="7427" max="7427" width="15.8984375" style="2466" customWidth="1"/>
    <col min="7428" max="7428" width="17.5" style="2466" customWidth="1"/>
    <col min="7429" max="7429" width="12.69921875" style="2466" customWidth="1"/>
    <col min="7430" max="7430" width="5.5" style="2466" customWidth="1"/>
    <col min="7431" max="7680" width="8.09765625" style="2466"/>
    <col min="7681" max="7681" width="15.8984375" style="2466" customWidth="1"/>
    <col min="7682" max="7682" width="18.59765625" style="2466" customWidth="1"/>
    <col min="7683" max="7683" width="15.8984375" style="2466" customWidth="1"/>
    <col min="7684" max="7684" width="17.5" style="2466" customWidth="1"/>
    <col min="7685" max="7685" width="12.69921875" style="2466" customWidth="1"/>
    <col min="7686" max="7686" width="5.5" style="2466" customWidth="1"/>
    <col min="7687" max="7936" width="8.09765625" style="2466"/>
    <col min="7937" max="7937" width="15.8984375" style="2466" customWidth="1"/>
    <col min="7938" max="7938" width="18.59765625" style="2466" customWidth="1"/>
    <col min="7939" max="7939" width="15.8984375" style="2466" customWidth="1"/>
    <col min="7940" max="7940" width="17.5" style="2466" customWidth="1"/>
    <col min="7941" max="7941" width="12.69921875" style="2466" customWidth="1"/>
    <col min="7942" max="7942" width="5.5" style="2466" customWidth="1"/>
    <col min="7943" max="8192" width="8.09765625" style="2466"/>
    <col min="8193" max="8193" width="15.8984375" style="2466" customWidth="1"/>
    <col min="8194" max="8194" width="18.59765625" style="2466" customWidth="1"/>
    <col min="8195" max="8195" width="15.8984375" style="2466" customWidth="1"/>
    <col min="8196" max="8196" width="17.5" style="2466" customWidth="1"/>
    <col min="8197" max="8197" width="12.69921875" style="2466" customWidth="1"/>
    <col min="8198" max="8198" width="5.5" style="2466" customWidth="1"/>
    <col min="8199" max="8448" width="8.09765625" style="2466"/>
    <col min="8449" max="8449" width="15.8984375" style="2466" customWidth="1"/>
    <col min="8450" max="8450" width="18.59765625" style="2466" customWidth="1"/>
    <col min="8451" max="8451" width="15.8984375" style="2466" customWidth="1"/>
    <col min="8452" max="8452" width="17.5" style="2466" customWidth="1"/>
    <col min="8453" max="8453" width="12.69921875" style="2466" customWidth="1"/>
    <col min="8454" max="8454" width="5.5" style="2466" customWidth="1"/>
    <col min="8455" max="8704" width="8.09765625" style="2466"/>
    <col min="8705" max="8705" width="15.8984375" style="2466" customWidth="1"/>
    <col min="8706" max="8706" width="18.59765625" style="2466" customWidth="1"/>
    <col min="8707" max="8707" width="15.8984375" style="2466" customWidth="1"/>
    <col min="8708" max="8708" width="17.5" style="2466" customWidth="1"/>
    <col min="8709" max="8709" width="12.69921875" style="2466" customWidth="1"/>
    <col min="8710" max="8710" width="5.5" style="2466" customWidth="1"/>
    <col min="8711" max="8960" width="8.09765625" style="2466"/>
    <col min="8961" max="8961" width="15.8984375" style="2466" customWidth="1"/>
    <col min="8962" max="8962" width="18.59765625" style="2466" customWidth="1"/>
    <col min="8963" max="8963" width="15.8984375" style="2466" customWidth="1"/>
    <col min="8964" max="8964" width="17.5" style="2466" customWidth="1"/>
    <col min="8965" max="8965" width="12.69921875" style="2466" customWidth="1"/>
    <col min="8966" max="8966" width="5.5" style="2466" customWidth="1"/>
    <col min="8967" max="9216" width="8.09765625" style="2466"/>
    <col min="9217" max="9217" width="15.8984375" style="2466" customWidth="1"/>
    <col min="9218" max="9218" width="18.59765625" style="2466" customWidth="1"/>
    <col min="9219" max="9219" width="15.8984375" style="2466" customWidth="1"/>
    <col min="9220" max="9220" width="17.5" style="2466" customWidth="1"/>
    <col min="9221" max="9221" width="12.69921875" style="2466" customWidth="1"/>
    <col min="9222" max="9222" width="5.5" style="2466" customWidth="1"/>
    <col min="9223" max="9472" width="8.09765625" style="2466"/>
    <col min="9473" max="9473" width="15.8984375" style="2466" customWidth="1"/>
    <col min="9474" max="9474" width="18.59765625" style="2466" customWidth="1"/>
    <col min="9475" max="9475" width="15.8984375" style="2466" customWidth="1"/>
    <col min="9476" max="9476" width="17.5" style="2466" customWidth="1"/>
    <col min="9477" max="9477" width="12.69921875" style="2466" customWidth="1"/>
    <col min="9478" max="9478" width="5.5" style="2466" customWidth="1"/>
    <col min="9479" max="9728" width="8.09765625" style="2466"/>
    <col min="9729" max="9729" width="15.8984375" style="2466" customWidth="1"/>
    <col min="9730" max="9730" width="18.59765625" style="2466" customWidth="1"/>
    <col min="9731" max="9731" width="15.8984375" style="2466" customWidth="1"/>
    <col min="9732" max="9732" width="17.5" style="2466" customWidth="1"/>
    <col min="9733" max="9733" width="12.69921875" style="2466" customWidth="1"/>
    <col min="9734" max="9734" width="5.5" style="2466" customWidth="1"/>
    <col min="9735" max="9984" width="8.09765625" style="2466"/>
    <col min="9985" max="9985" width="15.8984375" style="2466" customWidth="1"/>
    <col min="9986" max="9986" width="18.59765625" style="2466" customWidth="1"/>
    <col min="9987" max="9987" width="15.8984375" style="2466" customWidth="1"/>
    <col min="9988" max="9988" width="17.5" style="2466" customWidth="1"/>
    <col min="9989" max="9989" width="12.69921875" style="2466" customWidth="1"/>
    <col min="9990" max="9990" width="5.5" style="2466" customWidth="1"/>
    <col min="9991" max="10240" width="8.09765625" style="2466"/>
    <col min="10241" max="10241" width="15.8984375" style="2466" customWidth="1"/>
    <col min="10242" max="10242" width="18.59765625" style="2466" customWidth="1"/>
    <col min="10243" max="10243" width="15.8984375" style="2466" customWidth="1"/>
    <col min="10244" max="10244" width="17.5" style="2466" customWidth="1"/>
    <col min="10245" max="10245" width="12.69921875" style="2466" customWidth="1"/>
    <col min="10246" max="10246" width="5.5" style="2466" customWidth="1"/>
    <col min="10247" max="10496" width="8.09765625" style="2466"/>
    <col min="10497" max="10497" width="15.8984375" style="2466" customWidth="1"/>
    <col min="10498" max="10498" width="18.59765625" style="2466" customWidth="1"/>
    <col min="10499" max="10499" width="15.8984375" style="2466" customWidth="1"/>
    <col min="10500" max="10500" width="17.5" style="2466" customWidth="1"/>
    <col min="10501" max="10501" width="12.69921875" style="2466" customWidth="1"/>
    <col min="10502" max="10502" width="5.5" style="2466" customWidth="1"/>
    <col min="10503" max="10752" width="8.09765625" style="2466"/>
    <col min="10753" max="10753" width="15.8984375" style="2466" customWidth="1"/>
    <col min="10754" max="10754" width="18.59765625" style="2466" customWidth="1"/>
    <col min="10755" max="10755" width="15.8984375" style="2466" customWidth="1"/>
    <col min="10756" max="10756" width="17.5" style="2466" customWidth="1"/>
    <col min="10757" max="10757" width="12.69921875" style="2466" customWidth="1"/>
    <col min="10758" max="10758" width="5.5" style="2466" customWidth="1"/>
    <col min="10759" max="11008" width="8.09765625" style="2466"/>
    <col min="11009" max="11009" width="15.8984375" style="2466" customWidth="1"/>
    <col min="11010" max="11010" width="18.59765625" style="2466" customWidth="1"/>
    <col min="11011" max="11011" width="15.8984375" style="2466" customWidth="1"/>
    <col min="11012" max="11012" width="17.5" style="2466" customWidth="1"/>
    <col min="11013" max="11013" width="12.69921875" style="2466" customWidth="1"/>
    <col min="11014" max="11014" width="5.5" style="2466" customWidth="1"/>
    <col min="11015" max="11264" width="8.09765625" style="2466"/>
    <col min="11265" max="11265" width="15.8984375" style="2466" customWidth="1"/>
    <col min="11266" max="11266" width="18.59765625" style="2466" customWidth="1"/>
    <col min="11267" max="11267" width="15.8984375" style="2466" customWidth="1"/>
    <col min="11268" max="11268" width="17.5" style="2466" customWidth="1"/>
    <col min="11269" max="11269" width="12.69921875" style="2466" customWidth="1"/>
    <col min="11270" max="11270" width="5.5" style="2466" customWidth="1"/>
    <col min="11271" max="11520" width="8.09765625" style="2466"/>
    <col min="11521" max="11521" width="15.8984375" style="2466" customWidth="1"/>
    <col min="11522" max="11522" width="18.59765625" style="2466" customWidth="1"/>
    <col min="11523" max="11523" width="15.8984375" style="2466" customWidth="1"/>
    <col min="11524" max="11524" width="17.5" style="2466" customWidth="1"/>
    <col min="11525" max="11525" width="12.69921875" style="2466" customWidth="1"/>
    <col min="11526" max="11526" width="5.5" style="2466" customWidth="1"/>
    <col min="11527" max="11776" width="8.09765625" style="2466"/>
    <col min="11777" max="11777" width="15.8984375" style="2466" customWidth="1"/>
    <col min="11778" max="11778" width="18.59765625" style="2466" customWidth="1"/>
    <col min="11779" max="11779" width="15.8984375" style="2466" customWidth="1"/>
    <col min="11780" max="11780" width="17.5" style="2466" customWidth="1"/>
    <col min="11781" max="11781" width="12.69921875" style="2466" customWidth="1"/>
    <col min="11782" max="11782" width="5.5" style="2466" customWidth="1"/>
    <col min="11783" max="12032" width="8.09765625" style="2466"/>
    <col min="12033" max="12033" width="15.8984375" style="2466" customWidth="1"/>
    <col min="12034" max="12034" width="18.59765625" style="2466" customWidth="1"/>
    <col min="12035" max="12035" width="15.8984375" style="2466" customWidth="1"/>
    <col min="12036" max="12036" width="17.5" style="2466" customWidth="1"/>
    <col min="12037" max="12037" width="12.69921875" style="2466" customWidth="1"/>
    <col min="12038" max="12038" width="5.5" style="2466" customWidth="1"/>
    <col min="12039" max="12288" width="8.09765625" style="2466"/>
    <col min="12289" max="12289" width="15.8984375" style="2466" customWidth="1"/>
    <col min="12290" max="12290" width="18.59765625" style="2466" customWidth="1"/>
    <col min="12291" max="12291" width="15.8984375" style="2466" customWidth="1"/>
    <col min="12292" max="12292" width="17.5" style="2466" customWidth="1"/>
    <col min="12293" max="12293" width="12.69921875" style="2466" customWidth="1"/>
    <col min="12294" max="12294" width="5.5" style="2466" customWidth="1"/>
    <col min="12295" max="12544" width="8.09765625" style="2466"/>
    <col min="12545" max="12545" width="15.8984375" style="2466" customWidth="1"/>
    <col min="12546" max="12546" width="18.59765625" style="2466" customWidth="1"/>
    <col min="12547" max="12547" width="15.8984375" style="2466" customWidth="1"/>
    <col min="12548" max="12548" width="17.5" style="2466" customWidth="1"/>
    <col min="12549" max="12549" width="12.69921875" style="2466" customWidth="1"/>
    <col min="12550" max="12550" width="5.5" style="2466" customWidth="1"/>
    <col min="12551" max="12800" width="8.09765625" style="2466"/>
    <col min="12801" max="12801" width="15.8984375" style="2466" customWidth="1"/>
    <col min="12802" max="12802" width="18.59765625" style="2466" customWidth="1"/>
    <col min="12803" max="12803" width="15.8984375" style="2466" customWidth="1"/>
    <col min="12804" max="12804" width="17.5" style="2466" customWidth="1"/>
    <col min="12805" max="12805" width="12.69921875" style="2466" customWidth="1"/>
    <col min="12806" max="12806" width="5.5" style="2466" customWidth="1"/>
    <col min="12807" max="13056" width="8.09765625" style="2466"/>
    <col min="13057" max="13057" width="15.8984375" style="2466" customWidth="1"/>
    <col min="13058" max="13058" width="18.59765625" style="2466" customWidth="1"/>
    <col min="13059" max="13059" width="15.8984375" style="2466" customWidth="1"/>
    <col min="13060" max="13060" width="17.5" style="2466" customWidth="1"/>
    <col min="13061" max="13061" width="12.69921875" style="2466" customWidth="1"/>
    <col min="13062" max="13062" width="5.5" style="2466" customWidth="1"/>
    <col min="13063" max="13312" width="8.09765625" style="2466"/>
    <col min="13313" max="13313" width="15.8984375" style="2466" customWidth="1"/>
    <col min="13314" max="13314" width="18.59765625" style="2466" customWidth="1"/>
    <col min="13315" max="13315" width="15.8984375" style="2466" customWidth="1"/>
    <col min="13316" max="13316" width="17.5" style="2466" customWidth="1"/>
    <col min="13317" max="13317" width="12.69921875" style="2466" customWidth="1"/>
    <col min="13318" max="13318" width="5.5" style="2466" customWidth="1"/>
    <col min="13319" max="13568" width="8.09765625" style="2466"/>
    <col min="13569" max="13569" width="15.8984375" style="2466" customWidth="1"/>
    <col min="13570" max="13570" width="18.59765625" style="2466" customWidth="1"/>
    <col min="13571" max="13571" width="15.8984375" style="2466" customWidth="1"/>
    <col min="13572" max="13572" width="17.5" style="2466" customWidth="1"/>
    <col min="13573" max="13573" width="12.69921875" style="2466" customWidth="1"/>
    <col min="13574" max="13574" width="5.5" style="2466" customWidth="1"/>
    <col min="13575" max="13824" width="8.09765625" style="2466"/>
    <col min="13825" max="13825" width="15.8984375" style="2466" customWidth="1"/>
    <col min="13826" max="13826" width="18.59765625" style="2466" customWidth="1"/>
    <col min="13827" max="13827" width="15.8984375" style="2466" customWidth="1"/>
    <col min="13828" max="13828" width="17.5" style="2466" customWidth="1"/>
    <col min="13829" max="13829" width="12.69921875" style="2466" customWidth="1"/>
    <col min="13830" max="13830" width="5.5" style="2466" customWidth="1"/>
    <col min="13831" max="14080" width="8.09765625" style="2466"/>
    <col min="14081" max="14081" width="15.8984375" style="2466" customWidth="1"/>
    <col min="14082" max="14082" width="18.59765625" style="2466" customWidth="1"/>
    <col min="14083" max="14083" width="15.8984375" style="2466" customWidth="1"/>
    <col min="14084" max="14084" width="17.5" style="2466" customWidth="1"/>
    <col min="14085" max="14085" width="12.69921875" style="2466" customWidth="1"/>
    <col min="14086" max="14086" width="5.5" style="2466" customWidth="1"/>
    <col min="14087" max="14336" width="8.09765625" style="2466"/>
    <col min="14337" max="14337" width="15.8984375" style="2466" customWidth="1"/>
    <col min="14338" max="14338" width="18.59765625" style="2466" customWidth="1"/>
    <col min="14339" max="14339" width="15.8984375" style="2466" customWidth="1"/>
    <col min="14340" max="14340" width="17.5" style="2466" customWidth="1"/>
    <col min="14341" max="14341" width="12.69921875" style="2466" customWidth="1"/>
    <col min="14342" max="14342" width="5.5" style="2466" customWidth="1"/>
    <col min="14343" max="14592" width="8.09765625" style="2466"/>
    <col min="14593" max="14593" width="15.8984375" style="2466" customWidth="1"/>
    <col min="14594" max="14594" width="18.59765625" style="2466" customWidth="1"/>
    <col min="14595" max="14595" width="15.8984375" style="2466" customWidth="1"/>
    <col min="14596" max="14596" width="17.5" style="2466" customWidth="1"/>
    <col min="14597" max="14597" width="12.69921875" style="2466" customWidth="1"/>
    <col min="14598" max="14598" width="5.5" style="2466" customWidth="1"/>
    <col min="14599" max="14848" width="8.09765625" style="2466"/>
    <col min="14849" max="14849" width="15.8984375" style="2466" customWidth="1"/>
    <col min="14850" max="14850" width="18.59765625" style="2466" customWidth="1"/>
    <col min="14851" max="14851" width="15.8984375" style="2466" customWidth="1"/>
    <col min="14852" max="14852" width="17.5" style="2466" customWidth="1"/>
    <col min="14853" max="14853" width="12.69921875" style="2466" customWidth="1"/>
    <col min="14854" max="14854" width="5.5" style="2466" customWidth="1"/>
    <col min="14855" max="15104" width="8.09765625" style="2466"/>
    <col min="15105" max="15105" width="15.8984375" style="2466" customWidth="1"/>
    <col min="15106" max="15106" width="18.59765625" style="2466" customWidth="1"/>
    <col min="15107" max="15107" width="15.8984375" style="2466" customWidth="1"/>
    <col min="15108" max="15108" width="17.5" style="2466" customWidth="1"/>
    <col min="15109" max="15109" width="12.69921875" style="2466" customWidth="1"/>
    <col min="15110" max="15110" width="5.5" style="2466" customWidth="1"/>
    <col min="15111" max="15360" width="8.09765625" style="2466"/>
    <col min="15361" max="15361" width="15.8984375" style="2466" customWidth="1"/>
    <col min="15362" max="15362" width="18.59765625" style="2466" customWidth="1"/>
    <col min="15363" max="15363" width="15.8984375" style="2466" customWidth="1"/>
    <col min="15364" max="15364" width="17.5" style="2466" customWidth="1"/>
    <col min="15365" max="15365" width="12.69921875" style="2466" customWidth="1"/>
    <col min="15366" max="15366" width="5.5" style="2466" customWidth="1"/>
    <col min="15367" max="15616" width="8.09765625" style="2466"/>
    <col min="15617" max="15617" width="15.8984375" style="2466" customWidth="1"/>
    <col min="15618" max="15618" width="18.59765625" style="2466" customWidth="1"/>
    <col min="15619" max="15619" width="15.8984375" style="2466" customWidth="1"/>
    <col min="15620" max="15620" width="17.5" style="2466" customWidth="1"/>
    <col min="15621" max="15621" width="12.69921875" style="2466" customWidth="1"/>
    <col min="15622" max="15622" width="5.5" style="2466" customWidth="1"/>
    <col min="15623" max="15872" width="8.09765625" style="2466"/>
    <col min="15873" max="15873" width="15.8984375" style="2466" customWidth="1"/>
    <col min="15874" max="15874" width="18.59765625" style="2466" customWidth="1"/>
    <col min="15875" max="15875" width="15.8984375" style="2466" customWidth="1"/>
    <col min="15876" max="15876" width="17.5" style="2466" customWidth="1"/>
    <col min="15877" max="15877" width="12.69921875" style="2466" customWidth="1"/>
    <col min="15878" max="15878" width="5.5" style="2466" customWidth="1"/>
    <col min="15879" max="16128" width="8.09765625" style="2466"/>
    <col min="16129" max="16129" width="15.8984375" style="2466" customWidth="1"/>
    <col min="16130" max="16130" width="18.59765625" style="2466" customWidth="1"/>
    <col min="16131" max="16131" width="15.8984375" style="2466" customWidth="1"/>
    <col min="16132" max="16132" width="17.5" style="2466" customWidth="1"/>
    <col min="16133" max="16133" width="12.69921875" style="2466" customWidth="1"/>
    <col min="16134" max="16134" width="5.5" style="2466" customWidth="1"/>
    <col min="16135" max="16384" width="8.09765625" style="2466"/>
  </cols>
  <sheetData>
    <row r="1" spans="1:7">
      <c r="A1" s="3978" t="s">
        <v>7170</v>
      </c>
      <c r="B1" s="3978"/>
      <c r="C1" s="3978"/>
      <c r="D1" s="3462"/>
      <c r="E1" s="3462"/>
      <c r="F1" s="3462"/>
      <c r="G1" s="2485"/>
    </row>
    <row r="2" spans="1:7" ht="34.200000000000003" customHeight="1">
      <c r="A2" s="2729" t="s">
        <v>7412</v>
      </c>
      <c r="B2" s="2729"/>
      <c r="C2" s="2729"/>
      <c r="D2" s="2729"/>
      <c r="E2" s="2729"/>
      <c r="F2" s="2729"/>
      <c r="G2" s="2729"/>
    </row>
    <row r="3" spans="1:7" ht="25.5" customHeight="1">
      <c r="A3" s="2498" t="s">
        <v>7171</v>
      </c>
      <c r="B3" s="3971">
        <f>基本情况!B2</f>
        <v>0</v>
      </c>
      <c r="C3" s="3971"/>
      <c r="D3" s="2520" t="s">
        <v>1624</v>
      </c>
      <c r="E3" s="3972" t="str">
        <f>基本情况!B48</f>
        <v>0</v>
      </c>
      <c r="F3" s="3972"/>
      <c r="G3" s="3972"/>
    </row>
    <row r="4" spans="1:7" ht="25.5" customHeight="1">
      <c r="A4" s="2497" t="s">
        <v>7172</v>
      </c>
      <c r="B4" s="3973">
        <f>基本情况!B31</f>
        <v>0</v>
      </c>
      <c r="C4" s="3974"/>
      <c r="D4" s="2490" t="s">
        <v>419</v>
      </c>
      <c r="E4" s="3975">
        <f>基本情况!B36</f>
        <v>0</v>
      </c>
      <c r="F4" s="3976"/>
      <c r="G4" s="3977"/>
    </row>
    <row r="5" spans="1:7" ht="25.5" customHeight="1">
      <c r="A5" s="2487" t="s">
        <v>7173</v>
      </c>
      <c r="B5" s="3985">
        <f>地税、基本情况!B4</f>
        <v>0</v>
      </c>
      <c r="C5" s="3986"/>
      <c r="D5" s="2491" t="s">
        <v>408</v>
      </c>
      <c r="E5" s="3987">
        <f>基本情况!B34</f>
        <v>0</v>
      </c>
      <c r="F5" s="3987"/>
      <c r="G5" s="3987"/>
    </row>
    <row r="6" spans="1:7" ht="25.5" customHeight="1">
      <c r="A6" s="2486" t="s">
        <v>7174</v>
      </c>
      <c r="B6" s="2479"/>
      <c r="C6" s="2487" t="s">
        <v>7175</v>
      </c>
      <c r="D6" s="2479"/>
      <c r="E6" s="2498" t="s">
        <v>7413</v>
      </c>
      <c r="F6" s="3988"/>
      <c r="G6" s="3989"/>
    </row>
    <row r="7" spans="1:7" ht="25.5" customHeight="1">
      <c r="A7" s="2495" t="s">
        <v>7176</v>
      </c>
      <c r="B7" s="2493"/>
      <c r="C7" s="3981" t="s">
        <v>7177</v>
      </c>
      <c r="D7" s="3982"/>
      <c r="E7" s="3983"/>
      <c r="F7" s="3984"/>
      <c r="G7" s="3984"/>
    </row>
    <row r="8" spans="1:7" ht="31.5" customHeight="1">
      <c r="A8" s="3979" t="s">
        <v>7178</v>
      </c>
      <c r="B8" s="3981" t="s">
        <v>7179</v>
      </c>
      <c r="C8" s="3982"/>
      <c r="D8" s="3982"/>
      <c r="E8" s="3983"/>
      <c r="F8" s="3984"/>
      <c r="G8" s="3984"/>
    </row>
    <row r="9" spans="1:7" ht="31.5" customHeight="1">
      <c r="A9" s="3980"/>
      <c r="B9" s="3981" t="s">
        <v>7180</v>
      </c>
      <c r="C9" s="3982"/>
      <c r="D9" s="3982"/>
      <c r="E9" s="2494"/>
      <c r="F9" s="2495" t="s">
        <v>7181</v>
      </c>
      <c r="G9" s="1225"/>
    </row>
    <row r="10" spans="1:7" ht="31.5" customHeight="1">
      <c r="A10" s="3980"/>
      <c r="B10" s="3981" t="s">
        <v>7182</v>
      </c>
      <c r="C10" s="3982"/>
      <c r="D10" s="3982"/>
      <c r="E10" s="3993"/>
      <c r="F10" s="3994"/>
      <c r="G10" s="3995"/>
    </row>
    <row r="11" spans="1:7" ht="31.5" customHeight="1">
      <c r="A11" s="3980"/>
      <c r="B11" s="3981" t="s">
        <v>7183</v>
      </c>
      <c r="C11" s="3982"/>
      <c r="D11" s="3982"/>
      <c r="E11" s="2494"/>
      <c r="F11" s="2492" t="s">
        <v>7181</v>
      </c>
      <c r="G11" s="1225"/>
    </row>
    <row r="12" spans="1:7" ht="31.5" customHeight="1">
      <c r="A12" s="3980"/>
      <c r="B12" s="3981" t="s">
        <v>7184</v>
      </c>
      <c r="C12" s="3982"/>
      <c r="D12" s="3982"/>
      <c r="E12" s="3993"/>
      <c r="F12" s="3994"/>
      <c r="G12" s="3995"/>
    </row>
    <row r="13" spans="1:7" ht="25.5" customHeight="1">
      <c r="A13" s="2487" t="s">
        <v>7185</v>
      </c>
      <c r="B13" s="3996"/>
      <c r="C13" s="3997"/>
      <c r="D13" s="3997"/>
      <c r="E13" s="3997"/>
      <c r="F13" s="3997"/>
      <c r="G13" s="3998"/>
    </row>
    <row r="14" spans="1:7" ht="54" customHeight="1">
      <c r="A14" s="2488" t="s">
        <v>7186</v>
      </c>
      <c r="B14" s="3999"/>
      <c r="C14" s="4000"/>
      <c r="D14" s="4000"/>
      <c r="E14" s="4000"/>
      <c r="F14" s="4000"/>
      <c r="G14" s="4001"/>
    </row>
    <row r="15" spans="1:7" ht="25.5" customHeight="1">
      <c r="A15" s="2489" t="s">
        <v>7187</v>
      </c>
      <c r="B15" s="3990">
        <f>基本情况!B12</f>
        <v>0</v>
      </c>
      <c r="C15" s="3991"/>
      <c r="D15" s="2489" t="s">
        <v>7188</v>
      </c>
      <c r="E15" s="3990" t="str">
        <f>基本情况!B21</f>
        <v>2017年3月16日</v>
      </c>
      <c r="F15" s="3991"/>
      <c r="G15" s="3992"/>
    </row>
  </sheetData>
  <mergeCells count="25">
    <mergeCell ref="B15:C15"/>
    <mergeCell ref="E15:G15"/>
    <mergeCell ref="E10:G10"/>
    <mergeCell ref="B11:D11"/>
    <mergeCell ref="B12:D12"/>
    <mergeCell ref="E12:G12"/>
    <mergeCell ref="B13:G13"/>
    <mergeCell ref="B14:G14"/>
    <mergeCell ref="B5:C5"/>
    <mergeCell ref="E5:G5"/>
    <mergeCell ref="F6:G6"/>
    <mergeCell ref="C7:D7"/>
    <mergeCell ref="E7:G7"/>
    <mergeCell ref="A8:A12"/>
    <mergeCell ref="B8:D8"/>
    <mergeCell ref="E8:G8"/>
    <mergeCell ref="B9:D9"/>
    <mergeCell ref="B10:D10"/>
    <mergeCell ref="B3:C3"/>
    <mergeCell ref="E3:G3"/>
    <mergeCell ref="B4:C4"/>
    <mergeCell ref="E4:G4"/>
    <mergeCell ref="A1:C1"/>
    <mergeCell ref="D1:F1"/>
    <mergeCell ref="A2:G2"/>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09765625" defaultRowHeight="30" customHeight="1"/>
  <cols>
    <col min="1" max="1" width="9.8984375" style="2466" customWidth="1"/>
    <col min="2" max="2" width="22.09765625" style="2466" customWidth="1"/>
    <col min="3" max="3" width="17.09765625" style="2466" customWidth="1"/>
    <col min="4" max="4" width="24.19921875" style="2466" customWidth="1"/>
    <col min="5" max="5" width="14.69921875" style="2466" customWidth="1"/>
    <col min="6" max="256" width="8.09765625" style="2466"/>
    <col min="257" max="257" width="9.8984375" style="2466" customWidth="1"/>
    <col min="258" max="258" width="28.09765625" style="2466" customWidth="1"/>
    <col min="259" max="259" width="12.8984375" style="2466" customWidth="1"/>
    <col min="260" max="260" width="34.19921875" style="2466" customWidth="1"/>
    <col min="261" max="261" width="13.8984375" style="2466" customWidth="1"/>
    <col min="262" max="512" width="8.09765625" style="2466"/>
    <col min="513" max="513" width="9.8984375" style="2466" customWidth="1"/>
    <col min="514" max="514" width="28.09765625" style="2466" customWidth="1"/>
    <col min="515" max="515" width="12.8984375" style="2466" customWidth="1"/>
    <col min="516" max="516" width="34.19921875" style="2466" customWidth="1"/>
    <col min="517" max="517" width="13.8984375" style="2466" customWidth="1"/>
    <col min="518" max="768" width="8.09765625" style="2466"/>
    <col min="769" max="769" width="9.8984375" style="2466" customWidth="1"/>
    <col min="770" max="770" width="28.09765625" style="2466" customWidth="1"/>
    <col min="771" max="771" width="12.8984375" style="2466" customWidth="1"/>
    <col min="772" max="772" width="34.19921875" style="2466" customWidth="1"/>
    <col min="773" max="773" width="13.8984375" style="2466" customWidth="1"/>
    <col min="774" max="1024" width="8.09765625" style="2466"/>
    <col min="1025" max="1025" width="9.8984375" style="2466" customWidth="1"/>
    <col min="1026" max="1026" width="28.09765625" style="2466" customWidth="1"/>
    <col min="1027" max="1027" width="12.8984375" style="2466" customWidth="1"/>
    <col min="1028" max="1028" width="34.19921875" style="2466" customWidth="1"/>
    <col min="1029" max="1029" width="13.8984375" style="2466" customWidth="1"/>
    <col min="1030" max="1280" width="8.09765625" style="2466"/>
    <col min="1281" max="1281" width="9.8984375" style="2466" customWidth="1"/>
    <col min="1282" max="1282" width="28.09765625" style="2466" customWidth="1"/>
    <col min="1283" max="1283" width="12.8984375" style="2466" customWidth="1"/>
    <col min="1284" max="1284" width="34.19921875" style="2466" customWidth="1"/>
    <col min="1285" max="1285" width="13.8984375" style="2466" customWidth="1"/>
    <col min="1286" max="1536" width="8.09765625" style="2466"/>
    <col min="1537" max="1537" width="9.8984375" style="2466" customWidth="1"/>
    <col min="1538" max="1538" width="28.09765625" style="2466" customWidth="1"/>
    <col min="1539" max="1539" width="12.8984375" style="2466" customWidth="1"/>
    <col min="1540" max="1540" width="34.19921875" style="2466" customWidth="1"/>
    <col min="1541" max="1541" width="13.8984375" style="2466" customWidth="1"/>
    <col min="1542" max="1792" width="8.09765625" style="2466"/>
    <col min="1793" max="1793" width="9.8984375" style="2466" customWidth="1"/>
    <col min="1794" max="1794" width="28.09765625" style="2466" customWidth="1"/>
    <col min="1795" max="1795" width="12.8984375" style="2466" customWidth="1"/>
    <col min="1796" max="1796" width="34.19921875" style="2466" customWidth="1"/>
    <col min="1797" max="1797" width="13.8984375" style="2466" customWidth="1"/>
    <col min="1798" max="2048" width="8.09765625" style="2466"/>
    <col min="2049" max="2049" width="9.8984375" style="2466" customWidth="1"/>
    <col min="2050" max="2050" width="28.09765625" style="2466" customWidth="1"/>
    <col min="2051" max="2051" width="12.8984375" style="2466" customWidth="1"/>
    <col min="2052" max="2052" width="34.19921875" style="2466" customWidth="1"/>
    <col min="2053" max="2053" width="13.8984375" style="2466" customWidth="1"/>
    <col min="2054" max="2304" width="8.09765625" style="2466"/>
    <col min="2305" max="2305" width="9.8984375" style="2466" customWidth="1"/>
    <col min="2306" max="2306" width="28.09765625" style="2466" customWidth="1"/>
    <col min="2307" max="2307" width="12.8984375" style="2466" customWidth="1"/>
    <col min="2308" max="2308" width="34.19921875" style="2466" customWidth="1"/>
    <col min="2309" max="2309" width="13.8984375" style="2466" customWidth="1"/>
    <col min="2310" max="2560" width="8.09765625" style="2466"/>
    <col min="2561" max="2561" width="9.8984375" style="2466" customWidth="1"/>
    <col min="2562" max="2562" width="28.09765625" style="2466" customWidth="1"/>
    <col min="2563" max="2563" width="12.8984375" style="2466" customWidth="1"/>
    <col min="2564" max="2564" width="34.19921875" style="2466" customWidth="1"/>
    <col min="2565" max="2565" width="13.8984375" style="2466" customWidth="1"/>
    <col min="2566" max="2816" width="8.09765625" style="2466"/>
    <col min="2817" max="2817" width="9.8984375" style="2466" customWidth="1"/>
    <col min="2818" max="2818" width="28.09765625" style="2466" customWidth="1"/>
    <col min="2819" max="2819" width="12.8984375" style="2466" customWidth="1"/>
    <col min="2820" max="2820" width="34.19921875" style="2466" customWidth="1"/>
    <col min="2821" max="2821" width="13.8984375" style="2466" customWidth="1"/>
    <col min="2822" max="3072" width="8.09765625" style="2466"/>
    <col min="3073" max="3073" width="9.8984375" style="2466" customWidth="1"/>
    <col min="3074" max="3074" width="28.09765625" style="2466" customWidth="1"/>
    <col min="3075" max="3075" width="12.8984375" style="2466" customWidth="1"/>
    <col min="3076" max="3076" width="34.19921875" style="2466" customWidth="1"/>
    <col min="3077" max="3077" width="13.8984375" style="2466" customWidth="1"/>
    <col min="3078" max="3328" width="8.09765625" style="2466"/>
    <col min="3329" max="3329" width="9.8984375" style="2466" customWidth="1"/>
    <col min="3330" max="3330" width="28.09765625" style="2466" customWidth="1"/>
    <col min="3331" max="3331" width="12.8984375" style="2466" customWidth="1"/>
    <col min="3332" max="3332" width="34.19921875" style="2466" customWidth="1"/>
    <col min="3333" max="3333" width="13.8984375" style="2466" customWidth="1"/>
    <col min="3334" max="3584" width="8.09765625" style="2466"/>
    <col min="3585" max="3585" width="9.8984375" style="2466" customWidth="1"/>
    <col min="3586" max="3586" width="28.09765625" style="2466" customWidth="1"/>
    <col min="3587" max="3587" width="12.8984375" style="2466" customWidth="1"/>
    <col min="3588" max="3588" width="34.19921875" style="2466" customWidth="1"/>
    <col min="3589" max="3589" width="13.8984375" style="2466" customWidth="1"/>
    <col min="3590" max="3840" width="8.09765625" style="2466"/>
    <col min="3841" max="3841" width="9.8984375" style="2466" customWidth="1"/>
    <col min="3842" max="3842" width="28.09765625" style="2466" customWidth="1"/>
    <col min="3843" max="3843" width="12.8984375" style="2466" customWidth="1"/>
    <col min="3844" max="3844" width="34.19921875" style="2466" customWidth="1"/>
    <col min="3845" max="3845" width="13.8984375" style="2466" customWidth="1"/>
    <col min="3846" max="4096" width="8.09765625" style="2466"/>
    <col min="4097" max="4097" width="9.8984375" style="2466" customWidth="1"/>
    <col min="4098" max="4098" width="28.09765625" style="2466" customWidth="1"/>
    <col min="4099" max="4099" width="12.8984375" style="2466" customWidth="1"/>
    <col min="4100" max="4100" width="34.19921875" style="2466" customWidth="1"/>
    <col min="4101" max="4101" width="13.8984375" style="2466" customWidth="1"/>
    <col min="4102" max="4352" width="8.09765625" style="2466"/>
    <col min="4353" max="4353" width="9.8984375" style="2466" customWidth="1"/>
    <col min="4354" max="4354" width="28.09765625" style="2466" customWidth="1"/>
    <col min="4355" max="4355" width="12.8984375" style="2466" customWidth="1"/>
    <col min="4356" max="4356" width="34.19921875" style="2466" customWidth="1"/>
    <col min="4357" max="4357" width="13.8984375" style="2466" customWidth="1"/>
    <col min="4358" max="4608" width="8.09765625" style="2466"/>
    <col min="4609" max="4609" width="9.8984375" style="2466" customWidth="1"/>
    <col min="4610" max="4610" width="28.09765625" style="2466" customWidth="1"/>
    <col min="4611" max="4611" width="12.8984375" style="2466" customWidth="1"/>
    <col min="4612" max="4612" width="34.19921875" style="2466" customWidth="1"/>
    <col min="4613" max="4613" width="13.8984375" style="2466" customWidth="1"/>
    <col min="4614" max="4864" width="8.09765625" style="2466"/>
    <col min="4865" max="4865" width="9.8984375" style="2466" customWidth="1"/>
    <col min="4866" max="4866" width="28.09765625" style="2466" customWidth="1"/>
    <col min="4867" max="4867" width="12.8984375" style="2466" customWidth="1"/>
    <col min="4868" max="4868" width="34.19921875" style="2466" customWidth="1"/>
    <col min="4869" max="4869" width="13.8984375" style="2466" customWidth="1"/>
    <col min="4870" max="5120" width="8.09765625" style="2466"/>
    <col min="5121" max="5121" width="9.8984375" style="2466" customWidth="1"/>
    <col min="5122" max="5122" width="28.09765625" style="2466" customWidth="1"/>
    <col min="5123" max="5123" width="12.8984375" style="2466" customWidth="1"/>
    <col min="5124" max="5124" width="34.19921875" style="2466" customWidth="1"/>
    <col min="5125" max="5125" width="13.8984375" style="2466" customWidth="1"/>
    <col min="5126" max="5376" width="8.09765625" style="2466"/>
    <col min="5377" max="5377" width="9.8984375" style="2466" customWidth="1"/>
    <col min="5378" max="5378" width="28.09765625" style="2466" customWidth="1"/>
    <col min="5379" max="5379" width="12.8984375" style="2466" customWidth="1"/>
    <col min="5380" max="5380" width="34.19921875" style="2466" customWidth="1"/>
    <col min="5381" max="5381" width="13.8984375" style="2466" customWidth="1"/>
    <col min="5382" max="5632" width="8.09765625" style="2466"/>
    <col min="5633" max="5633" width="9.8984375" style="2466" customWidth="1"/>
    <col min="5634" max="5634" width="28.09765625" style="2466" customWidth="1"/>
    <col min="5635" max="5635" width="12.8984375" style="2466" customWidth="1"/>
    <col min="5636" max="5636" width="34.19921875" style="2466" customWidth="1"/>
    <col min="5637" max="5637" width="13.8984375" style="2466" customWidth="1"/>
    <col min="5638" max="5888" width="8.09765625" style="2466"/>
    <col min="5889" max="5889" width="9.8984375" style="2466" customWidth="1"/>
    <col min="5890" max="5890" width="28.09765625" style="2466" customWidth="1"/>
    <col min="5891" max="5891" width="12.8984375" style="2466" customWidth="1"/>
    <col min="5892" max="5892" width="34.19921875" style="2466" customWidth="1"/>
    <col min="5893" max="5893" width="13.8984375" style="2466" customWidth="1"/>
    <col min="5894" max="6144" width="8.09765625" style="2466"/>
    <col min="6145" max="6145" width="9.8984375" style="2466" customWidth="1"/>
    <col min="6146" max="6146" width="28.09765625" style="2466" customWidth="1"/>
    <col min="6147" max="6147" width="12.8984375" style="2466" customWidth="1"/>
    <col min="6148" max="6148" width="34.19921875" style="2466" customWidth="1"/>
    <col min="6149" max="6149" width="13.8984375" style="2466" customWidth="1"/>
    <col min="6150" max="6400" width="8.09765625" style="2466"/>
    <col min="6401" max="6401" width="9.8984375" style="2466" customWidth="1"/>
    <col min="6402" max="6402" width="28.09765625" style="2466" customWidth="1"/>
    <col min="6403" max="6403" width="12.8984375" style="2466" customWidth="1"/>
    <col min="6404" max="6404" width="34.19921875" style="2466" customWidth="1"/>
    <col min="6405" max="6405" width="13.8984375" style="2466" customWidth="1"/>
    <col min="6406" max="6656" width="8.09765625" style="2466"/>
    <col min="6657" max="6657" width="9.8984375" style="2466" customWidth="1"/>
    <col min="6658" max="6658" width="28.09765625" style="2466" customWidth="1"/>
    <col min="6659" max="6659" width="12.8984375" style="2466" customWidth="1"/>
    <col min="6660" max="6660" width="34.19921875" style="2466" customWidth="1"/>
    <col min="6661" max="6661" width="13.8984375" style="2466" customWidth="1"/>
    <col min="6662" max="6912" width="8.09765625" style="2466"/>
    <col min="6913" max="6913" width="9.8984375" style="2466" customWidth="1"/>
    <col min="6914" max="6914" width="28.09765625" style="2466" customWidth="1"/>
    <col min="6915" max="6915" width="12.8984375" style="2466" customWidth="1"/>
    <col min="6916" max="6916" width="34.19921875" style="2466" customWidth="1"/>
    <col min="6917" max="6917" width="13.8984375" style="2466" customWidth="1"/>
    <col min="6918" max="7168" width="8.09765625" style="2466"/>
    <col min="7169" max="7169" width="9.8984375" style="2466" customWidth="1"/>
    <col min="7170" max="7170" width="28.09765625" style="2466" customWidth="1"/>
    <col min="7171" max="7171" width="12.8984375" style="2466" customWidth="1"/>
    <col min="7172" max="7172" width="34.19921875" style="2466" customWidth="1"/>
    <col min="7173" max="7173" width="13.8984375" style="2466" customWidth="1"/>
    <col min="7174" max="7424" width="8.09765625" style="2466"/>
    <col min="7425" max="7425" width="9.8984375" style="2466" customWidth="1"/>
    <col min="7426" max="7426" width="28.09765625" style="2466" customWidth="1"/>
    <col min="7427" max="7427" width="12.8984375" style="2466" customWidth="1"/>
    <col min="7428" max="7428" width="34.19921875" style="2466" customWidth="1"/>
    <col min="7429" max="7429" width="13.8984375" style="2466" customWidth="1"/>
    <col min="7430" max="7680" width="8.09765625" style="2466"/>
    <col min="7681" max="7681" width="9.8984375" style="2466" customWidth="1"/>
    <col min="7682" max="7682" width="28.09765625" style="2466" customWidth="1"/>
    <col min="7683" max="7683" width="12.8984375" style="2466" customWidth="1"/>
    <col min="7684" max="7684" width="34.19921875" style="2466" customWidth="1"/>
    <col min="7685" max="7685" width="13.8984375" style="2466" customWidth="1"/>
    <col min="7686" max="7936" width="8.09765625" style="2466"/>
    <col min="7937" max="7937" width="9.8984375" style="2466" customWidth="1"/>
    <col min="7938" max="7938" width="28.09765625" style="2466" customWidth="1"/>
    <col min="7939" max="7939" width="12.8984375" style="2466" customWidth="1"/>
    <col min="7940" max="7940" width="34.19921875" style="2466" customWidth="1"/>
    <col min="7941" max="7941" width="13.8984375" style="2466" customWidth="1"/>
    <col min="7942" max="8192" width="8.09765625" style="2466"/>
    <col min="8193" max="8193" width="9.8984375" style="2466" customWidth="1"/>
    <col min="8194" max="8194" width="28.09765625" style="2466" customWidth="1"/>
    <col min="8195" max="8195" width="12.8984375" style="2466" customWidth="1"/>
    <col min="8196" max="8196" width="34.19921875" style="2466" customWidth="1"/>
    <col min="8197" max="8197" width="13.8984375" style="2466" customWidth="1"/>
    <col min="8198" max="8448" width="8.09765625" style="2466"/>
    <col min="8449" max="8449" width="9.8984375" style="2466" customWidth="1"/>
    <col min="8450" max="8450" width="28.09765625" style="2466" customWidth="1"/>
    <col min="8451" max="8451" width="12.8984375" style="2466" customWidth="1"/>
    <col min="8452" max="8452" width="34.19921875" style="2466" customWidth="1"/>
    <col min="8453" max="8453" width="13.8984375" style="2466" customWidth="1"/>
    <col min="8454" max="8704" width="8.09765625" style="2466"/>
    <col min="8705" max="8705" width="9.8984375" style="2466" customWidth="1"/>
    <col min="8706" max="8706" width="28.09765625" style="2466" customWidth="1"/>
    <col min="8707" max="8707" width="12.8984375" style="2466" customWidth="1"/>
    <col min="8708" max="8708" width="34.19921875" style="2466" customWidth="1"/>
    <col min="8709" max="8709" width="13.8984375" style="2466" customWidth="1"/>
    <col min="8710" max="8960" width="8.09765625" style="2466"/>
    <col min="8961" max="8961" width="9.8984375" style="2466" customWidth="1"/>
    <col min="8962" max="8962" width="28.09765625" style="2466" customWidth="1"/>
    <col min="8963" max="8963" width="12.8984375" style="2466" customWidth="1"/>
    <col min="8964" max="8964" width="34.19921875" style="2466" customWidth="1"/>
    <col min="8965" max="8965" width="13.8984375" style="2466" customWidth="1"/>
    <col min="8966" max="9216" width="8.09765625" style="2466"/>
    <col min="9217" max="9217" width="9.8984375" style="2466" customWidth="1"/>
    <col min="9218" max="9218" width="28.09765625" style="2466" customWidth="1"/>
    <col min="9219" max="9219" width="12.8984375" style="2466" customWidth="1"/>
    <col min="9220" max="9220" width="34.19921875" style="2466" customWidth="1"/>
    <col min="9221" max="9221" width="13.8984375" style="2466" customWidth="1"/>
    <col min="9222" max="9472" width="8.09765625" style="2466"/>
    <col min="9473" max="9473" width="9.8984375" style="2466" customWidth="1"/>
    <col min="9474" max="9474" width="28.09765625" style="2466" customWidth="1"/>
    <col min="9475" max="9475" width="12.8984375" style="2466" customWidth="1"/>
    <col min="9476" max="9476" width="34.19921875" style="2466" customWidth="1"/>
    <col min="9477" max="9477" width="13.8984375" style="2466" customWidth="1"/>
    <col min="9478" max="9728" width="8.09765625" style="2466"/>
    <col min="9729" max="9729" width="9.8984375" style="2466" customWidth="1"/>
    <col min="9730" max="9730" width="28.09765625" style="2466" customWidth="1"/>
    <col min="9731" max="9731" width="12.8984375" style="2466" customWidth="1"/>
    <col min="9732" max="9732" width="34.19921875" style="2466" customWidth="1"/>
    <col min="9733" max="9733" width="13.8984375" style="2466" customWidth="1"/>
    <col min="9734" max="9984" width="8.09765625" style="2466"/>
    <col min="9985" max="9985" width="9.8984375" style="2466" customWidth="1"/>
    <col min="9986" max="9986" width="28.09765625" style="2466" customWidth="1"/>
    <col min="9987" max="9987" width="12.8984375" style="2466" customWidth="1"/>
    <col min="9988" max="9988" width="34.19921875" style="2466" customWidth="1"/>
    <col min="9989" max="9989" width="13.8984375" style="2466" customWidth="1"/>
    <col min="9990" max="10240" width="8.09765625" style="2466"/>
    <col min="10241" max="10241" width="9.8984375" style="2466" customWidth="1"/>
    <col min="10242" max="10242" width="28.09765625" style="2466" customWidth="1"/>
    <col min="10243" max="10243" width="12.8984375" style="2466" customWidth="1"/>
    <col min="10244" max="10244" width="34.19921875" style="2466" customWidth="1"/>
    <col min="10245" max="10245" width="13.8984375" style="2466" customWidth="1"/>
    <col min="10246" max="10496" width="8.09765625" style="2466"/>
    <col min="10497" max="10497" width="9.8984375" style="2466" customWidth="1"/>
    <col min="10498" max="10498" width="28.09765625" style="2466" customWidth="1"/>
    <col min="10499" max="10499" width="12.8984375" style="2466" customWidth="1"/>
    <col min="10500" max="10500" width="34.19921875" style="2466" customWidth="1"/>
    <col min="10501" max="10501" width="13.8984375" style="2466" customWidth="1"/>
    <col min="10502" max="10752" width="8.09765625" style="2466"/>
    <col min="10753" max="10753" width="9.8984375" style="2466" customWidth="1"/>
    <col min="10754" max="10754" width="28.09765625" style="2466" customWidth="1"/>
    <col min="10755" max="10755" width="12.8984375" style="2466" customWidth="1"/>
    <col min="10756" max="10756" width="34.19921875" style="2466" customWidth="1"/>
    <col min="10757" max="10757" width="13.8984375" style="2466" customWidth="1"/>
    <col min="10758" max="11008" width="8.09765625" style="2466"/>
    <col min="11009" max="11009" width="9.8984375" style="2466" customWidth="1"/>
    <col min="11010" max="11010" width="28.09765625" style="2466" customWidth="1"/>
    <col min="11011" max="11011" width="12.8984375" style="2466" customWidth="1"/>
    <col min="11012" max="11012" width="34.19921875" style="2466" customWidth="1"/>
    <col min="11013" max="11013" width="13.8984375" style="2466" customWidth="1"/>
    <col min="11014" max="11264" width="8.09765625" style="2466"/>
    <col min="11265" max="11265" width="9.8984375" style="2466" customWidth="1"/>
    <col min="11266" max="11266" width="28.09765625" style="2466" customWidth="1"/>
    <col min="11267" max="11267" width="12.8984375" style="2466" customWidth="1"/>
    <col min="11268" max="11268" width="34.19921875" style="2466" customWidth="1"/>
    <col min="11269" max="11269" width="13.8984375" style="2466" customWidth="1"/>
    <col min="11270" max="11520" width="8.09765625" style="2466"/>
    <col min="11521" max="11521" width="9.8984375" style="2466" customWidth="1"/>
    <col min="11522" max="11522" width="28.09765625" style="2466" customWidth="1"/>
    <col min="11523" max="11523" width="12.8984375" style="2466" customWidth="1"/>
    <col min="11524" max="11524" width="34.19921875" style="2466" customWidth="1"/>
    <col min="11525" max="11525" width="13.8984375" style="2466" customWidth="1"/>
    <col min="11526" max="11776" width="8.09765625" style="2466"/>
    <col min="11777" max="11777" width="9.8984375" style="2466" customWidth="1"/>
    <col min="11778" max="11778" width="28.09765625" style="2466" customWidth="1"/>
    <col min="11779" max="11779" width="12.8984375" style="2466" customWidth="1"/>
    <col min="11780" max="11780" width="34.19921875" style="2466" customWidth="1"/>
    <col min="11781" max="11781" width="13.8984375" style="2466" customWidth="1"/>
    <col min="11782" max="12032" width="8.09765625" style="2466"/>
    <col min="12033" max="12033" width="9.8984375" style="2466" customWidth="1"/>
    <col min="12034" max="12034" width="28.09765625" style="2466" customWidth="1"/>
    <col min="12035" max="12035" width="12.8984375" style="2466" customWidth="1"/>
    <col min="12036" max="12036" width="34.19921875" style="2466" customWidth="1"/>
    <col min="12037" max="12037" width="13.8984375" style="2466" customWidth="1"/>
    <col min="12038" max="12288" width="8.09765625" style="2466"/>
    <col min="12289" max="12289" width="9.8984375" style="2466" customWidth="1"/>
    <col min="12290" max="12290" width="28.09765625" style="2466" customWidth="1"/>
    <col min="12291" max="12291" width="12.8984375" style="2466" customWidth="1"/>
    <col min="12292" max="12292" width="34.19921875" style="2466" customWidth="1"/>
    <col min="12293" max="12293" width="13.8984375" style="2466" customWidth="1"/>
    <col min="12294" max="12544" width="8.09765625" style="2466"/>
    <col min="12545" max="12545" width="9.8984375" style="2466" customWidth="1"/>
    <col min="12546" max="12546" width="28.09765625" style="2466" customWidth="1"/>
    <col min="12547" max="12547" width="12.8984375" style="2466" customWidth="1"/>
    <col min="12548" max="12548" width="34.19921875" style="2466" customWidth="1"/>
    <col min="12549" max="12549" width="13.8984375" style="2466" customWidth="1"/>
    <col min="12550" max="12800" width="8.09765625" style="2466"/>
    <col min="12801" max="12801" width="9.8984375" style="2466" customWidth="1"/>
    <col min="12802" max="12802" width="28.09765625" style="2466" customWidth="1"/>
    <col min="12803" max="12803" width="12.8984375" style="2466" customWidth="1"/>
    <col min="12804" max="12804" width="34.19921875" style="2466" customWidth="1"/>
    <col min="12805" max="12805" width="13.8984375" style="2466" customWidth="1"/>
    <col min="12806" max="13056" width="8.09765625" style="2466"/>
    <col min="13057" max="13057" width="9.8984375" style="2466" customWidth="1"/>
    <col min="13058" max="13058" width="28.09765625" style="2466" customWidth="1"/>
    <col min="13059" max="13059" width="12.8984375" style="2466" customWidth="1"/>
    <col min="13060" max="13060" width="34.19921875" style="2466" customWidth="1"/>
    <col min="13061" max="13061" width="13.8984375" style="2466" customWidth="1"/>
    <col min="13062" max="13312" width="8.09765625" style="2466"/>
    <col min="13313" max="13313" width="9.8984375" style="2466" customWidth="1"/>
    <col min="13314" max="13314" width="28.09765625" style="2466" customWidth="1"/>
    <col min="13315" max="13315" width="12.8984375" style="2466" customWidth="1"/>
    <col min="13316" max="13316" width="34.19921875" style="2466" customWidth="1"/>
    <col min="13317" max="13317" width="13.8984375" style="2466" customWidth="1"/>
    <col min="13318" max="13568" width="8.09765625" style="2466"/>
    <col min="13569" max="13569" width="9.8984375" style="2466" customWidth="1"/>
    <col min="13570" max="13570" width="28.09765625" style="2466" customWidth="1"/>
    <col min="13571" max="13571" width="12.8984375" style="2466" customWidth="1"/>
    <col min="13572" max="13572" width="34.19921875" style="2466" customWidth="1"/>
    <col min="13573" max="13573" width="13.8984375" style="2466" customWidth="1"/>
    <col min="13574" max="13824" width="8.09765625" style="2466"/>
    <col min="13825" max="13825" width="9.8984375" style="2466" customWidth="1"/>
    <col min="13826" max="13826" width="28.09765625" style="2466" customWidth="1"/>
    <col min="13827" max="13827" width="12.8984375" style="2466" customWidth="1"/>
    <col min="13828" max="13828" width="34.19921875" style="2466" customWidth="1"/>
    <col min="13829" max="13829" width="13.8984375" style="2466" customWidth="1"/>
    <col min="13830" max="14080" width="8.09765625" style="2466"/>
    <col min="14081" max="14081" width="9.8984375" style="2466" customWidth="1"/>
    <col min="14082" max="14082" width="28.09765625" style="2466" customWidth="1"/>
    <col min="14083" max="14083" width="12.8984375" style="2466" customWidth="1"/>
    <col min="14084" max="14084" width="34.19921875" style="2466" customWidth="1"/>
    <col min="14085" max="14085" width="13.8984375" style="2466" customWidth="1"/>
    <col min="14086" max="14336" width="8.09765625" style="2466"/>
    <col min="14337" max="14337" width="9.8984375" style="2466" customWidth="1"/>
    <col min="14338" max="14338" width="28.09765625" style="2466" customWidth="1"/>
    <col min="14339" max="14339" width="12.8984375" style="2466" customWidth="1"/>
    <col min="14340" max="14340" width="34.19921875" style="2466" customWidth="1"/>
    <col min="14341" max="14341" width="13.8984375" style="2466" customWidth="1"/>
    <col min="14342" max="14592" width="8.09765625" style="2466"/>
    <col min="14593" max="14593" width="9.8984375" style="2466" customWidth="1"/>
    <col min="14594" max="14594" width="28.09765625" style="2466" customWidth="1"/>
    <col min="14595" max="14595" width="12.8984375" style="2466" customWidth="1"/>
    <col min="14596" max="14596" width="34.19921875" style="2466" customWidth="1"/>
    <col min="14597" max="14597" width="13.8984375" style="2466" customWidth="1"/>
    <col min="14598" max="14848" width="8.09765625" style="2466"/>
    <col min="14849" max="14849" width="9.8984375" style="2466" customWidth="1"/>
    <col min="14850" max="14850" width="28.09765625" style="2466" customWidth="1"/>
    <col min="14851" max="14851" width="12.8984375" style="2466" customWidth="1"/>
    <col min="14852" max="14852" width="34.19921875" style="2466" customWidth="1"/>
    <col min="14853" max="14853" width="13.8984375" style="2466" customWidth="1"/>
    <col min="14854" max="15104" width="8.09765625" style="2466"/>
    <col min="15105" max="15105" width="9.8984375" style="2466" customWidth="1"/>
    <col min="15106" max="15106" width="28.09765625" style="2466" customWidth="1"/>
    <col min="15107" max="15107" width="12.8984375" style="2466" customWidth="1"/>
    <col min="15108" max="15108" width="34.19921875" style="2466" customWidth="1"/>
    <col min="15109" max="15109" width="13.8984375" style="2466" customWidth="1"/>
    <col min="15110" max="15360" width="8.09765625" style="2466"/>
    <col min="15361" max="15361" width="9.8984375" style="2466" customWidth="1"/>
    <col min="15362" max="15362" width="28.09765625" style="2466" customWidth="1"/>
    <col min="15363" max="15363" width="12.8984375" style="2466" customWidth="1"/>
    <col min="15364" max="15364" width="34.19921875" style="2466" customWidth="1"/>
    <col min="15365" max="15365" width="13.8984375" style="2466" customWidth="1"/>
    <col min="15366" max="15616" width="8.09765625" style="2466"/>
    <col min="15617" max="15617" width="9.8984375" style="2466" customWidth="1"/>
    <col min="15618" max="15618" width="28.09765625" style="2466" customWidth="1"/>
    <col min="15619" max="15619" width="12.8984375" style="2466" customWidth="1"/>
    <col min="15620" max="15620" width="34.19921875" style="2466" customWidth="1"/>
    <col min="15621" max="15621" width="13.8984375" style="2466" customWidth="1"/>
    <col min="15622" max="15872" width="8.09765625" style="2466"/>
    <col min="15873" max="15873" width="9.8984375" style="2466" customWidth="1"/>
    <col min="15874" max="15874" width="28.09765625" style="2466" customWidth="1"/>
    <col min="15875" max="15875" width="12.8984375" style="2466" customWidth="1"/>
    <col min="15876" max="15876" width="34.19921875" style="2466" customWidth="1"/>
    <col min="15877" max="15877" width="13.8984375" style="2466" customWidth="1"/>
    <col min="15878" max="16128" width="8.09765625" style="2466"/>
    <col min="16129" max="16129" width="9.8984375" style="2466" customWidth="1"/>
    <col min="16130" max="16130" width="28.09765625" style="2466" customWidth="1"/>
    <col min="16131" max="16131" width="12.8984375" style="2466" customWidth="1"/>
    <col min="16132" max="16132" width="34.19921875" style="2466" customWidth="1"/>
    <col min="16133" max="16133" width="13.8984375" style="2466" customWidth="1"/>
    <col min="16134" max="16384" width="8.09765625" style="2466"/>
  </cols>
  <sheetData>
    <row r="1" spans="1:7" ht="20.100000000000001" customHeight="1">
      <c r="A1" s="4005" t="s">
        <v>7189</v>
      </c>
      <c r="B1" s="4005"/>
      <c r="C1" s="4005"/>
      <c r="D1" s="4005"/>
      <c r="E1" s="4005"/>
      <c r="F1" s="2523"/>
    </row>
    <row r="2" spans="1:7" ht="24" customHeight="1">
      <c r="A2" s="4006" t="s">
        <v>7414</v>
      </c>
      <c r="B2" s="4006"/>
      <c r="C2" s="4006"/>
      <c r="D2" s="4006"/>
      <c r="E2" s="4006"/>
    </row>
    <row r="3" spans="1:7" ht="25.5" customHeight="1">
      <c r="A3" s="4007" t="s">
        <v>7190</v>
      </c>
      <c r="B3" s="4008"/>
      <c r="C3" s="2495" t="s">
        <v>7191</v>
      </c>
      <c r="D3" s="4009" t="s">
        <v>7192</v>
      </c>
      <c r="E3" s="4009"/>
      <c r="G3" s="2522"/>
    </row>
    <row r="4" spans="1:7" ht="25.5" customHeight="1">
      <c r="A4" s="4003"/>
      <c r="B4" s="4003"/>
      <c r="C4" s="2480"/>
      <c r="D4" s="4003"/>
      <c r="E4" s="4003"/>
    </row>
    <row r="5" spans="1:7" ht="25.5" customHeight="1">
      <c r="A5" s="4002" t="s">
        <v>7193</v>
      </c>
      <c r="B5" s="4002"/>
      <c r="C5" s="2496" t="s">
        <v>7194</v>
      </c>
      <c r="D5" s="4002" t="s">
        <v>7195</v>
      </c>
      <c r="E5" s="4002"/>
    </row>
    <row r="6" spans="1:7" ht="25.5" customHeight="1">
      <c r="A6" s="4003"/>
      <c r="B6" s="4003"/>
      <c r="C6" s="2480"/>
      <c r="D6" s="4004"/>
      <c r="E6" s="4004"/>
    </row>
    <row r="7" spans="1:7" ht="25.5" customHeight="1">
      <c r="A7" s="4004"/>
      <c r="B7" s="4004"/>
      <c r="C7" s="2480"/>
      <c r="D7" s="4004"/>
      <c r="E7" s="4004"/>
    </row>
    <row r="8" spans="1:7" ht="25.5" customHeight="1">
      <c r="A8" s="4004"/>
      <c r="B8" s="4004"/>
      <c r="C8" s="2480"/>
      <c r="D8" s="4004"/>
      <c r="E8" s="4004"/>
    </row>
    <row r="9" spans="1:7" ht="25.5" customHeight="1">
      <c r="A9" s="4004"/>
      <c r="B9" s="4004"/>
      <c r="C9" s="2480"/>
      <c r="D9" s="4004"/>
      <c r="E9" s="4004"/>
    </row>
    <row r="10" spans="1:7" ht="25.5" customHeight="1">
      <c r="A10" s="4009" t="s">
        <v>7196</v>
      </c>
      <c r="B10" s="4009"/>
      <c r="C10" s="4010"/>
      <c r="D10" s="4010"/>
      <c r="E10" s="4010"/>
    </row>
    <row r="11" spans="1:7" ht="25.5" customHeight="1">
      <c r="A11" s="4009" t="s">
        <v>7197</v>
      </c>
      <c r="B11" s="4009"/>
      <c r="C11" s="4013"/>
      <c r="D11" s="4013"/>
      <c r="E11" s="4013"/>
    </row>
    <row r="12" spans="1:7" ht="25.5" customHeight="1">
      <c r="A12" s="4009" t="s">
        <v>7198</v>
      </c>
      <c r="B12" s="4009"/>
      <c r="C12" s="4014"/>
      <c r="D12" s="2495" t="s">
        <v>7199</v>
      </c>
      <c r="E12" s="1225"/>
    </row>
    <row r="13" spans="1:7" ht="25.5" customHeight="1">
      <c r="A13" s="4009"/>
      <c r="B13" s="4009"/>
      <c r="C13" s="4015"/>
      <c r="D13" s="2495" t="s">
        <v>7200</v>
      </c>
      <c r="E13" s="1225"/>
    </row>
    <row r="14" spans="1:7" ht="25.5" customHeight="1">
      <c r="A14" s="4009"/>
      <c r="B14" s="4009"/>
      <c r="C14" s="4015"/>
      <c r="D14" s="2495" t="s">
        <v>7201</v>
      </c>
      <c r="E14" s="1225"/>
    </row>
    <row r="15" spans="1:7" ht="25.5" customHeight="1">
      <c r="A15" s="4009"/>
      <c r="B15" s="4009"/>
      <c r="C15" s="4016"/>
      <c r="D15" s="2495" t="s">
        <v>7202</v>
      </c>
      <c r="E15" s="1225"/>
    </row>
    <row r="16" spans="1:7" ht="25.5" customHeight="1">
      <c r="A16" s="4009" t="s">
        <v>7203</v>
      </c>
      <c r="B16" s="4009" t="s">
        <v>7204</v>
      </c>
      <c r="C16" s="4017"/>
      <c r="D16" s="2495" t="s">
        <v>7205</v>
      </c>
      <c r="E16" s="1225"/>
    </row>
    <row r="17" spans="1:7" ht="25.5" customHeight="1">
      <c r="A17" s="4009"/>
      <c r="B17" s="4009"/>
      <c r="C17" s="4017"/>
      <c r="D17" s="2495" t="s">
        <v>7206</v>
      </c>
      <c r="E17" s="1225"/>
    </row>
    <row r="18" spans="1:7" ht="25.5" customHeight="1">
      <c r="A18" s="4009"/>
      <c r="B18" s="4009"/>
      <c r="C18" s="4017"/>
      <c r="D18" s="2495" t="s">
        <v>7207</v>
      </c>
      <c r="E18" s="1225"/>
    </row>
    <row r="19" spans="1:7" ht="25.5" customHeight="1">
      <c r="A19" s="4009"/>
      <c r="B19" s="4009"/>
      <c r="C19" s="4017"/>
      <c r="D19" s="2495" t="s">
        <v>7208</v>
      </c>
      <c r="E19" s="1225"/>
    </row>
    <row r="20" spans="1:7" ht="25.5" customHeight="1">
      <c r="A20" s="4009"/>
      <c r="B20" s="2495" t="s">
        <v>7209</v>
      </c>
      <c r="C20" s="4018"/>
      <c r="D20" s="4019"/>
      <c r="E20" s="4020"/>
    </row>
    <row r="21" spans="1:7" ht="25.5" customHeight="1">
      <c r="A21" s="4009"/>
      <c r="B21" s="2495" t="s">
        <v>7210</v>
      </c>
      <c r="C21" s="1225"/>
      <c r="D21" s="2495" t="s">
        <v>7211</v>
      </c>
      <c r="E21" s="1225"/>
    </row>
    <row r="22" spans="1:7" ht="25.5" customHeight="1">
      <c r="A22" s="4009" t="s">
        <v>7212</v>
      </c>
      <c r="B22" s="2495" t="s">
        <v>7213</v>
      </c>
      <c r="C22" s="1225"/>
      <c r="D22" s="2495" t="s">
        <v>7214</v>
      </c>
      <c r="E22" s="1225"/>
    </row>
    <row r="23" spans="1:7" ht="25.5" customHeight="1">
      <c r="A23" s="4011"/>
      <c r="B23" s="2510" t="s">
        <v>7215</v>
      </c>
      <c r="C23" s="2547"/>
      <c r="D23" s="2510" t="s">
        <v>7216</v>
      </c>
      <c r="E23" s="2547"/>
    </row>
    <row r="24" spans="1:7" ht="25.5" customHeight="1">
      <c r="A24" s="2517" t="s">
        <v>7187</v>
      </c>
      <c r="B24" s="4012">
        <f>基本情况!B12</f>
        <v>0</v>
      </c>
      <c r="C24" s="3987"/>
      <c r="D24" s="2517" t="s">
        <v>7188</v>
      </c>
      <c r="E24" s="2521" t="str">
        <f>基本情况!B21</f>
        <v>2017年3月16日</v>
      </c>
      <c r="F24" s="2483"/>
      <c r="G24" s="2483"/>
    </row>
  </sheetData>
  <mergeCells count="28">
    <mergeCell ref="A22:A23"/>
    <mergeCell ref="B24:C24"/>
    <mergeCell ref="A11:B11"/>
    <mergeCell ref="C11:E11"/>
    <mergeCell ref="A12:B15"/>
    <mergeCell ref="C12:C15"/>
    <mergeCell ref="A16:A21"/>
    <mergeCell ref="B16:B19"/>
    <mergeCell ref="C16:C19"/>
    <mergeCell ref="C20:E20"/>
    <mergeCell ref="A8:B8"/>
    <mergeCell ref="D8:E8"/>
    <mergeCell ref="A9:B9"/>
    <mergeCell ref="D9:E9"/>
    <mergeCell ref="A10:B10"/>
    <mergeCell ref="C10:E10"/>
    <mergeCell ref="A1:E1"/>
    <mergeCell ref="A2:E2"/>
    <mergeCell ref="A3:B3"/>
    <mergeCell ref="D3:E3"/>
    <mergeCell ref="A4:B4"/>
    <mergeCell ref="D4:E4"/>
    <mergeCell ref="A5:B5"/>
    <mergeCell ref="D5:E5"/>
    <mergeCell ref="A6:B6"/>
    <mergeCell ref="D6:E6"/>
    <mergeCell ref="A7:B7"/>
    <mergeCell ref="D7:E7"/>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09765625" defaultRowHeight="15.6"/>
  <cols>
    <col min="1" max="1" width="17.69921875" style="2468" customWidth="1"/>
    <col min="2" max="2" width="14.09765625" style="2468" customWidth="1"/>
    <col min="3" max="3" width="12.8984375" style="2468" customWidth="1"/>
    <col min="4" max="4" width="16.59765625" style="2468" customWidth="1"/>
    <col min="5" max="5" width="24.69921875" style="2468" customWidth="1"/>
    <col min="6" max="6" width="10.59765625" style="2468" customWidth="1"/>
    <col min="7" max="7" width="16" style="2468" customWidth="1"/>
    <col min="8" max="8" width="14.19921875" style="2468" customWidth="1"/>
    <col min="9" max="9" width="9.69921875" style="2468" customWidth="1"/>
    <col min="10" max="256" width="8.09765625" style="2468"/>
    <col min="257" max="257" width="17.69921875" style="2468" customWidth="1"/>
    <col min="258" max="258" width="14.09765625" style="2468" customWidth="1"/>
    <col min="259" max="259" width="12.8984375" style="2468" customWidth="1"/>
    <col min="260" max="260" width="13.69921875" style="2468" customWidth="1"/>
    <col min="261" max="261" width="24.69921875" style="2468" customWidth="1"/>
    <col min="262" max="262" width="10.59765625" style="2468" customWidth="1"/>
    <col min="263" max="263" width="16" style="2468" customWidth="1"/>
    <col min="264" max="264" width="14.19921875" style="2468" customWidth="1"/>
    <col min="265" max="265" width="9.69921875" style="2468" customWidth="1"/>
    <col min="266" max="512" width="8.09765625" style="2468"/>
    <col min="513" max="513" width="17.69921875" style="2468" customWidth="1"/>
    <col min="514" max="514" width="14.09765625" style="2468" customWidth="1"/>
    <col min="515" max="515" width="12.8984375" style="2468" customWidth="1"/>
    <col min="516" max="516" width="13.69921875" style="2468" customWidth="1"/>
    <col min="517" max="517" width="24.69921875" style="2468" customWidth="1"/>
    <col min="518" max="518" width="10.59765625" style="2468" customWidth="1"/>
    <col min="519" max="519" width="16" style="2468" customWidth="1"/>
    <col min="520" max="520" width="14.19921875" style="2468" customWidth="1"/>
    <col min="521" max="521" width="9.69921875" style="2468" customWidth="1"/>
    <col min="522" max="768" width="8.09765625" style="2468"/>
    <col min="769" max="769" width="17.69921875" style="2468" customWidth="1"/>
    <col min="770" max="770" width="14.09765625" style="2468" customWidth="1"/>
    <col min="771" max="771" width="12.8984375" style="2468" customWidth="1"/>
    <col min="772" max="772" width="13.69921875" style="2468" customWidth="1"/>
    <col min="773" max="773" width="24.69921875" style="2468" customWidth="1"/>
    <col min="774" max="774" width="10.59765625" style="2468" customWidth="1"/>
    <col min="775" max="775" width="16" style="2468" customWidth="1"/>
    <col min="776" max="776" width="14.19921875" style="2468" customWidth="1"/>
    <col min="777" max="777" width="9.69921875" style="2468" customWidth="1"/>
    <col min="778" max="1024" width="8.09765625" style="2468"/>
    <col min="1025" max="1025" width="17.69921875" style="2468" customWidth="1"/>
    <col min="1026" max="1026" width="14.09765625" style="2468" customWidth="1"/>
    <col min="1027" max="1027" width="12.8984375" style="2468" customWidth="1"/>
    <col min="1028" max="1028" width="13.69921875" style="2468" customWidth="1"/>
    <col min="1029" max="1029" width="24.69921875" style="2468" customWidth="1"/>
    <col min="1030" max="1030" width="10.59765625" style="2468" customWidth="1"/>
    <col min="1031" max="1031" width="16" style="2468" customWidth="1"/>
    <col min="1032" max="1032" width="14.19921875" style="2468" customWidth="1"/>
    <col min="1033" max="1033" width="9.69921875" style="2468" customWidth="1"/>
    <col min="1034" max="1280" width="8.09765625" style="2468"/>
    <col min="1281" max="1281" width="17.69921875" style="2468" customWidth="1"/>
    <col min="1282" max="1282" width="14.09765625" style="2468" customWidth="1"/>
    <col min="1283" max="1283" width="12.8984375" style="2468" customWidth="1"/>
    <col min="1284" max="1284" width="13.69921875" style="2468" customWidth="1"/>
    <col min="1285" max="1285" width="24.69921875" style="2468" customWidth="1"/>
    <col min="1286" max="1286" width="10.59765625" style="2468" customWidth="1"/>
    <col min="1287" max="1287" width="16" style="2468" customWidth="1"/>
    <col min="1288" max="1288" width="14.19921875" style="2468" customWidth="1"/>
    <col min="1289" max="1289" width="9.69921875" style="2468" customWidth="1"/>
    <col min="1290" max="1536" width="8.09765625" style="2468"/>
    <col min="1537" max="1537" width="17.69921875" style="2468" customWidth="1"/>
    <col min="1538" max="1538" width="14.09765625" style="2468" customWidth="1"/>
    <col min="1539" max="1539" width="12.8984375" style="2468" customWidth="1"/>
    <col min="1540" max="1540" width="13.69921875" style="2468" customWidth="1"/>
    <col min="1541" max="1541" width="24.69921875" style="2468" customWidth="1"/>
    <col min="1542" max="1542" width="10.59765625" style="2468" customWidth="1"/>
    <col min="1543" max="1543" width="16" style="2468" customWidth="1"/>
    <col min="1544" max="1544" width="14.19921875" style="2468" customWidth="1"/>
    <col min="1545" max="1545" width="9.69921875" style="2468" customWidth="1"/>
    <col min="1546" max="1792" width="8.09765625" style="2468"/>
    <col min="1793" max="1793" width="17.69921875" style="2468" customWidth="1"/>
    <col min="1794" max="1794" width="14.09765625" style="2468" customWidth="1"/>
    <col min="1795" max="1795" width="12.8984375" style="2468" customWidth="1"/>
    <col min="1796" max="1796" width="13.69921875" style="2468" customWidth="1"/>
    <col min="1797" max="1797" width="24.69921875" style="2468" customWidth="1"/>
    <col min="1798" max="1798" width="10.59765625" style="2468" customWidth="1"/>
    <col min="1799" max="1799" width="16" style="2468" customWidth="1"/>
    <col min="1800" max="1800" width="14.19921875" style="2468" customWidth="1"/>
    <col min="1801" max="1801" width="9.69921875" style="2468" customWidth="1"/>
    <col min="1802" max="2048" width="8.09765625" style="2468"/>
    <col min="2049" max="2049" width="17.69921875" style="2468" customWidth="1"/>
    <col min="2050" max="2050" width="14.09765625" style="2468" customWidth="1"/>
    <col min="2051" max="2051" width="12.8984375" style="2468" customWidth="1"/>
    <col min="2052" max="2052" width="13.69921875" style="2468" customWidth="1"/>
    <col min="2053" max="2053" width="24.69921875" style="2468" customWidth="1"/>
    <col min="2054" max="2054" width="10.59765625" style="2468" customWidth="1"/>
    <col min="2055" max="2055" width="16" style="2468" customWidth="1"/>
    <col min="2056" max="2056" width="14.19921875" style="2468" customWidth="1"/>
    <col min="2057" max="2057" width="9.69921875" style="2468" customWidth="1"/>
    <col min="2058" max="2304" width="8.09765625" style="2468"/>
    <col min="2305" max="2305" width="17.69921875" style="2468" customWidth="1"/>
    <col min="2306" max="2306" width="14.09765625" style="2468" customWidth="1"/>
    <col min="2307" max="2307" width="12.8984375" style="2468" customWidth="1"/>
    <col min="2308" max="2308" width="13.69921875" style="2468" customWidth="1"/>
    <col min="2309" max="2309" width="24.69921875" style="2468" customWidth="1"/>
    <col min="2310" max="2310" width="10.59765625" style="2468" customWidth="1"/>
    <col min="2311" max="2311" width="16" style="2468" customWidth="1"/>
    <col min="2312" max="2312" width="14.19921875" style="2468" customWidth="1"/>
    <col min="2313" max="2313" width="9.69921875" style="2468" customWidth="1"/>
    <col min="2314" max="2560" width="8.09765625" style="2468"/>
    <col min="2561" max="2561" width="17.69921875" style="2468" customWidth="1"/>
    <col min="2562" max="2562" width="14.09765625" style="2468" customWidth="1"/>
    <col min="2563" max="2563" width="12.8984375" style="2468" customWidth="1"/>
    <col min="2564" max="2564" width="13.69921875" style="2468" customWidth="1"/>
    <col min="2565" max="2565" width="24.69921875" style="2468" customWidth="1"/>
    <col min="2566" max="2566" width="10.59765625" style="2468" customWidth="1"/>
    <col min="2567" max="2567" width="16" style="2468" customWidth="1"/>
    <col min="2568" max="2568" width="14.19921875" style="2468" customWidth="1"/>
    <col min="2569" max="2569" width="9.69921875" style="2468" customWidth="1"/>
    <col min="2570" max="2816" width="8.09765625" style="2468"/>
    <col min="2817" max="2817" width="17.69921875" style="2468" customWidth="1"/>
    <col min="2818" max="2818" width="14.09765625" style="2468" customWidth="1"/>
    <col min="2819" max="2819" width="12.8984375" style="2468" customWidth="1"/>
    <col min="2820" max="2820" width="13.69921875" style="2468" customWidth="1"/>
    <col min="2821" max="2821" width="24.69921875" style="2468" customWidth="1"/>
    <col min="2822" max="2822" width="10.59765625" style="2468" customWidth="1"/>
    <col min="2823" max="2823" width="16" style="2468" customWidth="1"/>
    <col min="2824" max="2824" width="14.19921875" style="2468" customWidth="1"/>
    <col min="2825" max="2825" width="9.69921875" style="2468" customWidth="1"/>
    <col min="2826" max="3072" width="8.09765625" style="2468"/>
    <col min="3073" max="3073" width="17.69921875" style="2468" customWidth="1"/>
    <col min="3074" max="3074" width="14.09765625" style="2468" customWidth="1"/>
    <col min="3075" max="3075" width="12.8984375" style="2468" customWidth="1"/>
    <col min="3076" max="3076" width="13.69921875" style="2468" customWidth="1"/>
    <col min="3077" max="3077" width="24.69921875" style="2468" customWidth="1"/>
    <col min="3078" max="3078" width="10.59765625" style="2468" customWidth="1"/>
    <col min="3079" max="3079" width="16" style="2468" customWidth="1"/>
    <col min="3080" max="3080" width="14.19921875" style="2468" customWidth="1"/>
    <col min="3081" max="3081" width="9.69921875" style="2468" customWidth="1"/>
    <col min="3082" max="3328" width="8.09765625" style="2468"/>
    <col min="3329" max="3329" width="17.69921875" style="2468" customWidth="1"/>
    <col min="3330" max="3330" width="14.09765625" style="2468" customWidth="1"/>
    <col min="3331" max="3331" width="12.8984375" style="2468" customWidth="1"/>
    <col min="3332" max="3332" width="13.69921875" style="2468" customWidth="1"/>
    <col min="3333" max="3333" width="24.69921875" style="2468" customWidth="1"/>
    <col min="3334" max="3334" width="10.59765625" style="2468" customWidth="1"/>
    <col min="3335" max="3335" width="16" style="2468" customWidth="1"/>
    <col min="3336" max="3336" width="14.19921875" style="2468" customWidth="1"/>
    <col min="3337" max="3337" width="9.69921875" style="2468" customWidth="1"/>
    <col min="3338" max="3584" width="8.09765625" style="2468"/>
    <col min="3585" max="3585" width="17.69921875" style="2468" customWidth="1"/>
    <col min="3586" max="3586" width="14.09765625" style="2468" customWidth="1"/>
    <col min="3587" max="3587" width="12.8984375" style="2468" customWidth="1"/>
    <col min="3588" max="3588" width="13.69921875" style="2468" customWidth="1"/>
    <col min="3589" max="3589" width="24.69921875" style="2468" customWidth="1"/>
    <col min="3590" max="3590" width="10.59765625" style="2468" customWidth="1"/>
    <col min="3591" max="3591" width="16" style="2468" customWidth="1"/>
    <col min="3592" max="3592" width="14.19921875" style="2468" customWidth="1"/>
    <col min="3593" max="3593" width="9.69921875" style="2468" customWidth="1"/>
    <col min="3594" max="3840" width="8.09765625" style="2468"/>
    <col min="3841" max="3841" width="17.69921875" style="2468" customWidth="1"/>
    <col min="3842" max="3842" width="14.09765625" style="2468" customWidth="1"/>
    <col min="3843" max="3843" width="12.8984375" style="2468" customWidth="1"/>
    <col min="3844" max="3844" width="13.69921875" style="2468" customWidth="1"/>
    <col min="3845" max="3845" width="24.69921875" style="2468" customWidth="1"/>
    <col min="3846" max="3846" width="10.59765625" style="2468" customWidth="1"/>
    <col min="3847" max="3847" width="16" style="2468" customWidth="1"/>
    <col min="3848" max="3848" width="14.19921875" style="2468" customWidth="1"/>
    <col min="3849" max="3849" width="9.69921875" style="2468" customWidth="1"/>
    <col min="3850" max="4096" width="8.09765625" style="2468"/>
    <col min="4097" max="4097" width="17.69921875" style="2468" customWidth="1"/>
    <col min="4098" max="4098" width="14.09765625" style="2468" customWidth="1"/>
    <col min="4099" max="4099" width="12.8984375" style="2468" customWidth="1"/>
    <col min="4100" max="4100" width="13.69921875" style="2468" customWidth="1"/>
    <col min="4101" max="4101" width="24.69921875" style="2468" customWidth="1"/>
    <col min="4102" max="4102" width="10.59765625" style="2468" customWidth="1"/>
    <col min="4103" max="4103" width="16" style="2468" customWidth="1"/>
    <col min="4104" max="4104" width="14.19921875" style="2468" customWidth="1"/>
    <col min="4105" max="4105" width="9.69921875" style="2468" customWidth="1"/>
    <col min="4106" max="4352" width="8.09765625" style="2468"/>
    <col min="4353" max="4353" width="17.69921875" style="2468" customWidth="1"/>
    <col min="4354" max="4354" width="14.09765625" style="2468" customWidth="1"/>
    <col min="4355" max="4355" width="12.8984375" style="2468" customWidth="1"/>
    <col min="4356" max="4356" width="13.69921875" style="2468" customWidth="1"/>
    <col min="4357" max="4357" width="24.69921875" style="2468" customWidth="1"/>
    <col min="4358" max="4358" width="10.59765625" style="2468" customWidth="1"/>
    <col min="4359" max="4359" width="16" style="2468" customWidth="1"/>
    <col min="4360" max="4360" width="14.19921875" style="2468" customWidth="1"/>
    <col min="4361" max="4361" width="9.69921875" style="2468" customWidth="1"/>
    <col min="4362" max="4608" width="8.09765625" style="2468"/>
    <col min="4609" max="4609" width="17.69921875" style="2468" customWidth="1"/>
    <col min="4610" max="4610" width="14.09765625" style="2468" customWidth="1"/>
    <col min="4611" max="4611" width="12.8984375" style="2468" customWidth="1"/>
    <col min="4612" max="4612" width="13.69921875" style="2468" customWidth="1"/>
    <col min="4613" max="4613" width="24.69921875" style="2468" customWidth="1"/>
    <col min="4614" max="4614" width="10.59765625" style="2468" customWidth="1"/>
    <col min="4615" max="4615" width="16" style="2468" customWidth="1"/>
    <col min="4616" max="4616" width="14.19921875" style="2468" customWidth="1"/>
    <col min="4617" max="4617" width="9.69921875" style="2468" customWidth="1"/>
    <col min="4618" max="4864" width="8.09765625" style="2468"/>
    <col min="4865" max="4865" width="17.69921875" style="2468" customWidth="1"/>
    <col min="4866" max="4866" width="14.09765625" style="2468" customWidth="1"/>
    <col min="4867" max="4867" width="12.8984375" style="2468" customWidth="1"/>
    <col min="4868" max="4868" width="13.69921875" style="2468" customWidth="1"/>
    <col min="4869" max="4869" width="24.69921875" style="2468" customWidth="1"/>
    <col min="4870" max="4870" width="10.59765625" style="2468" customWidth="1"/>
    <col min="4871" max="4871" width="16" style="2468" customWidth="1"/>
    <col min="4872" max="4872" width="14.19921875" style="2468" customWidth="1"/>
    <col min="4873" max="4873" width="9.69921875" style="2468" customWidth="1"/>
    <col min="4874" max="5120" width="8.09765625" style="2468"/>
    <col min="5121" max="5121" width="17.69921875" style="2468" customWidth="1"/>
    <col min="5122" max="5122" width="14.09765625" style="2468" customWidth="1"/>
    <col min="5123" max="5123" width="12.8984375" style="2468" customWidth="1"/>
    <col min="5124" max="5124" width="13.69921875" style="2468" customWidth="1"/>
    <col min="5125" max="5125" width="24.69921875" style="2468" customWidth="1"/>
    <col min="5126" max="5126" width="10.59765625" style="2468" customWidth="1"/>
    <col min="5127" max="5127" width="16" style="2468" customWidth="1"/>
    <col min="5128" max="5128" width="14.19921875" style="2468" customWidth="1"/>
    <col min="5129" max="5129" width="9.69921875" style="2468" customWidth="1"/>
    <col min="5130" max="5376" width="8.09765625" style="2468"/>
    <col min="5377" max="5377" width="17.69921875" style="2468" customWidth="1"/>
    <col min="5378" max="5378" width="14.09765625" style="2468" customWidth="1"/>
    <col min="5379" max="5379" width="12.8984375" style="2468" customWidth="1"/>
    <col min="5380" max="5380" width="13.69921875" style="2468" customWidth="1"/>
    <col min="5381" max="5381" width="24.69921875" style="2468" customWidth="1"/>
    <col min="5382" max="5382" width="10.59765625" style="2468" customWidth="1"/>
    <col min="5383" max="5383" width="16" style="2468" customWidth="1"/>
    <col min="5384" max="5384" width="14.19921875" style="2468" customWidth="1"/>
    <col min="5385" max="5385" width="9.69921875" style="2468" customWidth="1"/>
    <col min="5386" max="5632" width="8.09765625" style="2468"/>
    <col min="5633" max="5633" width="17.69921875" style="2468" customWidth="1"/>
    <col min="5634" max="5634" width="14.09765625" style="2468" customWidth="1"/>
    <col min="5635" max="5635" width="12.8984375" style="2468" customWidth="1"/>
    <col min="5636" max="5636" width="13.69921875" style="2468" customWidth="1"/>
    <col min="5637" max="5637" width="24.69921875" style="2468" customWidth="1"/>
    <col min="5638" max="5638" width="10.59765625" style="2468" customWidth="1"/>
    <col min="5639" max="5639" width="16" style="2468" customWidth="1"/>
    <col min="5640" max="5640" width="14.19921875" style="2468" customWidth="1"/>
    <col min="5641" max="5641" width="9.69921875" style="2468" customWidth="1"/>
    <col min="5642" max="5888" width="8.09765625" style="2468"/>
    <col min="5889" max="5889" width="17.69921875" style="2468" customWidth="1"/>
    <col min="5890" max="5890" width="14.09765625" style="2468" customWidth="1"/>
    <col min="5891" max="5891" width="12.8984375" style="2468" customWidth="1"/>
    <col min="5892" max="5892" width="13.69921875" style="2468" customWidth="1"/>
    <col min="5893" max="5893" width="24.69921875" style="2468" customWidth="1"/>
    <col min="5894" max="5894" width="10.59765625" style="2468" customWidth="1"/>
    <col min="5895" max="5895" width="16" style="2468" customWidth="1"/>
    <col min="5896" max="5896" width="14.19921875" style="2468" customWidth="1"/>
    <col min="5897" max="5897" width="9.69921875" style="2468" customWidth="1"/>
    <col min="5898" max="6144" width="8.09765625" style="2468"/>
    <col min="6145" max="6145" width="17.69921875" style="2468" customWidth="1"/>
    <col min="6146" max="6146" width="14.09765625" style="2468" customWidth="1"/>
    <col min="6147" max="6147" width="12.8984375" style="2468" customWidth="1"/>
    <col min="6148" max="6148" width="13.69921875" style="2468" customWidth="1"/>
    <col min="6149" max="6149" width="24.69921875" style="2468" customWidth="1"/>
    <col min="6150" max="6150" width="10.59765625" style="2468" customWidth="1"/>
    <col min="6151" max="6151" width="16" style="2468" customWidth="1"/>
    <col min="6152" max="6152" width="14.19921875" style="2468" customWidth="1"/>
    <col min="6153" max="6153" width="9.69921875" style="2468" customWidth="1"/>
    <col min="6154" max="6400" width="8.09765625" style="2468"/>
    <col min="6401" max="6401" width="17.69921875" style="2468" customWidth="1"/>
    <col min="6402" max="6402" width="14.09765625" style="2468" customWidth="1"/>
    <col min="6403" max="6403" width="12.8984375" style="2468" customWidth="1"/>
    <col min="6404" max="6404" width="13.69921875" style="2468" customWidth="1"/>
    <col min="6405" max="6405" width="24.69921875" style="2468" customWidth="1"/>
    <col min="6406" max="6406" width="10.59765625" style="2468" customWidth="1"/>
    <col min="6407" max="6407" width="16" style="2468" customWidth="1"/>
    <col min="6408" max="6408" width="14.19921875" style="2468" customWidth="1"/>
    <col min="6409" max="6409" width="9.69921875" style="2468" customWidth="1"/>
    <col min="6410" max="6656" width="8.09765625" style="2468"/>
    <col min="6657" max="6657" width="17.69921875" style="2468" customWidth="1"/>
    <col min="6658" max="6658" width="14.09765625" style="2468" customWidth="1"/>
    <col min="6659" max="6659" width="12.8984375" style="2468" customWidth="1"/>
    <col min="6660" max="6660" width="13.69921875" style="2468" customWidth="1"/>
    <col min="6661" max="6661" width="24.69921875" style="2468" customWidth="1"/>
    <col min="6662" max="6662" width="10.59765625" style="2468" customWidth="1"/>
    <col min="6663" max="6663" width="16" style="2468" customWidth="1"/>
    <col min="6664" max="6664" width="14.19921875" style="2468" customWidth="1"/>
    <col min="6665" max="6665" width="9.69921875" style="2468" customWidth="1"/>
    <col min="6666" max="6912" width="8.09765625" style="2468"/>
    <col min="6913" max="6913" width="17.69921875" style="2468" customWidth="1"/>
    <col min="6914" max="6914" width="14.09765625" style="2468" customWidth="1"/>
    <col min="6915" max="6915" width="12.8984375" style="2468" customWidth="1"/>
    <col min="6916" max="6916" width="13.69921875" style="2468" customWidth="1"/>
    <col min="6917" max="6917" width="24.69921875" style="2468" customWidth="1"/>
    <col min="6918" max="6918" width="10.59765625" style="2468" customWidth="1"/>
    <col min="6919" max="6919" width="16" style="2468" customWidth="1"/>
    <col min="6920" max="6920" width="14.19921875" style="2468" customWidth="1"/>
    <col min="6921" max="6921" width="9.69921875" style="2468" customWidth="1"/>
    <col min="6922" max="7168" width="8.09765625" style="2468"/>
    <col min="7169" max="7169" width="17.69921875" style="2468" customWidth="1"/>
    <col min="7170" max="7170" width="14.09765625" style="2468" customWidth="1"/>
    <col min="7171" max="7171" width="12.8984375" style="2468" customWidth="1"/>
    <col min="7172" max="7172" width="13.69921875" style="2468" customWidth="1"/>
    <col min="7173" max="7173" width="24.69921875" style="2468" customWidth="1"/>
    <col min="7174" max="7174" width="10.59765625" style="2468" customWidth="1"/>
    <col min="7175" max="7175" width="16" style="2468" customWidth="1"/>
    <col min="7176" max="7176" width="14.19921875" style="2468" customWidth="1"/>
    <col min="7177" max="7177" width="9.69921875" style="2468" customWidth="1"/>
    <col min="7178" max="7424" width="8.09765625" style="2468"/>
    <col min="7425" max="7425" width="17.69921875" style="2468" customWidth="1"/>
    <col min="7426" max="7426" width="14.09765625" style="2468" customWidth="1"/>
    <col min="7427" max="7427" width="12.8984375" style="2468" customWidth="1"/>
    <col min="7428" max="7428" width="13.69921875" style="2468" customWidth="1"/>
    <col min="7429" max="7429" width="24.69921875" style="2468" customWidth="1"/>
    <col min="7430" max="7430" width="10.59765625" style="2468" customWidth="1"/>
    <col min="7431" max="7431" width="16" style="2468" customWidth="1"/>
    <col min="7432" max="7432" width="14.19921875" style="2468" customWidth="1"/>
    <col min="7433" max="7433" width="9.69921875" style="2468" customWidth="1"/>
    <col min="7434" max="7680" width="8.09765625" style="2468"/>
    <col min="7681" max="7681" width="17.69921875" style="2468" customWidth="1"/>
    <col min="7682" max="7682" width="14.09765625" style="2468" customWidth="1"/>
    <col min="7683" max="7683" width="12.8984375" style="2468" customWidth="1"/>
    <col min="7684" max="7684" width="13.69921875" style="2468" customWidth="1"/>
    <col min="7685" max="7685" width="24.69921875" style="2468" customWidth="1"/>
    <col min="7686" max="7686" width="10.59765625" style="2468" customWidth="1"/>
    <col min="7687" max="7687" width="16" style="2468" customWidth="1"/>
    <col min="7688" max="7688" width="14.19921875" style="2468" customWidth="1"/>
    <col min="7689" max="7689" width="9.69921875" style="2468" customWidth="1"/>
    <col min="7690" max="7936" width="8.09765625" style="2468"/>
    <col min="7937" max="7937" width="17.69921875" style="2468" customWidth="1"/>
    <col min="7938" max="7938" width="14.09765625" style="2468" customWidth="1"/>
    <col min="7939" max="7939" width="12.8984375" style="2468" customWidth="1"/>
    <col min="7940" max="7940" width="13.69921875" style="2468" customWidth="1"/>
    <col min="7941" max="7941" width="24.69921875" style="2468" customWidth="1"/>
    <col min="7942" max="7942" width="10.59765625" style="2468" customWidth="1"/>
    <col min="7943" max="7943" width="16" style="2468" customWidth="1"/>
    <col min="7944" max="7944" width="14.19921875" style="2468" customWidth="1"/>
    <col min="7945" max="7945" width="9.69921875" style="2468" customWidth="1"/>
    <col min="7946" max="8192" width="8.09765625" style="2468"/>
    <col min="8193" max="8193" width="17.69921875" style="2468" customWidth="1"/>
    <col min="8194" max="8194" width="14.09765625" style="2468" customWidth="1"/>
    <col min="8195" max="8195" width="12.8984375" style="2468" customWidth="1"/>
    <col min="8196" max="8196" width="13.69921875" style="2468" customWidth="1"/>
    <col min="8197" max="8197" width="24.69921875" style="2468" customWidth="1"/>
    <col min="8198" max="8198" width="10.59765625" style="2468" customWidth="1"/>
    <col min="8199" max="8199" width="16" style="2468" customWidth="1"/>
    <col min="8200" max="8200" width="14.19921875" style="2468" customWidth="1"/>
    <col min="8201" max="8201" width="9.69921875" style="2468" customWidth="1"/>
    <col min="8202" max="8448" width="8.09765625" style="2468"/>
    <col min="8449" max="8449" width="17.69921875" style="2468" customWidth="1"/>
    <col min="8450" max="8450" width="14.09765625" style="2468" customWidth="1"/>
    <col min="8451" max="8451" width="12.8984375" style="2468" customWidth="1"/>
    <col min="8452" max="8452" width="13.69921875" style="2468" customWidth="1"/>
    <col min="8453" max="8453" width="24.69921875" style="2468" customWidth="1"/>
    <col min="8454" max="8454" width="10.59765625" style="2468" customWidth="1"/>
    <col min="8455" max="8455" width="16" style="2468" customWidth="1"/>
    <col min="8456" max="8456" width="14.19921875" style="2468" customWidth="1"/>
    <col min="8457" max="8457" width="9.69921875" style="2468" customWidth="1"/>
    <col min="8458" max="8704" width="8.09765625" style="2468"/>
    <col min="8705" max="8705" width="17.69921875" style="2468" customWidth="1"/>
    <col min="8706" max="8706" width="14.09765625" style="2468" customWidth="1"/>
    <col min="8707" max="8707" width="12.8984375" style="2468" customWidth="1"/>
    <col min="8708" max="8708" width="13.69921875" style="2468" customWidth="1"/>
    <col min="8709" max="8709" width="24.69921875" style="2468" customWidth="1"/>
    <col min="8710" max="8710" width="10.59765625" style="2468" customWidth="1"/>
    <col min="8711" max="8711" width="16" style="2468" customWidth="1"/>
    <col min="8712" max="8712" width="14.19921875" style="2468" customWidth="1"/>
    <col min="8713" max="8713" width="9.69921875" style="2468" customWidth="1"/>
    <col min="8714" max="8960" width="8.09765625" style="2468"/>
    <col min="8961" max="8961" width="17.69921875" style="2468" customWidth="1"/>
    <col min="8962" max="8962" width="14.09765625" style="2468" customWidth="1"/>
    <col min="8963" max="8963" width="12.8984375" style="2468" customWidth="1"/>
    <col min="8964" max="8964" width="13.69921875" style="2468" customWidth="1"/>
    <col min="8965" max="8965" width="24.69921875" style="2468" customWidth="1"/>
    <col min="8966" max="8966" width="10.59765625" style="2468" customWidth="1"/>
    <col min="8967" max="8967" width="16" style="2468" customWidth="1"/>
    <col min="8968" max="8968" width="14.19921875" style="2468" customWidth="1"/>
    <col min="8969" max="8969" width="9.69921875" style="2468" customWidth="1"/>
    <col min="8970" max="9216" width="8.09765625" style="2468"/>
    <col min="9217" max="9217" width="17.69921875" style="2468" customWidth="1"/>
    <col min="9218" max="9218" width="14.09765625" style="2468" customWidth="1"/>
    <col min="9219" max="9219" width="12.8984375" style="2468" customWidth="1"/>
    <col min="9220" max="9220" width="13.69921875" style="2468" customWidth="1"/>
    <col min="9221" max="9221" width="24.69921875" style="2468" customWidth="1"/>
    <col min="9222" max="9222" width="10.59765625" style="2468" customWidth="1"/>
    <col min="9223" max="9223" width="16" style="2468" customWidth="1"/>
    <col min="9224" max="9224" width="14.19921875" style="2468" customWidth="1"/>
    <col min="9225" max="9225" width="9.69921875" style="2468" customWidth="1"/>
    <col min="9226" max="9472" width="8.09765625" style="2468"/>
    <col min="9473" max="9473" width="17.69921875" style="2468" customWidth="1"/>
    <col min="9474" max="9474" width="14.09765625" style="2468" customWidth="1"/>
    <col min="9475" max="9475" width="12.8984375" style="2468" customWidth="1"/>
    <col min="9476" max="9476" width="13.69921875" style="2468" customWidth="1"/>
    <col min="9477" max="9477" width="24.69921875" style="2468" customWidth="1"/>
    <col min="9478" max="9478" width="10.59765625" style="2468" customWidth="1"/>
    <col min="9479" max="9479" width="16" style="2468" customWidth="1"/>
    <col min="9480" max="9480" width="14.19921875" style="2468" customWidth="1"/>
    <col min="9481" max="9481" width="9.69921875" style="2468" customWidth="1"/>
    <col min="9482" max="9728" width="8.09765625" style="2468"/>
    <col min="9729" max="9729" width="17.69921875" style="2468" customWidth="1"/>
    <col min="9730" max="9730" width="14.09765625" style="2468" customWidth="1"/>
    <col min="9731" max="9731" width="12.8984375" style="2468" customWidth="1"/>
    <col min="9732" max="9732" width="13.69921875" style="2468" customWidth="1"/>
    <col min="9733" max="9733" width="24.69921875" style="2468" customWidth="1"/>
    <col min="9734" max="9734" width="10.59765625" style="2468" customWidth="1"/>
    <col min="9735" max="9735" width="16" style="2468" customWidth="1"/>
    <col min="9736" max="9736" width="14.19921875" style="2468" customWidth="1"/>
    <col min="9737" max="9737" width="9.69921875" style="2468" customWidth="1"/>
    <col min="9738" max="9984" width="8.09765625" style="2468"/>
    <col min="9985" max="9985" width="17.69921875" style="2468" customWidth="1"/>
    <col min="9986" max="9986" width="14.09765625" style="2468" customWidth="1"/>
    <col min="9987" max="9987" width="12.8984375" style="2468" customWidth="1"/>
    <col min="9988" max="9988" width="13.69921875" style="2468" customWidth="1"/>
    <col min="9989" max="9989" width="24.69921875" style="2468" customWidth="1"/>
    <col min="9990" max="9990" width="10.59765625" style="2468" customWidth="1"/>
    <col min="9991" max="9991" width="16" style="2468" customWidth="1"/>
    <col min="9992" max="9992" width="14.19921875" style="2468" customWidth="1"/>
    <col min="9993" max="9993" width="9.69921875" style="2468" customWidth="1"/>
    <col min="9994" max="10240" width="8.09765625" style="2468"/>
    <col min="10241" max="10241" width="17.69921875" style="2468" customWidth="1"/>
    <col min="10242" max="10242" width="14.09765625" style="2468" customWidth="1"/>
    <col min="10243" max="10243" width="12.8984375" style="2468" customWidth="1"/>
    <col min="10244" max="10244" width="13.69921875" style="2468" customWidth="1"/>
    <col min="10245" max="10245" width="24.69921875" style="2468" customWidth="1"/>
    <col min="10246" max="10246" width="10.59765625" style="2468" customWidth="1"/>
    <col min="10247" max="10247" width="16" style="2468" customWidth="1"/>
    <col min="10248" max="10248" width="14.19921875" style="2468" customWidth="1"/>
    <col min="10249" max="10249" width="9.69921875" style="2468" customWidth="1"/>
    <col min="10250" max="10496" width="8.09765625" style="2468"/>
    <col min="10497" max="10497" width="17.69921875" style="2468" customWidth="1"/>
    <col min="10498" max="10498" width="14.09765625" style="2468" customWidth="1"/>
    <col min="10499" max="10499" width="12.8984375" style="2468" customWidth="1"/>
    <col min="10500" max="10500" width="13.69921875" style="2468" customWidth="1"/>
    <col min="10501" max="10501" width="24.69921875" style="2468" customWidth="1"/>
    <col min="10502" max="10502" width="10.59765625" style="2468" customWidth="1"/>
    <col min="10503" max="10503" width="16" style="2468" customWidth="1"/>
    <col min="10504" max="10504" width="14.19921875" style="2468" customWidth="1"/>
    <col min="10505" max="10505" width="9.69921875" style="2468" customWidth="1"/>
    <col min="10506" max="10752" width="8.09765625" style="2468"/>
    <col min="10753" max="10753" width="17.69921875" style="2468" customWidth="1"/>
    <col min="10754" max="10754" width="14.09765625" style="2468" customWidth="1"/>
    <col min="10755" max="10755" width="12.8984375" style="2468" customWidth="1"/>
    <col min="10756" max="10756" width="13.69921875" style="2468" customWidth="1"/>
    <col min="10757" max="10757" width="24.69921875" style="2468" customWidth="1"/>
    <col min="10758" max="10758" width="10.59765625" style="2468" customWidth="1"/>
    <col min="10759" max="10759" width="16" style="2468" customWidth="1"/>
    <col min="10760" max="10760" width="14.19921875" style="2468" customWidth="1"/>
    <col min="10761" max="10761" width="9.69921875" style="2468" customWidth="1"/>
    <col min="10762" max="11008" width="8.09765625" style="2468"/>
    <col min="11009" max="11009" width="17.69921875" style="2468" customWidth="1"/>
    <col min="11010" max="11010" width="14.09765625" style="2468" customWidth="1"/>
    <col min="11011" max="11011" width="12.8984375" style="2468" customWidth="1"/>
    <col min="11012" max="11012" width="13.69921875" style="2468" customWidth="1"/>
    <col min="11013" max="11013" width="24.69921875" style="2468" customWidth="1"/>
    <col min="11014" max="11014" width="10.59765625" style="2468" customWidth="1"/>
    <col min="11015" max="11015" width="16" style="2468" customWidth="1"/>
    <col min="11016" max="11016" width="14.19921875" style="2468" customWidth="1"/>
    <col min="11017" max="11017" width="9.69921875" style="2468" customWidth="1"/>
    <col min="11018" max="11264" width="8.09765625" style="2468"/>
    <col min="11265" max="11265" width="17.69921875" style="2468" customWidth="1"/>
    <col min="11266" max="11266" width="14.09765625" style="2468" customWidth="1"/>
    <col min="11267" max="11267" width="12.8984375" style="2468" customWidth="1"/>
    <col min="11268" max="11268" width="13.69921875" style="2468" customWidth="1"/>
    <col min="11269" max="11269" width="24.69921875" style="2468" customWidth="1"/>
    <col min="11270" max="11270" width="10.59765625" style="2468" customWidth="1"/>
    <col min="11271" max="11271" width="16" style="2468" customWidth="1"/>
    <col min="11272" max="11272" width="14.19921875" style="2468" customWidth="1"/>
    <col min="11273" max="11273" width="9.69921875" style="2468" customWidth="1"/>
    <col min="11274" max="11520" width="8.09765625" style="2468"/>
    <col min="11521" max="11521" width="17.69921875" style="2468" customWidth="1"/>
    <col min="11522" max="11522" width="14.09765625" style="2468" customWidth="1"/>
    <col min="11523" max="11523" width="12.8984375" style="2468" customWidth="1"/>
    <col min="11524" max="11524" width="13.69921875" style="2468" customWidth="1"/>
    <col min="11525" max="11525" width="24.69921875" style="2468" customWidth="1"/>
    <col min="11526" max="11526" width="10.59765625" style="2468" customWidth="1"/>
    <col min="11527" max="11527" width="16" style="2468" customWidth="1"/>
    <col min="11528" max="11528" width="14.19921875" style="2468" customWidth="1"/>
    <col min="11529" max="11529" width="9.69921875" style="2468" customWidth="1"/>
    <col min="11530" max="11776" width="8.09765625" style="2468"/>
    <col min="11777" max="11777" width="17.69921875" style="2468" customWidth="1"/>
    <col min="11778" max="11778" width="14.09765625" style="2468" customWidth="1"/>
    <col min="11779" max="11779" width="12.8984375" style="2468" customWidth="1"/>
    <col min="11780" max="11780" width="13.69921875" style="2468" customWidth="1"/>
    <col min="11781" max="11781" width="24.69921875" style="2468" customWidth="1"/>
    <col min="11782" max="11782" width="10.59765625" style="2468" customWidth="1"/>
    <col min="11783" max="11783" width="16" style="2468" customWidth="1"/>
    <col min="11784" max="11784" width="14.19921875" style="2468" customWidth="1"/>
    <col min="11785" max="11785" width="9.69921875" style="2468" customWidth="1"/>
    <col min="11786" max="12032" width="8.09765625" style="2468"/>
    <col min="12033" max="12033" width="17.69921875" style="2468" customWidth="1"/>
    <col min="12034" max="12034" width="14.09765625" style="2468" customWidth="1"/>
    <col min="12035" max="12035" width="12.8984375" style="2468" customWidth="1"/>
    <col min="12036" max="12036" width="13.69921875" style="2468" customWidth="1"/>
    <col min="12037" max="12037" width="24.69921875" style="2468" customWidth="1"/>
    <col min="12038" max="12038" width="10.59765625" style="2468" customWidth="1"/>
    <col min="12039" max="12039" width="16" style="2468" customWidth="1"/>
    <col min="12040" max="12040" width="14.19921875" style="2468" customWidth="1"/>
    <col min="12041" max="12041" width="9.69921875" style="2468" customWidth="1"/>
    <col min="12042" max="12288" width="8.09765625" style="2468"/>
    <col min="12289" max="12289" width="17.69921875" style="2468" customWidth="1"/>
    <col min="12290" max="12290" width="14.09765625" style="2468" customWidth="1"/>
    <col min="12291" max="12291" width="12.8984375" style="2468" customWidth="1"/>
    <col min="12292" max="12292" width="13.69921875" style="2468" customWidth="1"/>
    <col min="12293" max="12293" width="24.69921875" style="2468" customWidth="1"/>
    <col min="12294" max="12294" width="10.59765625" style="2468" customWidth="1"/>
    <col min="12295" max="12295" width="16" style="2468" customWidth="1"/>
    <col min="12296" max="12296" width="14.19921875" style="2468" customWidth="1"/>
    <col min="12297" max="12297" width="9.69921875" style="2468" customWidth="1"/>
    <col min="12298" max="12544" width="8.09765625" style="2468"/>
    <col min="12545" max="12545" width="17.69921875" style="2468" customWidth="1"/>
    <col min="12546" max="12546" width="14.09765625" style="2468" customWidth="1"/>
    <col min="12547" max="12547" width="12.8984375" style="2468" customWidth="1"/>
    <col min="12548" max="12548" width="13.69921875" style="2468" customWidth="1"/>
    <col min="12549" max="12549" width="24.69921875" style="2468" customWidth="1"/>
    <col min="12550" max="12550" width="10.59765625" style="2468" customWidth="1"/>
    <col min="12551" max="12551" width="16" style="2468" customWidth="1"/>
    <col min="12552" max="12552" width="14.19921875" style="2468" customWidth="1"/>
    <col min="12553" max="12553" width="9.69921875" style="2468" customWidth="1"/>
    <col min="12554" max="12800" width="8.09765625" style="2468"/>
    <col min="12801" max="12801" width="17.69921875" style="2468" customWidth="1"/>
    <col min="12802" max="12802" width="14.09765625" style="2468" customWidth="1"/>
    <col min="12803" max="12803" width="12.8984375" style="2468" customWidth="1"/>
    <col min="12804" max="12804" width="13.69921875" style="2468" customWidth="1"/>
    <col min="12805" max="12805" width="24.69921875" style="2468" customWidth="1"/>
    <col min="12806" max="12806" width="10.59765625" style="2468" customWidth="1"/>
    <col min="12807" max="12807" width="16" style="2468" customWidth="1"/>
    <col min="12808" max="12808" width="14.19921875" style="2468" customWidth="1"/>
    <col min="12809" max="12809" width="9.69921875" style="2468" customWidth="1"/>
    <col min="12810" max="13056" width="8.09765625" style="2468"/>
    <col min="13057" max="13057" width="17.69921875" style="2468" customWidth="1"/>
    <col min="13058" max="13058" width="14.09765625" style="2468" customWidth="1"/>
    <col min="13059" max="13059" width="12.8984375" style="2468" customWidth="1"/>
    <col min="13060" max="13060" width="13.69921875" style="2468" customWidth="1"/>
    <col min="13061" max="13061" width="24.69921875" style="2468" customWidth="1"/>
    <col min="13062" max="13062" width="10.59765625" style="2468" customWidth="1"/>
    <col min="13063" max="13063" width="16" style="2468" customWidth="1"/>
    <col min="13064" max="13064" width="14.19921875" style="2468" customWidth="1"/>
    <col min="13065" max="13065" width="9.69921875" style="2468" customWidth="1"/>
    <col min="13066" max="13312" width="8.09765625" style="2468"/>
    <col min="13313" max="13313" width="17.69921875" style="2468" customWidth="1"/>
    <col min="13314" max="13314" width="14.09765625" style="2468" customWidth="1"/>
    <col min="13315" max="13315" width="12.8984375" style="2468" customWidth="1"/>
    <col min="13316" max="13316" width="13.69921875" style="2468" customWidth="1"/>
    <col min="13317" max="13317" width="24.69921875" style="2468" customWidth="1"/>
    <col min="13318" max="13318" width="10.59765625" style="2468" customWidth="1"/>
    <col min="13319" max="13319" width="16" style="2468" customWidth="1"/>
    <col min="13320" max="13320" width="14.19921875" style="2468" customWidth="1"/>
    <col min="13321" max="13321" width="9.69921875" style="2468" customWidth="1"/>
    <col min="13322" max="13568" width="8.09765625" style="2468"/>
    <col min="13569" max="13569" width="17.69921875" style="2468" customWidth="1"/>
    <col min="13570" max="13570" width="14.09765625" style="2468" customWidth="1"/>
    <col min="13571" max="13571" width="12.8984375" style="2468" customWidth="1"/>
    <col min="13572" max="13572" width="13.69921875" style="2468" customWidth="1"/>
    <col min="13573" max="13573" width="24.69921875" style="2468" customWidth="1"/>
    <col min="13574" max="13574" width="10.59765625" style="2468" customWidth="1"/>
    <col min="13575" max="13575" width="16" style="2468" customWidth="1"/>
    <col min="13576" max="13576" width="14.19921875" style="2468" customWidth="1"/>
    <col min="13577" max="13577" width="9.69921875" style="2468" customWidth="1"/>
    <col min="13578" max="13824" width="8.09765625" style="2468"/>
    <col min="13825" max="13825" width="17.69921875" style="2468" customWidth="1"/>
    <col min="13826" max="13826" width="14.09765625" style="2468" customWidth="1"/>
    <col min="13827" max="13827" width="12.8984375" style="2468" customWidth="1"/>
    <col min="13828" max="13828" width="13.69921875" style="2468" customWidth="1"/>
    <col min="13829" max="13829" width="24.69921875" style="2468" customWidth="1"/>
    <col min="13830" max="13830" width="10.59765625" style="2468" customWidth="1"/>
    <col min="13831" max="13831" width="16" style="2468" customWidth="1"/>
    <col min="13832" max="13832" width="14.19921875" style="2468" customWidth="1"/>
    <col min="13833" max="13833" width="9.69921875" style="2468" customWidth="1"/>
    <col min="13834" max="14080" width="8.09765625" style="2468"/>
    <col min="14081" max="14081" width="17.69921875" style="2468" customWidth="1"/>
    <col min="14082" max="14082" width="14.09765625" style="2468" customWidth="1"/>
    <col min="14083" max="14083" width="12.8984375" style="2468" customWidth="1"/>
    <col min="14084" max="14084" width="13.69921875" style="2468" customWidth="1"/>
    <col min="14085" max="14085" width="24.69921875" style="2468" customWidth="1"/>
    <col min="14086" max="14086" width="10.59765625" style="2468" customWidth="1"/>
    <col min="14087" max="14087" width="16" style="2468" customWidth="1"/>
    <col min="14088" max="14088" width="14.19921875" style="2468" customWidth="1"/>
    <col min="14089" max="14089" width="9.69921875" style="2468" customWidth="1"/>
    <col min="14090" max="14336" width="8.09765625" style="2468"/>
    <col min="14337" max="14337" width="17.69921875" style="2468" customWidth="1"/>
    <col min="14338" max="14338" width="14.09765625" style="2468" customWidth="1"/>
    <col min="14339" max="14339" width="12.8984375" style="2468" customWidth="1"/>
    <col min="14340" max="14340" width="13.69921875" style="2468" customWidth="1"/>
    <col min="14341" max="14341" width="24.69921875" style="2468" customWidth="1"/>
    <col min="14342" max="14342" width="10.59765625" style="2468" customWidth="1"/>
    <col min="14343" max="14343" width="16" style="2468" customWidth="1"/>
    <col min="14344" max="14344" width="14.19921875" style="2468" customWidth="1"/>
    <col min="14345" max="14345" width="9.69921875" style="2468" customWidth="1"/>
    <col min="14346" max="14592" width="8.09765625" style="2468"/>
    <col min="14593" max="14593" width="17.69921875" style="2468" customWidth="1"/>
    <col min="14594" max="14594" width="14.09765625" style="2468" customWidth="1"/>
    <col min="14595" max="14595" width="12.8984375" style="2468" customWidth="1"/>
    <col min="14596" max="14596" width="13.69921875" style="2468" customWidth="1"/>
    <col min="14597" max="14597" width="24.69921875" style="2468" customWidth="1"/>
    <col min="14598" max="14598" width="10.59765625" style="2468" customWidth="1"/>
    <col min="14599" max="14599" width="16" style="2468" customWidth="1"/>
    <col min="14600" max="14600" width="14.19921875" style="2468" customWidth="1"/>
    <col min="14601" max="14601" width="9.69921875" style="2468" customWidth="1"/>
    <col min="14602" max="14848" width="8.09765625" style="2468"/>
    <col min="14849" max="14849" width="17.69921875" style="2468" customWidth="1"/>
    <col min="14850" max="14850" width="14.09765625" style="2468" customWidth="1"/>
    <col min="14851" max="14851" width="12.8984375" style="2468" customWidth="1"/>
    <col min="14852" max="14852" width="13.69921875" style="2468" customWidth="1"/>
    <col min="14853" max="14853" width="24.69921875" style="2468" customWidth="1"/>
    <col min="14854" max="14854" width="10.59765625" style="2468" customWidth="1"/>
    <col min="14855" max="14855" width="16" style="2468" customWidth="1"/>
    <col min="14856" max="14856" width="14.19921875" style="2468" customWidth="1"/>
    <col min="14857" max="14857" width="9.69921875" style="2468" customWidth="1"/>
    <col min="14858" max="15104" width="8.09765625" style="2468"/>
    <col min="15105" max="15105" width="17.69921875" style="2468" customWidth="1"/>
    <col min="15106" max="15106" width="14.09765625" style="2468" customWidth="1"/>
    <col min="15107" max="15107" width="12.8984375" style="2468" customWidth="1"/>
    <col min="15108" max="15108" width="13.69921875" style="2468" customWidth="1"/>
    <col min="15109" max="15109" width="24.69921875" style="2468" customWidth="1"/>
    <col min="15110" max="15110" width="10.59765625" style="2468" customWidth="1"/>
    <col min="15111" max="15111" width="16" style="2468" customWidth="1"/>
    <col min="15112" max="15112" width="14.19921875" style="2468" customWidth="1"/>
    <col min="15113" max="15113" width="9.69921875" style="2468" customWidth="1"/>
    <col min="15114" max="15360" width="8.09765625" style="2468"/>
    <col min="15361" max="15361" width="17.69921875" style="2468" customWidth="1"/>
    <col min="15362" max="15362" width="14.09765625" style="2468" customWidth="1"/>
    <col min="15363" max="15363" width="12.8984375" style="2468" customWidth="1"/>
    <col min="15364" max="15364" width="13.69921875" style="2468" customWidth="1"/>
    <col min="15365" max="15365" width="24.69921875" style="2468" customWidth="1"/>
    <col min="15366" max="15366" width="10.59765625" style="2468" customWidth="1"/>
    <col min="15367" max="15367" width="16" style="2468" customWidth="1"/>
    <col min="15368" max="15368" width="14.19921875" style="2468" customWidth="1"/>
    <col min="15369" max="15369" width="9.69921875" style="2468" customWidth="1"/>
    <col min="15370" max="15616" width="8.09765625" style="2468"/>
    <col min="15617" max="15617" width="17.69921875" style="2468" customWidth="1"/>
    <col min="15618" max="15618" width="14.09765625" style="2468" customWidth="1"/>
    <col min="15619" max="15619" width="12.8984375" style="2468" customWidth="1"/>
    <col min="15620" max="15620" width="13.69921875" style="2468" customWidth="1"/>
    <col min="15621" max="15621" width="24.69921875" style="2468" customWidth="1"/>
    <col min="15622" max="15622" width="10.59765625" style="2468" customWidth="1"/>
    <col min="15623" max="15623" width="16" style="2468" customWidth="1"/>
    <col min="15624" max="15624" width="14.19921875" style="2468" customWidth="1"/>
    <col min="15625" max="15625" width="9.69921875" style="2468" customWidth="1"/>
    <col min="15626" max="15872" width="8.09765625" style="2468"/>
    <col min="15873" max="15873" width="17.69921875" style="2468" customWidth="1"/>
    <col min="15874" max="15874" width="14.09765625" style="2468" customWidth="1"/>
    <col min="15875" max="15875" width="12.8984375" style="2468" customWidth="1"/>
    <col min="15876" max="15876" width="13.69921875" style="2468" customWidth="1"/>
    <col min="15877" max="15877" width="24.69921875" style="2468" customWidth="1"/>
    <col min="15878" max="15878" width="10.59765625" style="2468" customWidth="1"/>
    <col min="15879" max="15879" width="16" style="2468" customWidth="1"/>
    <col min="15880" max="15880" width="14.19921875" style="2468" customWidth="1"/>
    <col min="15881" max="15881" width="9.69921875" style="2468" customWidth="1"/>
    <col min="15882" max="16128" width="8.09765625" style="2468"/>
    <col min="16129" max="16129" width="17.69921875" style="2468" customWidth="1"/>
    <col min="16130" max="16130" width="14.09765625" style="2468" customWidth="1"/>
    <col min="16131" max="16131" width="12.8984375" style="2468" customWidth="1"/>
    <col min="16132" max="16132" width="13.69921875" style="2468" customWidth="1"/>
    <col min="16133" max="16133" width="24.69921875" style="2468" customWidth="1"/>
    <col min="16134" max="16134" width="10.59765625" style="2468" customWidth="1"/>
    <col min="16135" max="16135" width="16" style="2468" customWidth="1"/>
    <col min="16136" max="16136" width="14.19921875" style="2468" customWidth="1"/>
    <col min="16137" max="16137" width="9.69921875" style="2468" customWidth="1"/>
    <col min="16138" max="16384" width="8.09765625" style="2468"/>
  </cols>
  <sheetData>
    <row r="1" spans="1:9" ht="17.100000000000001" customHeight="1">
      <c r="A1" s="4005" t="s">
        <v>7217</v>
      </c>
      <c r="B1" s="4005"/>
      <c r="C1" s="4005"/>
      <c r="D1" s="4005"/>
      <c r="E1" s="4005"/>
      <c r="F1" s="4005"/>
      <c r="G1" s="4005"/>
      <c r="H1" s="4005"/>
      <c r="I1" s="4005"/>
    </row>
    <row r="2" spans="1:9" ht="24" customHeight="1">
      <c r="A2" s="2729" t="s">
        <v>7415</v>
      </c>
      <c r="B2" s="2729"/>
      <c r="C2" s="2729"/>
      <c r="D2" s="2729"/>
      <c r="E2" s="2729"/>
      <c r="F2" s="2729"/>
      <c r="G2" s="2729"/>
      <c r="H2" s="2729"/>
      <c r="I2" s="2729"/>
    </row>
    <row r="3" spans="1:9" ht="25.2" customHeight="1">
      <c r="A3" s="4021" t="s">
        <v>7218</v>
      </c>
      <c r="B3" s="4021"/>
      <c r="C3" s="2469"/>
      <c r="D3" s="4021" t="s">
        <v>7219</v>
      </c>
      <c r="E3" s="4021"/>
      <c r="F3" s="2501"/>
      <c r="G3" s="4022" t="s">
        <v>7220</v>
      </c>
      <c r="H3" s="4022"/>
      <c r="I3" s="2501"/>
    </row>
    <row r="4" spans="1:9" ht="25.2" customHeight="1">
      <c r="A4" s="4021" t="s">
        <v>7221</v>
      </c>
      <c r="B4" s="4021"/>
      <c r="C4" s="2469"/>
      <c r="D4" s="4021" t="s">
        <v>7222</v>
      </c>
      <c r="E4" s="4021"/>
      <c r="F4" s="2501"/>
      <c r="G4" s="4021" t="s">
        <v>7223</v>
      </c>
      <c r="H4" s="4021"/>
      <c r="I4" s="2501"/>
    </row>
    <row r="5" spans="1:9" ht="25.2" customHeight="1">
      <c r="A5" s="4022" t="s">
        <v>7224</v>
      </c>
      <c r="B5" s="4022"/>
      <c r="C5" s="2469"/>
      <c r="D5" s="4021" t="s">
        <v>7225</v>
      </c>
      <c r="E5" s="4021"/>
      <c r="F5" s="4013"/>
      <c r="G5" s="4021" t="s">
        <v>7226</v>
      </c>
      <c r="H5" s="4021"/>
      <c r="I5" s="4013"/>
    </row>
    <row r="6" spans="1:9" ht="25.2" customHeight="1">
      <c r="A6" s="4022" t="s">
        <v>7227</v>
      </c>
      <c r="B6" s="4022"/>
      <c r="C6" s="2469"/>
      <c r="D6" s="4021"/>
      <c r="E6" s="4021"/>
      <c r="F6" s="4013"/>
      <c r="G6" s="4021"/>
      <c r="H6" s="4021"/>
      <c r="I6" s="4013"/>
    </row>
    <row r="7" spans="1:9" ht="25.2" customHeight="1">
      <c r="A7" s="4022" t="s">
        <v>7228</v>
      </c>
      <c r="B7" s="4022"/>
      <c r="C7" s="2469"/>
      <c r="D7" s="4021" t="s">
        <v>7229</v>
      </c>
      <c r="E7" s="4021"/>
      <c r="F7" s="4013"/>
      <c r="G7" s="4021" t="s">
        <v>7230</v>
      </c>
      <c r="H7" s="4021"/>
      <c r="I7" s="4013"/>
    </row>
    <row r="8" spans="1:9" ht="25.2" customHeight="1">
      <c r="A8" s="4022" t="s">
        <v>7231</v>
      </c>
      <c r="B8" s="4022"/>
      <c r="C8" s="2469"/>
      <c r="D8" s="4021"/>
      <c r="E8" s="4021"/>
      <c r="F8" s="4013"/>
      <c r="G8" s="4021"/>
      <c r="H8" s="4021"/>
      <c r="I8" s="4013"/>
    </row>
    <row r="9" spans="1:9" ht="25.2" customHeight="1">
      <c r="A9" s="4022" t="s">
        <v>7232</v>
      </c>
      <c r="B9" s="4022"/>
      <c r="C9" s="2469"/>
      <c r="D9" s="4021" t="s">
        <v>7233</v>
      </c>
      <c r="E9" s="4021"/>
      <c r="F9" s="4013"/>
      <c r="G9" s="4021" t="s">
        <v>7234</v>
      </c>
      <c r="H9" s="4021"/>
      <c r="I9" s="4013"/>
    </row>
    <row r="10" spans="1:9" ht="25.2" customHeight="1">
      <c r="A10" s="4022" t="s">
        <v>7235</v>
      </c>
      <c r="B10" s="4022"/>
      <c r="C10" s="2469"/>
      <c r="D10" s="4021"/>
      <c r="E10" s="4021"/>
      <c r="F10" s="4013"/>
      <c r="G10" s="4021"/>
      <c r="H10" s="4021"/>
      <c r="I10" s="4013"/>
    </row>
    <row r="11" spans="1:9" ht="25.2" customHeight="1">
      <c r="A11" s="4022" t="s">
        <v>7236</v>
      </c>
      <c r="B11" s="4022"/>
      <c r="C11" s="2469"/>
      <c r="D11" s="4021" t="s">
        <v>7237</v>
      </c>
      <c r="E11" s="4021"/>
      <c r="F11" s="4013"/>
      <c r="G11" s="4021" t="s">
        <v>7238</v>
      </c>
      <c r="H11" s="4021"/>
      <c r="I11" s="4013"/>
    </row>
    <row r="12" spans="1:9" ht="25.2" customHeight="1">
      <c r="A12" s="4022" t="s">
        <v>7239</v>
      </c>
      <c r="B12" s="4022"/>
      <c r="C12" s="2469"/>
      <c r="D12" s="4021"/>
      <c r="E12" s="4021"/>
      <c r="F12" s="4013"/>
      <c r="G12" s="4021"/>
      <c r="H12" s="4021"/>
      <c r="I12" s="4013"/>
    </row>
    <row r="13" spans="1:9" ht="25.2" customHeight="1">
      <c r="A13" s="4022" t="s">
        <v>7240</v>
      </c>
      <c r="B13" s="4022"/>
      <c r="C13" s="2469"/>
      <c r="D13" s="4021" t="s">
        <v>7241</v>
      </c>
      <c r="E13" s="4021"/>
      <c r="F13" s="4013"/>
      <c r="G13" s="4021" t="s">
        <v>7242</v>
      </c>
      <c r="H13" s="4021"/>
      <c r="I13" s="4013"/>
    </row>
    <row r="14" spans="1:9" ht="25.2" customHeight="1">
      <c r="A14" s="4022" t="s">
        <v>7243</v>
      </c>
      <c r="B14" s="4022"/>
      <c r="C14" s="2469"/>
      <c r="D14" s="4021"/>
      <c r="E14" s="4021"/>
      <c r="F14" s="4013"/>
      <c r="G14" s="4021"/>
      <c r="H14" s="4021"/>
      <c r="I14" s="4013"/>
    </row>
    <row r="15" spans="1:9" ht="25.2" customHeight="1">
      <c r="A15" s="4022" t="s">
        <v>7244</v>
      </c>
      <c r="B15" s="4022"/>
      <c r="C15" s="2469"/>
      <c r="D15" s="4021" t="s">
        <v>7245</v>
      </c>
      <c r="E15" s="4021"/>
      <c r="F15" s="4013"/>
      <c r="G15" s="4021" t="s">
        <v>7246</v>
      </c>
      <c r="H15" s="4021"/>
      <c r="I15" s="4013"/>
    </row>
    <row r="16" spans="1:9" ht="25.2" customHeight="1">
      <c r="A16" s="4022" t="s">
        <v>7247</v>
      </c>
      <c r="B16" s="4022"/>
      <c r="C16" s="2469"/>
      <c r="D16" s="4021"/>
      <c r="E16" s="4021"/>
      <c r="F16" s="4013"/>
      <c r="G16" s="4021"/>
      <c r="H16" s="4021"/>
      <c r="I16" s="4013"/>
    </row>
    <row r="17" spans="1:9" ht="25.2" customHeight="1">
      <c r="A17" s="4022" t="s">
        <v>7248</v>
      </c>
      <c r="B17" s="4022"/>
      <c r="C17" s="2469"/>
      <c r="D17" s="4021" t="s">
        <v>7249</v>
      </c>
      <c r="E17" s="4021"/>
      <c r="F17" s="4013"/>
      <c r="G17" s="4023" t="s">
        <v>7250</v>
      </c>
      <c r="H17" s="4023"/>
      <c r="I17" s="4013"/>
    </row>
    <row r="18" spans="1:9" ht="25.2" customHeight="1">
      <c r="A18" s="4022" t="s">
        <v>7251</v>
      </c>
      <c r="B18" s="4022"/>
      <c r="C18" s="2469"/>
      <c r="D18" s="4021"/>
      <c r="E18" s="4021"/>
      <c r="F18" s="4013"/>
      <c r="G18" s="4023"/>
      <c r="H18" s="4023"/>
      <c r="I18" s="4013"/>
    </row>
    <row r="19" spans="1:9" ht="25.2" customHeight="1">
      <c r="A19" s="4022" t="s">
        <v>7252</v>
      </c>
      <c r="B19" s="4022"/>
      <c r="C19" s="4022"/>
      <c r="D19" s="4025"/>
      <c r="E19" s="4025"/>
      <c r="F19" s="4009" t="s">
        <v>7253</v>
      </c>
      <c r="G19" s="4009"/>
      <c r="H19" s="4009"/>
      <c r="I19" s="2524"/>
    </row>
    <row r="20" spans="1:9" ht="25.2" customHeight="1">
      <c r="A20" s="4009" t="s">
        <v>7254</v>
      </c>
      <c r="B20" s="4009"/>
      <c r="C20" s="2524"/>
      <c r="D20" s="4009" t="s">
        <v>7255</v>
      </c>
      <c r="E20" s="4009"/>
      <c r="F20" s="2524"/>
      <c r="G20" s="4009" t="s">
        <v>7256</v>
      </c>
      <c r="H20" s="4009"/>
      <c r="I20" s="2524"/>
    </row>
    <row r="21" spans="1:9" ht="25.2" customHeight="1">
      <c r="A21" s="4009" t="s">
        <v>7257</v>
      </c>
      <c r="B21" s="4009"/>
      <c r="C21" s="2501"/>
      <c r="D21" s="4009" t="s">
        <v>7258</v>
      </c>
      <c r="E21" s="4009"/>
      <c r="F21" s="2501"/>
      <c r="G21" s="4009" t="s">
        <v>7259</v>
      </c>
      <c r="H21" s="4009"/>
      <c r="I21" s="2531"/>
    </row>
    <row r="22" spans="1:9" ht="25.2" customHeight="1">
      <c r="A22" s="4009" t="s">
        <v>7260</v>
      </c>
      <c r="B22" s="4009"/>
      <c r="C22" s="4009"/>
      <c r="D22" s="4009"/>
      <c r="E22" s="4009"/>
      <c r="F22" s="4010"/>
      <c r="G22" s="4010"/>
      <c r="H22" s="4010"/>
      <c r="I22" s="4010"/>
    </row>
    <row r="23" spans="1:9" ht="17.100000000000001" customHeight="1">
      <c r="A23" s="4009" t="s">
        <v>7261</v>
      </c>
      <c r="B23" s="2507" t="s">
        <v>284</v>
      </c>
      <c r="C23" s="2507" t="s">
        <v>7262</v>
      </c>
      <c r="D23" s="2507" t="s">
        <v>7263</v>
      </c>
      <c r="E23" s="2507" t="s">
        <v>7406</v>
      </c>
      <c r="F23" s="4024" t="s">
        <v>7265</v>
      </c>
      <c r="G23" s="4009" t="s">
        <v>7266</v>
      </c>
      <c r="H23" s="4009"/>
      <c r="I23" s="4009"/>
    </row>
    <row r="24" spans="1:9" ht="17.100000000000001" customHeight="1">
      <c r="A24" s="4009"/>
      <c r="B24" s="1571"/>
      <c r="C24" s="2526"/>
      <c r="D24" s="2526"/>
      <c r="E24" s="2526"/>
      <c r="F24" s="4024"/>
      <c r="G24" s="2507" t="s">
        <v>284</v>
      </c>
      <c r="H24" s="2507" t="s">
        <v>7262</v>
      </c>
      <c r="I24" s="2507" t="s">
        <v>1255</v>
      </c>
    </row>
    <row r="25" spans="1:9" ht="17.100000000000001" customHeight="1">
      <c r="A25" s="4009"/>
      <c r="B25" s="1571"/>
      <c r="C25" s="2526"/>
      <c r="D25" s="2526"/>
      <c r="E25" s="2526"/>
      <c r="F25" s="4024"/>
      <c r="G25" s="2481"/>
      <c r="H25" s="2525"/>
      <c r="I25" s="2525"/>
    </row>
    <row r="26" spans="1:9" ht="17.100000000000001" customHeight="1">
      <c r="A26" s="4009"/>
      <c r="B26" s="1571"/>
      <c r="C26" s="2526"/>
      <c r="D26" s="2526"/>
      <c r="E26" s="2526"/>
      <c r="F26" s="2501"/>
      <c r="G26" s="2507" t="s">
        <v>702</v>
      </c>
      <c r="H26" s="2527"/>
      <c r="I26" s="2527"/>
    </row>
    <row r="27" spans="1:9" ht="17.100000000000001" customHeight="1">
      <c r="A27" s="4009" t="s">
        <v>7267</v>
      </c>
      <c r="B27" s="2507" t="s">
        <v>284</v>
      </c>
      <c r="C27" s="2507" t="s">
        <v>7262</v>
      </c>
      <c r="D27" s="2507" t="s">
        <v>7263</v>
      </c>
      <c r="E27" s="2507" t="s">
        <v>7264</v>
      </c>
      <c r="F27" s="4024" t="s">
        <v>7265</v>
      </c>
      <c r="G27" s="4009" t="s">
        <v>7266</v>
      </c>
      <c r="H27" s="4009"/>
      <c r="I27" s="4009"/>
    </row>
    <row r="28" spans="1:9" ht="17.100000000000001" customHeight="1">
      <c r="A28" s="4009"/>
      <c r="B28" s="1571"/>
      <c r="C28" s="2525"/>
      <c r="D28" s="2525"/>
      <c r="E28" s="2525"/>
      <c r="F28" s="4024"/>
      <c r="G28" s="2507" t="s">
        <v>284</v>
      </c>
      <c r="H28" s="2507" t="s">
        <v>7262</v>
      </c>
      <c r="I28" s="2507" t="s">
        <v>1255</v>
      </c>
    </row>
    <row r="29" spans="1:9" ht="17.100000000000001" customHeight="1">
      <c r="A29" s="4009"/>
      <c r="B29" s="1571"/>
      <c r="C29" s="2525"/>
      <c r="D29" s="2525"/>
      <c r="E29" s="2525"/>
      <c r="F29" s="4024"/>
      <c r="G29" s="2481"/>
      <c r="H29" s="2525"/>
      <c r="I29" s="2525"/>
    </row>
    <row r="30" spans="1:9" ht="17.100000000000001" customHeight="1">
      <c r="A30" s="4009"/>
      <c r="B30" s="1571"/>
      <c r="C30" s="2525"/>
      <c r="D30" s="2525"/>
      <c r="E30" s="2525"/>
      <c r="F30" s="2501"/>
      <c r="G30" s="2507" t="s">
        <v>702</v>
      </c>
      <c r="H30" s="2527"/>
      <c r="I30" s="2527"/>
    </row>
    <row r="31" spans="1:9" ht="17.100000000000001" customHeight="1">
      <c r="A31" s="4009" t="s">
        <v>7268</v>
      </c>
      <c r="B31" s="2507" t="s">
        <v>284</v>
      </c>
      <c r="C31" s="2507" t="s">
        <v>7262</v>
      </c>
      <c r="D31" s="2507" t="s">
        <v>7263</v>
      </c>
      <c r="E31" s="2507" t="s">
        <v>7264</v>
      </c>
      <c r="F31" s="4024" t="s">
        <v>7265</v>
      </c>
      <c r="G31" s="4009" t="s">
        <v>7266</v>
      </c>
      <c r="H31" s="4009"/>
      <c r="I31" s="4009"/>
    </row>
    <row r="32" spans="1:9" ht="17.100000000000001" customHeight="1">
      <c r="A32" s="4009"/>
      <c r="B32" s="1571"/>
      <c r="C32" s="2525"/>
      <c r="D32" s="2525"/>
      <c r="E32" s="2525"/>
      <c r="F32" s="4024"/>
      <c r="G32" s="2507" t="s">
        <v>284</v>
      </c>
      <c r="H32" s="2507" t="s">
        <v>7262</v>
      </c>
      <c r="I32" s="2507" t="s">
        <v>1255</v>
      </c>
    </row>
    <row r="33" spans="1:9" ht="17.100000000000001" customHeight="1">
      <c r="A33" s="4009"/>
      <c r="B33" s="1571"/>
      <c r="C33" s="2525"/>
      <c r="D33" s="2525"/>
      <c r="E33" s="2525"/>
      <c r="F33" s="4024"/>
      <c r="G33" s="2481"/>
      <c r="H33" s="2525"/>
      <c r="I33" s="2525"/>
    </row>
    <row r="34" spans="1:9" ht="17.100000000000001" customHeight="1">
      <c r="A34" s="4009"/>
      <c r="B34" s="1571"/>
      <c r="C34" s="2525"/>
      <c r="D34" s="2525"/>
      <c r="E34" s="2525"/>
      <c r="F34" s="2501"/>
      <c r="G34" s="2507" t="s">
        <v>702</v>
      </c>
      <c r="H34" s="2527"/>
      <c r="I34" s="2527"/>
    </row>
    <row r="35" spans="1:9" ht="17.100000000000001" customHeight="1">
      <c r="A35" s="4009" t="s">
        <v>7269</v>
      </c>
      <c r="B35" s="2507" t="s">
        <v>284</v>
      </c>
      <c r="C35" s="2507" t="s">
        <v>7262</v>
      </c>
      <c r="D35" s="2507" t="s">
        <v>7263</v>
      </c>
      <c r="E35" s="2507" t="s">
        <v>7264</v>
      </c>
      <c r="F35" s="4024" t="s">
        <v>7265</v>
      </c>
      <c r="G35" s="4009" t="s">
        <v>7266</v>
      </c>
      <c r="H35" s="4009"/>
      <c r="I35" s="4009"/>
    </row>
    <row r="36" spans="1:9" ht="17.100000000000001" customHeight="1">
      <c r="A36" s="4009"/>
      <c r="B36" s="1571"/>
      <c r="C36" s="2525"/>
      <c r="D36" s="2525"/>
      <c r="E36" s="2525"/>
      <c r="F36" s="4024"/>
      <c r="G36" s="2507" t="s">
        <v>284</v>
      </c>
      <c r="H36" s="2507" t="s">
        <v>7262</v>
      </c>
      <c r="I36" s="2507" t="s">
        <v>1255</v>
      </c>
    </row>
    <row r="37" spans="1:9" ht="17.100000000000001" customHeight="1">
      <c r="A37" s="4009"/>
      <c r="B37" s="1571"/>
      <c r="C37" s="2525"/>
      <c r="D37" s="2525"/>
      <c r="E37" s="2525"/>
      <c r="F37" s="4024"/>
      <c r="G37" s="2481"/>
      <c r="H37" s="2525"/>
      <c r="I37" s="2525"/>
    </row>
    <row r="38" spans="1:9" ht="17.100000000000001" customHeight="1">
      <c r="A38" s="4009"/>
      <c r="B38" s="1571"/>
      <c r="C38" s="2525"/>
      <c r="D38" s="2525"/>
      <c r="E38" s="2525"/>
      <c r="F38" s="2501"/>
      <c r="G38" s="2507" t="s">
        <v>702</v>
      </c>
      <c r="H38" s="2527"/>
      <c r="I38" s="2527"/>
    </row>
    <row r="39" spans="1:9" ht="17.100000000000001" customHeight="1">
      <c r="A39" s="4009" t="s">
        <v>7270</v>
      </c>
      <c r="B39" s="2507" t="s">
        <v>284</v>
      </c>
      <c r="C39" s="2507" t="s">
        <v>7262</v>
      </c>
      <c r="D39" s="2507" t="s">
        <v>7263</v>
      </c>
      <c r="E39" s="2507" t="s">
        <v>7264</v>
      </c>
      <c r="F39" s="4024" t="s">
        <v>7265</v>
      </c>
      <c r="G39" s="4009" t="s">
        <v>7266</v>
      </c>
      <c r="H39" s="4009"/>
      <c r="I39" s="4009"/>
    </row>
    <row r="40" spans="1:9" ht="17.100000000000001" customHeight="1">
      <c r="A40" s="4009"/>
      <c r="B40" s="1571"/>
      <c r="C40" s="2525"/>
      <c r="D40" s="2525"/>
      <c r="E40" s="2525"/>
      <c r="F40" s="4024"/>
      <c r="G40" s="2507" t="s">
        <v>284</v>
      </c>
      <c r="H40" s="2507" t="s">
        <v>7262</v>
      </c>
      <c r="I40" s="2507" t="s">
        <v>1255</v>
      </c>
    </row>
    <row r="41" spans="1:9" ht="17.100000000000001" customHeight="1">
      <c r="A41" s="4009"/>
      <c r="B41" s="1571"/>
      <c r="C41" s="2525"/>
      <c r="D41" s="2525"/>
      <c r="E41" s="2525"/>
      <c r="F41" s="4024"/>
      <c r="G41" s="2481"/>
      <c r="H41" s="2525"/>
      <c r="I41" s="2525"/>
    </row>
    <row r="42" spans="1:9" ht="17.100000000000001" customHeight="1">
      <c r="A42" s="4009"/>
      <c r="B42" s="1571"/>
      <c r="C42" s="2525"/>
      <c r="D42" s="2525"/>
      <c r="E42" s="2525"/>
      <c r="F42" s="2501"/>
      <c r="G42" s="2507" t="s">
        <v>702</v>
      </c>
      <c r="H42" s="2527"/>
      <c r="I42" s="2527"/>
    </row>
    <row r="43" spans="1:9" ht="17.100000000000001" customHeight="1">
      <c r="A43" s="4009" t="s">
        <v>7271</v>
      </c>
      <c r="B43" s="2507" t="s">
        <v>284</v>
      </c>
      <c r="C43" s="2507" t="s">
        <v>7262</v>
      </c>
      <c r="D43" s="2507" t="s">
        <v>7263</v>
      </c>
      <c r="E43" s="2507" t="s">
        <v>7264</v>
      </c>
      <c r="F43" s="4024" t="s">
        <v>7265</v>
      </c>
      <c r="G43" s="4009" t="s">
        <v>7266</v>
      </c>
      <c r="H43" s="4009"/>
      <c r="I43" s="4009"/>
    </row>
    <row r="44" spans="1:9" ht="17.100000000000001" customHeight="1">
      <c r="A44" s="4009"/>
      <c r="B44" s="1571"/>
      <c r="C44" s="2525"/>
      <c r="D44" s="2525"/>
      <c r="E44" s="2527"/>
      <c r="F44" s="4024"/>
      <c r="G44" s="2506" t="s">
        <v>284</v>
      </c>
      <c r="H44" s="2507" t="s">
        <v>7262</v>
      </c>
      <c r="I44" s="2507" t="s">
        <v>1255</v>
      </c>
    </row>
    <row r="45" spans="1:9" ht="17.100000000000001" customHeight="1">
      <c r="A45" s="4009"/>
      <c r="B45" s="1571"/>
      <c r="C45" s="2525"/>
      <c r="D45" s="2525"/>
      <c r="E45" s="2525"/>
      <c r="F45" s="4024"/>
      <c r="G45" s="2481"/>
      <c r="H45" s="2525"/>
      <c r="I45" s="2525"/>
    </row>
    <row r="46" spans="1:9" ht="17.100000000000001" customHeight="1">
      <c r="A46" s="4009"/>
      <c r="B46" s="1571"/>
      <c r="C46" s="2525"/>
      <c r="D46" s="2525"/>
      <c r="E46" s="2525"/>
      <c r="F46" s="2501"/>
      <c r="G46" s="2506" t="s">
        <v>702</v>
      </c>
      <c r="H46" s="2525"/>
      <c r="I46" s="2525"/>
    </row>
    <row r="47" spans="1:9" ht="17.100000000000001" customHeight="1">
      <c r="A47" s="4009" t="s">
        <v>7272</v>
      </c>
      <c r="B47" s="2507" t="s">
        <v>284</v>
      </c>
      <c r="C47" s="2507" t="s">
        <v>7262</v>
      </c>
      <c r="D47" s="2507" t="s">
        <v>7263</v>
      </c>
      <c r="E47" s="2507" t="s">
        <v>7264</v>
      </c>
      <c r="F47" s="4024" t="s">
        <v>7265</v>
      </c>
      <c r="G47" s="4009" t="s">
        <v>7266</v>
      </c>
      <c r="H47" s="4009"/>
      <c r="I47" s="4009"/>
    </row>
    <row r="48" spans="1:9" ht="17.100000000000001" customHeight="1">
      <c r="A48" s="4009"/>
      <c r="B48" s="1571"/>
      <c r="C48" s="2525"/>
      <c r="D48" s="2525"/>
      <c r="E48" s="2525"/>
      <c r="F48" s="4024"/>
      <c r="G48" s="2507" t="s">
        <v>284</v>
      </c>
      <c r="H48" s="2507" t="s">
        <v>7262</v>
      </c>
      <c r="I48" s="2507" t="s">
        <v>1255</v>
      </c>
    </row>
    <row r="49" spans="1:9" ht="17.100000000000001" customHeight="1">
      <c r="A49" s="4009"/>
      <c r="B49" s="1571"/>
      <c r="C49" s="2525"/>
      <c r="D49" s="2525"/>
      <c r="E49" s="2525"/>
      <c r="F49" s="4024"/>
      <c r="G49" s="2481"/>
      <c r="H49" s="2525"/>
      <c r="I49" s="2525"/>
    </row>
    <row r="50" spans="1:9" ht="17.100000000000001" customHeight="1">
      <c r="A50" s="4009"/>
      <c r="B50" s="1571"/>
      <c r="C50" s="2525"/>
      <c r="D50" s="2525"/>
      <c r="E50" s="2525"/>
      <c r="F50" s="2501"/>
      <c r="G50" s="2507" t="s">
        <v>702</v>
      </c>
      <c r="H50" s="2527"/>
      <c r="I50" s="2525"/>
    </row>
    <row r="51" spans="1:9" ht="17.100000000000001" customHeight="1">
      <c r="A51" s="4009" t="s">
        <v>7273</v>
      </c>
      <c r="B51" s="4022" t="s">
        <v>284</v>
      </c>
      <c r="C51" s="4009" t="s">
        <v>7262</v>
      </c>
      <c r="D51" s="4009" t="s">
        <v>7263</v>
      </c>
      <c r="E51" s="4009" t="s">
        <v>7264</v>
      </c>
      <c r="F51" s="4024" t="s">
        <v>7265</v>
      </c>
      <c r="G51" s="4009" t="s">
        <v>7266</v>
      </c>
      <c r="H51" s="4009"/>
      <c r="I51" s="4009"/>
    </row>
    <row r="52" spans="1:9" ht="40.200000000000003" customHeight="1">
      <c r="A52" s="4009"/>
      <c r="B52" s="4022"/>
      <c r="C52" s="4009"/>
      <c r="D52" s="4009"/>
      <c r="E52" s="4009"/>
      <c r="F52" s="4024"/>
      <c r="G52" s="2507" t="s">
        <v>284</v>
      </c>
      <c r="H52" s="2507" t="s">
        <v>7262</v>
      </c>
      <c r="I52" s="2507" t="s">
        <v>1255</v>
      </c>
    </row>
    <row r="53" spans="1:9" ht="22.95" customHeight="1">
      <c r="A53" s="4009"/>
      <c r="B53" s="2513" t="s">
        <v>7274</v>
      </c>
      <c r="C53" s="2527"/>
      <c r="D53" s="2527"/>
      <c r="E53" s="2527"/>
      <c r="F53" s="4017"/>
      <c r="G53" s="4009" t="s">
        <v>7275</v>
      </c>
      <c r="H53" s="4017"/>
      <c r="I53" s="4017"/>
    </row>
    <row r="54" spans="1:9" ht="22.95" customHeight="1">
      <c r="A54" s="4009"/>
      <c r="B54" s="2513" t="s">
        <v>7276</v>
      </c>
      <c r="C54" s="2527"/>
      <c r="D54" s="2527"/>
      <c r="E54" s="2527"/>
      <c r="F54" s="4017"/>
      <c r="G54" s="4009"/>
      <c r="H54" s="4017"/>
      <c r="I54" s="4017"/>
    </row>
    <row r="55" spans="1:9" ht="22.95" customHeight="1">
      <c r="A55" s="4009"/>
      <c r="B55" s="2513" t="s">
        <v>7277</v>
      </c>
      <c r="C55" s="2527"/>
      <c r="D55" s="2527"/>
      <c r="E55" s="2527"/>
      <c r="F55" s="4017"/>
      <c r="G55" s="4009"/>
      <c r="H55" s="4017"/>
      <c r="I55" s="4017"/>
    </row>
    <row r="56" spans="1:9" ht="22.95" customHeight="1">
      <c r="A56" s="4009"/>
      <c r="B56" s="2481"/>
      <c r="C56" s="2525"/>
      <c r="D56" s="2525"/>
      <c r="E56" s="2525"/>
      <c r="F56" s="4017"/>
      <c r="G56" s="4009"/>
      <c r="H56" s="4017"/>
      <c r="I56" s="4017"/>
    </row>
    <row r="57" spans="1:9" ht="22.95" customHeight="1">
      <c r="A57" s="4009"/>
      <c r="B57" s="2513" t="s">
        <v>7278</v>
      </c>
      <c r="C57" s="2527"/>
      <c r="D57" s="2527"/>
      <c r="E57" s="2527"/>
      <c r="F57" s="4017"/>
      <c r="G57" s="4009"/>
      <c r="H57" s="4017"/>
      <c r="I57" s="4017"/>
    </row>
    <row r="58" spans="1:9" ht="22.95" customHeight="1">
      <c r="A58" s="4009"/>
      <c r="B58" s="2513" t="s">
        <v>7279</v>
      </c>
      <c r="C58" s="2527"/>
      <c r="D58" s="2527"/>
      <c r="E58" s="2527"/>
      <c r="F58" s="4017"/>
      <c r="G58" s="4009"/>
      <c r="H58" s="4017"/>
      <c r="I58" s="4017"/>
    </row>
    <row r="59" spans="1:9" s="2466" customFormat="1" ht="30" customHeight="1">
      <c r="A59" s="2508" t="s">
        <v>7187</v>
      </c>
      <c r="B59" s="3975">
        <f>基本情况!B12</f>
        <v>0</v>
      </c>
      <c r="C59" s="3976"/>
      <c r="D59" s="3977"/>
      <c r="E59" s="2508" t="s">
        <v>7188</v>
      </c>
      <c r="F59" s="4026" t="str">
        <f>基本情况!B21</f>
        <v>2017年3月16日</v>
      </c>
      <c r="G59" s="4026"/>
      <c r="H59" s="4026"/>
      <c r="I59" s="4026"/>
    </row>
    <row r="62" spans="1:9">
      <c r="C62" s="2482"/>
    </row>
  </sheetData>
  <mergeCells count="95">
    <mergeCell ref="B59:D59"/>
    <mergeCell ref="F59:I59"/>
    <mergeCell ref="A51:A58"/>
    <mergeCell ref="B51:B52"/>
    <mergeCell ref="C51:C52"/>
    <mergeCell ref="D51:D52"/>
    <mergeCell ref="E51:E52"/>
    <mergeCell ref="F51:F52"/>
    <mergeCell ref="G51:I51"/>
    <mergeCell ref="F53:F58"/>
    <mergeCell ref="G53:G58"/>
    <mergeCell ref="H53:H58"/>
    <mergeCell ref="I53:I58"/>
    <mergeCell ref="A43:A46"/>
    <mergeCell ref="F43:F45"/>
    <mergeCell ref="G43:I43"/>
    <mergeCell ref="A47:A50"/>
    <mergeCell ref="F47:F49"/>
    <mergeCell ref="G47:I47"/>
    <mergeCell ref="A35:A38"/>
    <mergeCell ref="F35:F37"/>
    <mergeCell ref="G35:I35"/>
    <mergeCell ref="A39:A42"/>
    <mergeCell ref="F39:F41"/>
    <mergeCell ref="G39:I39"/>
    <mergeCell ref="A27:A30"/>
    <mergeCell ref="F27:F29"/>
    <mergeCell ref="G27:I27"/>
    <mergeCell ref="A31:A34"/>
    <mergeCell ref="F31:F33"/>
    <mergeCell ref="G31:I31"/>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17:B17"/>
    <mergeCell ref="D17:E18"/>
    <mergeCell ref="F17:F18"/>
    <mergeCell ref="I17:I18"/>
    <mergeCell ref="A18:B18"/>
    <mergeCell ref="G17:H18"/>
    <mergeCell ref="A15:B15"/>
    <mergeCell ref="D15:E16"/>
    <mergeCell ref="F15:F16"/>
    <mergeCell ref="G15:H16"/>
    <mergeCell ref="I15:I16"/>
    <mergeCell ref="A16:B16"/>
    <mergeCell ref="A13:B13"/>
    <mergeCell ref="D13:E14"/>
    <mergeCell ref="F13:F14"/>
    <mergeCell ref="G13:H14"/>
    <mergeCell ref="I13:I14"/>
    <mergeCell ref="A14:B14"/>
    <mergeCell ref="A11:B11"/>
    <mergeCell ref="D11:E12"/>
    <mergeCell ref="F11:F12"/>
    <mergeCell ref="G11:H12"/>
    <mergeCell ref="I11:I12"/>
    <mergeCell ref="A12:B12"/>
    <mergeCell ref="A9:B9"/>
    <mergeCell ref="D9:E10"/>
    <mergeCell ref="F9:F10"/>
    <mergeCell ref="G9:H10"/>
    <mergeCell ref="I9:I10"/>
    <mergeCell ref="A10:B10"/>
    <mergeCell ref="A7:B7"/>
    <mergeCell ref="D7:E8"/>
    <mergeCell ref="F7:F8"/>
    <mergeCell ref="G7:H8"/>
    <mergeCell ref="I7:I8"/>
    <mergeCell ref="A8:B8"/>
    <mergeCell ref="A5:B5"/>
    <mergeCell ref="D5:E6"/>
    <mergeCell ref="F5:F6"/>
    <mergeCell ref="G5:H6"/>
    <mergeCell ref="I5:I6"/>
    <mergeCell ref="A6:B6"/>
    <mergeCell ref="A4:B4"/>
    <mergeCell ref="D4:E4"/>
    <mergeCell ref="G4:H4"/>
    <mergeCell ref="A1:I1"/>
    <mergeCell ref="A2:I2"/>
    <mergeCell ref="A3:B3"/>
    <mergeCell ref="D3:E3"/>
    <mergeCell ref="G3:H3"/>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09765625" defaultRowHeight="12"/>
  <cols>
    <col min="1" max="1" width="17.59765625" style="2472" customWidth="1"/>
    <col min="2" max="2" width="15.3984375" style="2472" customWidth="1"/>
    <col min="3" max="5" width="14.09765625" style="2472" customWidth="1"/>
    <col min="6" max="6" width="15.8984375" style="2472" customWidth="1"/>
    <col min="7" max="7" width="18.69921875" style="2472" customWidth="1"/>
    <col min="8" max="9" width="14.09765625" style="2472" customWidth="1"/>
    <col min="10" max="255" width="15.8984375" style="2472" customWidth="1"/>
    <col min="256" max="256" width="8.09765625" style="2472"/>
    <col min="257" max="257" width="21.09765625" style="2472" customWidth="1"/>
    <col min="258" max="258" width="15.3984375" style="2472" customWidth="1"/>
    <col min="259" max="261" width="14.09765625" style="2472" customWidth="1"/>
    <col min="262" max="262" width="15.8984375" style="2472" customWidth="1"/>
    <col min="263" max="265" width="14.09765625" style="2472" customWidth="1"/>
    <col min="266" max="511" width="15.8984375" style="2472" customWidth="1"/>
    <col min="512" max="512" width="8.09765625" style="2472"/>
    <col min="513" max="513" width="21.09765625" style="2472" customWidth="1"/>
    <col min="514" max="514" width="15.3984375" style="2472" customWidth="1"/>
    <col min="515" max="517" width="14.09765625" style="2472" customWidth="1"/>
    <col min="518" max="518" width="15.8984375" style="2472" customWidth="1"/>
    <col min="519" max="521" width="14.09765625" style="2472" customWidth="1"/>
    <col min="522" max="767" width="15.8984375" style="2472" customWidth="1"/>
    <col min="768" max="768" width="8.09765625" style="2472"/>
    <col min="769" max="769" width="21.09765625" style="2472" customWidth="1"/>
    <col min="770" max="770" width="15.3984375" style="2472" customWidth="1"/>
    <col min="771" max="773" width="14.09765625" style="2472" customWidth="1"/>
    <col min="774" max="774" width="15.8984375" style="2472" customWidth="1"/>
    <col min="775" max="777" width="14.09765625" style="2472" customWidth="1"/>
    <col min="778" max="1023" width="15.8984375" style="2472" customWidth="1"/>
    <col min="1024" max="1024" width="8.09765625" style="2472"/>
    <col min="1025" max="1025" width="21.09765625" style="2472" customWidth="1"/>
    <col min="1026" max="1026" width="15.3984375" style="2472" customWidth="1"/>
    <col min="1027" max="1029" width="14.09765625" style="2472" customWidth="1"/>
    <col min="1030" max="1030" width="15.8984375" style="2472" customWidth="1"/>
    <col min="1031" max="1033" width="14.09765625" style="2472" customWidth="1"/>
    <col min="1034" max="1279" width="15.8984375" style="2472" customWidth="1"/>
    <col min="1280" max="1280" width="8.09765625" style="2472"/>
    <col min="1281" max="1281" width="21.09765625" style="2472" customWidth="1"/>
    <col min="1282" max="1282" width="15.3984375" style="2472" customWidth="1"/>
    <col min="1283" max="1285" width="14.09765625" style="2472" customWidth="1"/>
    <col min="1286" max="1286" width="15.8984375" style="2472" customWidth="1"/>
    <col min="1287" max="1289" width="14.09765625" style="2472" customWidth="1"/>
    <col min="1290" max="1535" width="15.8984375" style="2472" customWidth="1"/>
    <col min="1536" max="1536" width="8.09765625" style="2472"/>
    <col min="1537" max="1537" width="21.09765625" style="2472" customWidth="1"/>
    <col min="1538" max="1538" width="15.3984375" style="2472" customWidth="1"/>
    <col min="1539" max="1541" width="14.09765625" style="2472" customWidth="1"/>
    <col min="1542" max="1542" width="15.8984375" style="2472" customWidth="1"/>
    <col min="1543" max="1545" width="14.09765625" style="2472" customWidth="1"/>
    <col min="1546" max="1791" width="15.8984375" style="2472" customWidth="1"/>
    <col min="1792" max="1792" width="8.09765625" style="2472"/>
    <col min="1793" max="1793" width="21.09765625" style="2472" customWidth="1"/>
    <col min="1794" max="1794" width="15.3984375" style="2472" customWidth="1"/>
    <col min="1795" max="1797" width="14.09765625" style="2472" customWidth="1"/>
    <col min="1798" max="1798" width="15.8984375" style="2472" customWidth="1"/>
    <col min="1799" max="1801" width="14.09765625" style="2472" customWidth="1"/>
    <col min="1802" max="2047" width="15.8984375" style="2472" customWidth="1"/>
    <col min="2048" max="2048" width="8.09765625" style="2472"/>
    <col min="2049" max="2049" width="21.09765625" style="2472" customWidth="1"/>
    <col min="2050" max="2050" width="15.3984375" style="2472" customWidth="1"/>
    <col min="2051" max="2053" width="14.09765625" style="2472" customWidth="1"/>
    <col min="2054" max="2054" width="15.8984375" style="2472" customWidth="1"/>
    <col min="2055" max="2057" width="14.09765625" style="2472" customWidth="1"/>
    <col min="2058" max="2303" width="15.8984375" style="2472" customWidth="1"/>
    <col min="2304" max="2304" width="8.09765625" style="2472"/>
    <col min="2305" max="2305" width="21.09765625" style="2472" customWidth="1"/>
    <col min="2306" max="2306" width="15.3984375" style="2472" customWidth="1"/>
    <col min="2307" max="2309" width="14.09765625" style="2472" customWidth="1"/>
    <col min="2310" max="2310" width="15.8984375" style="2472" customWidth="1"/>
    <col min="2311" max="2313" width="14.09765625" style="2472" customWidth="1"/>
    <col min="2314" max="2559" width="15.8984375" style="2472" customWidth="1"/>
    <col min="2560" max="2560" width="8.09765625" style="2472"/>
    <col min="2561" max="2561" width="21.09765625" style="2472" customWidth="1"/>
    <col min="2562" max="2562" width="15.3984375" style="2472" customWidth="1"/>
    <col min="2563" max="2565" width="14.09765625" style="2472" customWidth="1"/>
    <col min="2566" max="2566" width="15.8984375" style="2472" customWidth="1"/>
    <col min="2567" max="2569" width="14.09765625" style="2472" customWidth="1"/>
    <col min="2570" max="2815" width="15.8984375" style="2472" customWidth="1"/>
    <col min="2816" max="2816" width="8.09765625" style="2472"/>
    <col min="2817" max="2817" width="21.09765625" style="2472" customWidth="1"/>
    <col min="2818" max="2818" width="15.3984375" style="2472" customWidth="1"/>
    <col min="2819" max="2821" width="14.09765625" style="2472" customWidth="1"/>
    <col min="2822" max="2822" width="15.8984375" style="2472" customWidth="1"/>
    <col min="2823" max="2825" width="14.09765625" style="2472" customWidth="1"/>
    <col min="2826" max="3071" width="15.8984375" style="2472" customWidth="1"/>
    <col min="3072" max="3072" width="8.09765625" style="2472"/>
    <col min="3073" max="3073" width="21.09765625" style="2472" customWidth="1"/>
    <col min="3074" max="3074" width="15.3984375" style="2472" customWidth="1"/>
    <col min="3075" max="3077" width="14.09765625" style="2472" customWidth="1"/>
    <col min="3078" max="3078" width="15.8984375" style="2472" customWidth="1"/>
    <col min="3079" max="3081" width="14.09765625" style="2472" customWidth="1"/>
    <col min="3082" max="3327" width="15.8984375" style="2472" customWidth="1"/>
    <col min="3328" max="3328" width="8.09765625" style="2472"/>
    <col min="3329" max="3329" width="21.09765625" style="2472" customWidth="1"/>
    <col min="3330" max="3330" width="15.3984375" style="2472" customWidth="1"/>
    <col min="3331" max="3333" width="14.09765625" style="2472" customWidth="1"/>
    <col min="3334" max="3334" width="15.8984375" style="2472" customWidth="1"/>
    <col min="3335" max="3337" width="14.09765625" style="2472" customWidth="1"/>
    <col min="3338" max="3583" width="15.8984375" style="2472" customWidth="1"/>
    <col min="3584" max="3584" width="8.09765625" style="2472"/>
    <col min="3585" max="3585" width="21.09765625" style="2472" customWidth="1"/>
    <col min="3586" max="3586" width="15.3984375" style="2472" customWidth="1"/>
    <col min="3587" max="3589" width="14.09765625" style="2472" customWidth="1"/>
    <col min="3590" max="3590" width="15.8984375" style="2472" customWidth="1"/>
    <col min="3591" max="3593" width="14.09765625" style="2472" customWidth="1"/>
    <col min="3594" max="3839" width="15.8984375" style="2472" customWidth="1"/>
    <col min="3840" max="3840" width="8.09765625" style="2472"/>
    <col min="3841" max="3841" width="21.09765625" style="2472" customWidth="1"/>
    <col min="3842" max="3842" width="15.3984375" style="2472" customWidth="1"/>
    <col min="3843" max="3845" width="14.09765625" style="2472" customWidth="1"/>
    <col min="3846" max="3846" width="15.8984375" style="2472" customWidth="1"/>
    <col min="3847" max="3849" width="14.09765625" style="2472" customWidth="1"/>
    <col min="3850" max="4095" width="15.8984375" style="2472" customWidth="1"/>
    <col min="4096" max="4096" width="8.09765625" style="2472"/>
    <col min="4097" max="4097" width="21.09765625" style="2472" customWidth="1"/>
    <col min="4098" max="4098" width="15.3984375" style="2472" customWidth="1"/>
    <col min="4099" max="4101" width="14.09765625" style="2472" customWidth="1"/>
    <col min="4102" max="4102" width="15.8984375" style="2472" customWidth="1"/>
    <col min="4103" max="4105" width="14.09765625" style="2472" customWidth="1"/>
    <col min="4106" max="4351" width="15.8984375" style="2472" customWidth="1"/>
    <col min="4352" max="4352" width="8.09765625" style="2472"/>
    <col min="4353" max="4353" width="21.09765625" style="2472" customWidth="1"/>
    <col min="4354" max="4354" width="15.3984375" style="2472" customWidth="1"/>
    <col min="4355" max="4357" width="14.09765625" style="2472" customWidth="1"/>
    <col min="4358" max="4358" width="15.8984375" style="2472" customWidth="1"/>
    <col min="4359" max="4361" width="14.09765625" style="2472" customWidth="1"/>
    <col min="4362" max="4607" width="15.8984375" style="2472" customWidth="1"/>
    <col min="4608" max="4608" width="8.09765625" style="2472"/>
    <col min="4609" max="4609" width="21.09765625" style="2472" customWidth="1"/>
    <col min="4610" max="4610" width="15.3984375" style="2472" customWidth="1"/>
    <col min="4611" max="4613" width="14.09765625" style="2472" customWidth="1"/>
    <col min="4614" max="4614" width="15.8984375" style="2472" customWidth="1"/>
    <col min="4615" max="4617" width="14.09765625" style="2472" customWidth="1"/>
    <col min="4618" max="4863" width="15.8984375" style="2472" customWidth="1"/>
    <col min="4864" max="4864" width="8.09765625" style="2472"/>
    <col min="4865" max="4865" width="21.09765625" style="2472" customWidth="1"/>
    <col min="4866" max="4866" width="15.3984375" style="2472" customWidth="1"/>
    <col min="4867" max="4869" width="14.09765625" style="2472" customWidth="1"/>
    <col min="4870" max="4870" width="15.8984375" style="2472" customWidth="1"/>
    <col min="4871" max="4873" width="14.09765625" style="2472" customWidth="1"/>
    <col min="4874" max="5119" width="15.8984375" style="2472" customWidth="1"/>
    <col min="5120" max="5120" width="8.09765625" style="2472"/>
    <col min="5121" max="5121" width="21.09765625" style="2472" customWidth="1"/>
    <col min="5122" max="5122" width="15.3984375" style="2472" customWidth="1"/>
    <col min="5123" max="5125" width="14.09765625" style="2472" customWidth="1"/>
    <col min="5126" max="5126" width="15.8984375" style="2472" customWidth="1"/>
    <col min="5127" max="5129" width="14.09765625" style="2472" customWidth="1"/>
    <col min="5130" max="5375" width="15.8984375" style="2472" customWidth="1"/>
    <col min="5376" max="5376" width="8.09765625" style="2472"/>
    <col min="5377" max="5377" width="21.09765625" style="2472" customWidth="1"/>
    <col min="5378" max="5378" width="15.3984375" style="2472" customWidth="1"/>
    <col min="5379" max="5381" width="14.09765625" style="2472" customWidth="1"/>
    <col min="5382" max="5382" width="15.8984375" style="2472" customWidth="1"/>
    <col min="5383" max="5385" width="14.09765625" style="2472" customWidth="1"/>
    <col min="5386" max="5631" width="15.8984375" style="2472" customWidth="1"/>
    <col min="5632" max="5632" width="8.09765625" style="2472"/>
    <col min="5633" max="5633" width="21.09765625" style="2472" customWidth="1"/>
    <col min="5634" max="5634" width="15.3984375" style="2472" customWidth="1"/>
    <col min="5635" max="5637" width="14.09765625" style="2472" customWidth="1"/>
    <col min="5638" max="5638" width="15.8984375" style="2472" customWidth="1"/>
    <col min="5639" max="5641" width="14.09765625" style="2472" customWidth="1"/>
    <col min="5642" max="5887" width="15.8984375" style="2472" customWidth="1"/>
    <col min="5888" max="5888" width="8.09765625" style="2472"/>
    <col min="5889" max="5889" width="21.09765625" style="2472" customWidth="1"/>
    <col min="5890" max="5890" width="15.3984375" style="2472" customWidth="1"/>
    <col min="5891" max="5893" width="14.09765625" style="2472" customWidth="1"/>
    <col min="5894" max="5894" width="15.8984375" style="2472" customWidth="1"/>
    <col min="5895" max="5897" width="14.09765625" style="2472" customWidth="1"/>
    <col min="5898" max="6143" width="15.8984375" style="2472" customWidth="1"/>
    <col min="6144" max="6144" width="8.09765625" style="2472"/>
    <col min="6145" max="6145" width="21.09765625" style="2472" customWidth="1"/>
    <col min="6146" max="6146" width="15.3984375" style="2472" customWidth="1"/>
    <col min="6147" max="6149" width="14.09765625" style="2472" customWidth="1"/>
    <col min="6150" max="6150" width="15.8984375" style="2472" customWidth="1"/>
    <col min="6151" max="6153" width="14.09765625" style="2472" customWidth="1"/>
    <col min="6154" max="6399" width="15.8984375" style="2472" customWidth="1"/>
    <col min="6400" max="6400" width="8.09765625" style="2472"/>
    <col min="6401" max="6401" width="21.09765625" style="2472" customWidth="1"/>
    <col min="6402" max="6402" width="15.3984375" style="2472" customWidth="1"/>
    <col min="6403" max="6405" width="14.09765625" style="2472" customWidth="1"/>
    <col min="6406" max="6406" width="15.8984375" style="2472" customWidth="1"/>
    <col min="6407" max="6409" width="14.09765625" style="2472" customWidth="1"/>
    <col min="6410" max="6655" width="15.8984375" style="2472" customWidth="1"/>
    <col min="6656" max="6656" width="8.09765625" style="2472"/>
    <col min="6657" max="6657" width="21.09765625" style="2472" customWidth="1"/>
    <col min="6658" max="6658" width="15.3984375" style="2472" customWidth="1"/>
    <col min="6659" max="6661" width="14.09765625" style="2472" customWidth="1"/>
    <col min="6662" max="6662" width="15.8984375" style="2472" customWidth="1"/>
    <col min="6663" max="6665" width="14.09765625" style="2472" customWidth="1"/>
    <col min="6666" max="6911" width="15.8984375" style="2472" customWidth="1"/>
    <col min="6912" max="6912" width="8.09765625" style="2472"/>
    <col min="6913" max="6913" width="21.09765625" style="2472" customWidth="1"/>
    <col min="6914" max="6914" width="15.3984375" style="2472" customWidth="1"/>
    <col min="6915" max="6917" width="14.09765625" style="2472" customWidth="1"/>
    <col min="6918" max="6918" width="15.8984375" style="2472" customWidth="1"/>
    <col min="6919" max="6921" width="14.09765625" style="2472" customWidth="1"/>
    <col min="6922" max="7167" width="15.8984375" style="2472" customWidth="1"/>
    <col min="7168" max="7168" width="8.09765625" style="2472"/>
    <col min="7169" max="7169" width="21.09765625" style="2472" customWidth="1"/>
    <col min="7170" max="7170" width="15.3984375" style="2472" customWidth="1"/>
    <col min="7171" max="7173" width="14.09765625" style="2472" customWidth="1"/>
    <col min="7174" max="7174" width="15.8984375" style="2472" customWidth="1"/>
    <col min="7175" max="7177" width="14.09765625" style="2472" customWidth="1"/>
    <col min="7178" max="7423" width="15.8984375" style="2472" customWidth="1"/>
    <col min="7424" max="7424" width="8.09765625" style="2472"/>
    <col min="7425" max="7425" width="21.09765625" style="2472" customWidth="1"/>
    <col min="7426" max="7426" width="15.3984375" style="2472" customWidth="1"/>
    <col min="7427" max="7429" width="14.09765625" style="2472" customWidth="1"/>
    <col min="7430" max="7430" width="15.8984375" style="2472" customWidth="1"/>
    <col min="7431" max="7433" width="14.09765625" style="2472" customWidth="1"/>
    <col min="7434" max="7679" width="15.8984375" style="2472" customWidth="1"/>
    <col min="7680" max="7680" width="8.09765625" style="2472"/>
    <col min="7681" max="7681" width="21.09765625" style="2472" customWidth="1"/>
    <col min="7682" max="7682" width="15.3984375" style="2472" customWidth="1"/>
    <col min="7683" max="7685" width="14.09765625" style="2472" customWidth="1"/>
    <col min="7686" max="7686" width="15.8984375" style="2472" customWidth="1"/>
    <col min="7687" max="7689" width="14.09765625" style="2472" customWidth="1"/>
    <col min="7690" max="7935" width="15.8984375" style="2472" customWidth="1"/>
    <col min="7936" max="7936" width="8.09765625" style="2472"/>
    <col min="7937" max="7937" width="21.09765625" style="2472" customWidth="1"/>
    <col min="7938" max="7938" width="15.3984375" style="2472" customWidth="1"/>
    <col min="7939" max="7941" width="14.09765625" style="2472" customWidth="1"/>
    <col min="7942" max="7942" width="15.8984375" style="2472" customWidth="1"/>
    <col min="7943" max="7945" width="14.09765625" style="2472" customWidth="1"/>
    <col min="7946" max="8191" width="15.8984375" style="2472" customWidth="1"/>
    <col min="8192" max="8192" width="8.09765625" style="2472"/>
    <col min="8193" max="8193" width="21.09765625" style="2472" customWidth="1"/>
    <col min="8194" max="8194" width="15.3984375" style="2472" customWidth="1"/>
    <col min="8195" max="8197" width="14.09765625" style="2472" customWidth="1"/>
    <col min="8198" max="8198" width="15.8984375" style="2472" customWidth="1"/>
    <col min="8199" max="8201" width="14.09765625" style="2472" customWidth="1"/>
    <col min="8202" max="8447" width="15.8984375" style="2472" customWidth="1"/>
    <col min="8448" max="8448" width="8.09765625" style="2472"/>
    <col min="8449" max="8449" width="21.09765625" style="2472" customWidth="1"/>
    <col min="8450" max="8450" width="15.3984375" style="2472" customWidth="1"/>
    <col min="8451" max="8453" width="14.09765625" style="2472" customWidth="1"/>
    <col min="8454" max="8454" width="15.8984375" style="2472" customWidth="1"/>
    <col min="8455" max="8457" width="14.09765625" style="2472" customWidth="1"/>
    <col min="8458" max="8703" width="15.8984375" style="2472" customWidth="1"/>
    <col min="8704" max="8704" width="8.09765625" style="2472"/>
    <col min="8705" max="8705" width="21.09765625" style="2472" customWidth="1"/>
    <col min="8706" max="8706" width="15.3984375" style="2472" customWidth="1"/>
    <col min="8707" max="8709" width="14.09765625" style="2472" customWidth="1"/>
    <col min="8710" max="8710" width="15.8984375" style="2472" customWidth="1"/>
    <col min="8711" max="8713" width="14.09765625" style="2472" customWidth="1"/>
    <col min="8714" max="8959" width="15.8984375" style="2472" customWidth="1"/>
    <col min="8960" max="8960" width="8.09765625" style="2472"/>
    <col min="8961" max="8961" width="21.09765625" style="2472" customWidth="1"/>
    <col min="8962" max="8962" width="15.3984375" style="2472" customWidth="1"/>
    <col min="8963" max="8965" width="14.09765625" style="2472" customWidth="1"/>
    <col min="8966" max="8966" width="15.8984375" style="2472" customWidth="1"/>
    <col min="8967" max="8969" width="14.09765625" style="2472" customWidth="1"/>
    <col min="8970" max="9215" width="15.8984375" style="2472" customWidth="1"/>
    <col min="9216" max="9216" width="8.09765625" style="2472"/>
    <col min="9217" max="9217" width="21.09765625" style="2472" customWidth="1"/>
    <col min="9218" max="9218" width="15.3984375" style="2472" customWidth="1"/>
    <col min="9219" max="9221" width="14.09765625" style="2472" customWidth="1"/>
    <col min="9222" max="9222" width="15.8984375" style="2472" customWidth="1"/>
    <col min="9223" max="9225" width="14.09765625" style="2472" customWidth="1"/>
    <col min="9226" max="9471" width="15.8984375" style="2472" customWidth="1"/>
    <col min="9472" max="9472" width="8.09765625" style="2472"/>
    <col min="9473" max="9473" width="21.09765625" style="2472" customWidth="1"/>
    <col min="9474" max="9474" width="15.3984375" style="2472" customWidth="1"/>
    <col min="9475" max="9477" width="14.09765625" style="2472" customWidth="1"/>
    <col min="9478" max="9478" width="15.8984375" style="2472" customWidth="1"/>
    <col min="9479" max="9481" width="14.09765625" style="2472" customWidth="1"/>
    <col min="9482" max="9727" width="15.8984375" style="2472" customWidth="1"/>
    <col min="9728" max="9728" width="8.09765625" style="2472"/>
    <col min="9729" max="9729" width="21.09765625" style="2472" customWidth="1"/>
    <col min="9730" max="9730" width="15.3984375" style="2472" customWidth="1"/>
    <col min="9731" max="9733" width="14.09765625" style="2472" customWidth="1"/>
    <col min="9734" max="9734" width="15.8984375" style="2472" customWidth="1"/>
    <col min="9735" max="9737" width="14.09765625" style="2472" customWidth="1"/>
    <col min="9738" max="9983" width="15.8984375" style="2472" customWidth="1"/>
    <col min="9984" max="9984" width="8.09765625" style="2472"/>
    <col min="9985" max="9985" width="21.09765625" style="2472" customWidth="1"/>
    <col min="9986" max="9986" width="15.3984375" style="2472" customWidth="1"/>
    <col min="9987" max="9989" width="14.09765625" style="2472" customWidth="1"/>
    <col min="9990" max="9990" width="15.8984375" style="2472" customWidth="1"/>
    <col min="9991" max="9993" width="14.09765625" style="2472" customWidth="1"/>
    <col min="9994" max="10239" width="15.8984375" style="2472" customWidth="1"/>
    <col min="10240" max="10240" width="8.09765625" style="2472"/>
    <col min="10241" max="10241" width="21.09765625" style="2472" customWidth="1"/>
    <col min="10242" max="10242" width="15.3984375" style="2472" customWidth="1"/>
    <col min="10243" max="10245" width="14.09765625" style="2472" customWidth="1"/>
    <col min="10246" max="10246" width="15.8984375" style="2472" customWidth="1"/>
    <col min="10247" max="10249" width="14.09765625" style="2472" customWidth="1"/>
    <col min="10250" max="10495" width="15.8984375" style="2472" customWidth="1"/>
    <col min="10496" max="10496" width="8.09765625" style="2472"/>
    <col min="10497" max="10497" width="21.09765625" style="2472" customWidth="1"/>
    <col min="10498" max="10498" width="15.3984375" style="2472" customWidth="1"/>
    <col min="10499" max="10501" width="14.09765625" style="2472" customWidth="1"/>
    <col min="10502" max="10502" width="15.8984375" style="2472" customWidth="1"/>
    <col min="10503" max="10505" width="14.09765625" style="2472" customWidth="1"/>
    <col min="10506" max="10751" width="15.8984375" style="2472" customWidth="1"/>
    <col min="10752" max="10752" width="8.09765625" style="2472"/>
    <col min="10753" max="10753" width="21.09765625" style="2472" customWidth="1"/>
    <col min="10754" max="10754" width="15.3984375" style="2472" customWidth="1"/>
    <col min="10755" max="10757" width="14.09765625" style="2472" customWidth="1"/>
    <col min="10758" max="10758" width="15.8984375" style="2472" customWidth="1"/>
    <col min="10759" max="10761" width="14.09765625" style="2472" customWidth="1"/>
    <col min="10762" max="11007" width="15.8984375" style="2472" customWidth="1"/>
    <col min="11008" max="11008" width="8.09765625" style="2472"/>
    <col min="11009" max="11009" width="21.09765625" style="2472" customWidth="1"/>
    <col min="11010" max="11010" width="15.3984375" style="2472" customWidth="1"/>
    <col min="11011" max="11013" width="14.09765625" style="2472" customWidth="1"/>
    <col min="11014" max="11014" width="15.8984375" style="2472" customWidth="1"/>
    <col min="11015" max="11017" width="14.09765625" style="2472" customWidth="1"/>
    <col min="11018" max="11263" width="15.8984375" style="2472" customWidth="1"/>
    <col min="11264" max="11264" width="8.09765625" style="2472"/>
    <col min="11265" max="11265" width="21.09765625" style="2472" customWidth="1"/>
    <col min="11266" max="11266" width="15.3984375" style="2472" customWidth="1"/>
    <col min="11267" max="11269" width="14.09765625" style="2472" customWidth="1"/>
    <col min="11270" max="11270" width="15.8984375" style="2472" customWidth="1"/>
    <col min="11271" max="11273" width="14.09765625" style="2472" customWidth="1"/>
    <col min="11274" max="11519" width="15.8984375" style="2472" customWidth="1"/>
    <col min="11520" max="11520" width="8.09765625" style="2472"/>
    <col min="11521" max="11521" width="21.09765625" style="2472" customWidth="1"/>
    <col min="11522" max="11522" width="15.3984375" style="2472" customWidth="1"/>
    <col min="11523" max="11525" width="14.09765625" style="2472" customWidth="1"/>
    <col min="11526" max="11526" width="15.8984375" style="2472" customWidth="1"/>
    <col min="11527" max="11529" width="14.09765625" style="2472" customWidth="1"/>
    <col min="11530" max="11775" width="15.8984375" style="2472" customWidth="1"/>
    <col min="11776" max="11776" width="8.09765625" style="2472"/>
    <col min="11777" max="11777" width="21.09765625" style="2472" customWidth="1"/>
    <col min="11778" max="11778" width="15.3984375" style="2472" customWidth="1"/>
    <col min="11779" max="11781" width="14.09765625" style="2472" customWidth="1"/>
    <col min="11782" max="11782" width="15.8984375" style="2472" customWidth="1"/>
    <col min="11783" max="11785" width="14.09765625" style="2472" customWidth="1"/>
    <col min="11786" max="12031" width="15.8984375" style="2472" customWidth="1"/>
    <col min="12032" max="12032" width="8.09765625" style="2472"/>
    <col min="12033" max="12033" width="21.09765625" style="2472" customWidth="1"/>
    <col min="12034" max="12034" width="15.3984375" style="2472" customWidth="1"/>
    <col min="12035" max="12037" width="14.09765625" style="2472" customWidth="1"/>
    <col min="12038" max="12038" width="15.8984375" style="2472" customWidth="1"/>
    <col min="12039" max="12041" width="14.09765625" style="2472" customWidth="1"/>
    <col min="12042" max="12287" width="15.8984375" style="2472" customWidth="1"/>
    <col min="12288" max="12288" width="8.09765625" style="2472"/>
    <col min="12289" max="12289" width="21.09765625" style="2472" customWidth="1"/>
    <col min="12290" max="12290" width="15.3984375" style="2472" customWidth="1"/>
    <col min="12291" max="12293" width="14.09765625" style="2472" customWidth="1"/>
    <col min="12294" max="12294" width="15.8984375" style="2472" customWidth="1"/>
    <col min="12295" max="12297" width="14.09765625" style="2472" customWidth="1"/>
    <col min="12298" max="12543" width="15.8984375" style="2472" customWidth="1"/>
    <col min="12544" max="12544" width="8.09765625" style="2472"/>
    <col min="12545" max="12545" width="21.09765625" style="2472" customWidth="1"/>
    <col min="12546" max="12546" width="15.3984375" style="2472" customWidth="1"/>
    <col min="12547" max="12549" width="14.09765625" style="2472" customWidth="1"/>
    <col min="12550" max="12550" width="15.8984375" style="2472" customWidth="1"/>
    <col min="12551" max="12553" width="14.09765625" style="2472" customWidth="1"/>
    <col min="12554" max="12799" width="15.8984375" style="2472" customWidth="1"/>
    <col min="12800" max="12800" width="8.09765625" style="2472"/>
    <col min="12801" max="12801" width="21.09765625" style="2472" customWidth="1"/>
    <col min="12802" max="12802" width="15.3984375" style="2472" customWidth="1"/>
    <col min="12803" max="12805" width="14.09765625" style="2472" customWidth="1"/>
    <col min="12806" max="12806" width="15.8984375" style="2472" customWidth="1"/>
    <col min="12807" max="12809" width="14.09765625" style="2472" customWidth="1"/>
    <col min="12810" max="13055" width="15.8984375" style="2472" customWidth="1"/>
    <col min="13056" max="13056" width="8.09765625" style="2472"/>
    <col min="13057" max="13057" width="21.09765625" style="2472" customWidth="1"/>
    <col min="13058" max="13058" width="15.3984375" style="2472" customWidth="1"/>
    <col min="13059" max="13061" width="14.09765625" style="2472" customWidth="1"/>
    <col min="13062" max="13062" width="15.8984375" style="2472" customWidth="1"/>
    <col min="13063" max="13065" width="14.09765625" style="2472" customWidth="1"/>
    <col min="13066" max="13311" width="15.8984375" style="2472" customWidth="1"/>
    <col min="13312" max="13312" width="8.09765625" style="2472"/>
    <col min="13313" max="13313" width="21.09765625" style="2472" customWidth="1"/>
    <col min="13314" max="13314" width="15.3984375" style="2472" customWidth="1"/>
    <col min="13315" max="13317" width="14.09765625" style="2472" customWidth="1"/>
    <col min="13318" max="13318" width="15.8984375" style="2472" customWidth="1"/>
    <col min="13319" max="13321" width="14.09765625" style="2472" customWidth="1"/>
    <col min="13322" max="13567" width="15.8984375" style="2472" customWidth="1"/>
    <col min="13568" max="13568" width="8.09765625" style="2472"/>
    <col min="13569" max="13569" width="21.09765625" style="2472" customWidth="1"/>
    <col min="13570" max="13570" width="15.3984375" style="2472" customWidth="1"/>
    <col min="13571" max="13573" width="14.09765625" style="2472" customWidth="1"/>
    <col min="13574" max="13574" width="15.8984375" style="2472" customWidth="1"/>
    <col min="13575" max="13577" width="14.09765625" style="2472" customWidth="1"/>
    <col min="13578" max="13823" width="15.8984375" style="2472" customWidth="1"/>
    <col min="13824" max="13824" width="8.09765625" style="2472"/>
    <col min="13825" max="13825" width="21.09765625" style="2472" customWidth="1"/>
    <col min="13826" max="13826" width="15.3984375" style="2472" customWidth="1"/>
    <col min="13827" max="13829" width="14.09765625" style="2472" customWidth="1"/>
    <col min="13830" max="13830" width="15.8984375" style="2472" customWidth="1"/>
    <col min="13831" max="13833" width="14.09765625" style="2472" customWidth="1"/>
    <col min="13834" max="14079" width="15.8984375" style="2472" customWidth="1"/>
    <col min="14080" max="14080" width="8.09765625" style="2472"/>
    <col min="14081" max="14081" width="21.09765625" style="2472" customWidth="1"/>
    <col min="14082" max="14082" width="15.3984375" style="2472" customWidth="1"/>
    <col min="14083" max="14085" width="14.09765625" style="2472" customWidth="1"/>
    <col min="14086" max="14086" width="15.8984375" style="2472" customWidth="1"/>
    <col min="14087" max="14089" width="14.09765625" style="2472" customWidth="1"/>
    <col min="14090" max="14335" width="15.8984375" style="2472" customWidth="1"/>
    <col min="14336" max="14336" width="8.09765625" style="2472"/>
    <col min="14337" max="14337" width="21.09765625" style="2472" customWidth="1"/>
    <col min="14338" max="14338" width="15.3984375" style="2472" customWidth="1"/>
    <col min="14339" max="14341" width="14.09765625" style="2472" customWidth="1"/>
    <col min="14342" max="14342" width="15.8984375" style="2472" customWidth="1"/>
    <col min="14343" max="14345" width="14.09765625" style="2472" customWidth="1"/>
    <col min="14346" max="14591" width="15.8984375" style="2472" customWidth="1"/>
    <col min="14592" max="14592" width="8.09765625" style="2472"/>
    <col min="14593" max="14593" width="21.09765625" style="2472" customWidth="1"/>
    <col min="14594" max="14594" width="15.3984375" style="2472" customWidth="1"/>
    <col min="14595" max="14597" width="14.09765625" style="2472" customWidth="1"/>
    <col min="14598" max="14598" width="15.8984375" style="2472" customWidth="1"/>
    <col min="14599" max="14601" width="14.09765625" style="2472" customWidth="1"/>
    <col min="14602" max="14847" width="15.8984375" style="2472" customWidth="1"/>
    <col min="14848" max="14848" width="8.09765625" style="2472"/>
    <col min="14849" max="14849" width="21.09765625" style="2472" customWidth="1"/>
    <col min="14850" max="14850" width="15.3984375" style="2472" customWidth="1"/>
    <col min="14851" max="14853" width="14.09765625" style="2472" customWidth="1"/>
    <col min="14854" max="14854" width="15.8984375" style="2472" customWidth="1"/>
    <col min="14855" max="14857" width="14.09765625" style="2472" customWidth="1"/>
    <col min="14858" max="15103" width="15.8984375" style="2472" customWidth="1"/>
    <col min="15104" max="15104" width="8.09765625" style="2472"/>
    <col min="15105" max="15105" width="21.09765625" style="2472" customWidth="1"/>
    <col min="15106" max="15106" width="15.3984375" style="2472" customWidth="1"/>
    <col min="15107" max="15109" width="14.09765625" style="2472" customWidth="1"/>
    <col min="15110" max="15110" width="15.8984375" style="2472" customWidth="1"/>
    <col min="15111" max="15113" width="14.09765625" style="2472" customWidth="1"/>
    <col min="15114" max="15359" width="15.8984375" style="2472" customWidth="1"/>
    <col min="15360" max="15360" width="8.09765625" style="2472"/>
    <col min="15361" max="15361" width="21.09765625" style="2472" customWidth="1"/>
    <col min="15362" max="15362" width="15.3984375" style="2472" customWidth="1"/>
    <col min="15363" max="15365" width="14.09765625" style="2472" customWidth="1"/>
    <col min="15366" max="15366" width="15.8984375" style="2472" customWidth="1"/>
    <col min="15367" max="15369" width="14.09765625" style="2472" customWidth="1"/>
    <col min="15370" max="15615" width="15.8984375" style="2472" customWidth="1"/>
    <col min="15616" max="15616" width="8.09765625" style="2472"/>
    <col min="15617" max="15617" width="21.09765625" style="2472" customWidth="1"/>
    <col min="15618" max="15618" width="15.3984375" style="2472" customWidth="1"/>
    <col min="15619" max="15621" width="14.09765625" style="2472" customWidth="1"/>
    <col min="15622" max="15622" width="15.8984375" style="2472" customWidth="1"/>
    <col min="15623" max="15625" width="14.09765625" style="2472" customWidth="1"/>
    <col min="15626" max="15871" width="15.8984375" style="2472" customWidth="1"/>
    <col min="15872" max="15872" width="8.09765625" style="2472"/>
    <col min="15873" max="15873" width="21.09765625" style="2472" customWidth="1"/>
    <col min="15874" max="15874" width="15.3984375" style="2472" customWidth="1"/>
    <col min="15875" max="15877" width="14.09765625" style="2472" customWidth="1"/>
    <col min="15878" max="15878" width="15.8984375" style="2472" customWidth="1"/>
    <col min="15879" max="15881" width="14.09765625" style="2472" customWidth="1"/>
    <col min="15882" max="16127" width="15.8984375" style="2472" customWidth="1"/>
    <col min="16128" max="16128" width="8.09765625" style="2472"/>
    <col min="16129" max="16129" width="21.09765625" style="2472" customWidth="1"/>
    <col min="16130" max="16130" width="15.3984375" style="2472" customWidth="1"/>
    <col min="16131" max="16133" width="14.09765625" style="2472" customWidth="1"/>
    <col min="16134" max="16134" width="15.8984375" style="2472" customWidth="1"/>
    <col min="16135" max="16137" width="14.09765625" style="2472" customWidth="1"/>
    <col min="16138" max="16383" width="15.8984375" style="2472" customWidth="1"/>
    <col min="16384" max="16384" width="8.09765625" style="2472"/>
  </cols>
  <sheetData>
    <row r="1" spans="1:10" ht="20.100000000000001" customHeight="1">
      <c r="A1" s="4005" t="s">
        <v>7407</v>
      </c>
      <c r="B1" s="4005"/>
      <c r="C1" s="4005"/>
      <c r="D1" s="4005"/>
      <c r="E1" s="4005"/>
      <c r="F1" s="4005"/>
      <c r="G1" s="4005"/>
      <c r="H1" s="4005"/>
      <c r="I1" s="4005"/>
      <c r="J1" s="2475"/>
    </row>
    <row r="2" spans="1:10" ht="24" customHeight="1">
      <c r="A2" s="4006" t="s">
        <v>7416</v>
      </c>
      <c r="B2" s="4006"/>
      <c r="C2" s="4006"/>
      <c r="D2" s="4006"/>
      <c r="E2" s="4006"/>
      <c r="F2" s="4006"/>
      <c r="G2" s="4006"/>
      <c r="H2" s="4006"/>
      <c r="I2" s="4006"/>
    </row>
    <row r="3" spans="1:10" ht="25.5" customHeight="1">
      <c r="A3" s="2509" t="s">
        <v>7280</v>
      </c>
      <c r="B3" s="4027"/>
      <c r="C3" s="4027"/>
      <c r="D3" s="4027"/>
      <c r="E3" s="4027"/>
      <c r="F3" s="4028" t="s">
        <v>7281</v>
      </c>
      <c r="G3" s="4029"/>
      <c r="H3" s="4027"/>
      <c r="I3" s="4027"/>
    </row>
    <row r="4" spans="1:10" ht="25.5" customHeight="1">
      <c r="A4" s="2509" t="s">
        <v>7282</v>
      </c>
      <c r="B4" s="4013"/>
      <c r="C4" s="4013"/>
      <c r="D4" s="4013"/>
      <c r="E4" s="4013"/>
      <c r="F4" s="4030"/>
      <c r="G4" s="4031"/>
      <c r="H4" s="4013"/>
      <c r="I4" s="4013"/>
    </row>
    <row r="5" spans="1:10" ht="25.5" customHeight="1">
      <c r="A5" s="2539" t="s">
        <v>7283</v>
      </c>
      <c r="B5" s="4017"/>
      <c r="C5" s="4032"/>
      <c r="D5" s="4021" t="s">
        <v>7284</v>
      </c>
      <c r="E5" s="4021"/>
      <c r="F5" s="2532"/>
      <c r="G5" s="4009" t="s">
        <v>7285</v>
      </c>
      <c r="H5" s="4009"/>
      <c r="I5" s="2533"/>
    </row>
    <row r="6" spans="1:10" ht="25.5" customHeight="1">
      <c r="A6" s="2509" t="s">
        <v>7286</v>
      </c>
      <c r="B6" s="4013"/>
      <c r="C6" s="4013"/>
      <c r="D6" s="4033" t="s">
        <v>7287</v>
      </c>
      <c r="E6" s="4034"/>
      <c r="F6" s="4013"/>
      <c r="G6" s="4033" t="s">
        <v>7288</v>
      </c>
      <c r="H6" s="4034"/>
      <c r="I6" s="4025"/>
    </row>
    <row r="7" spans="1:10" ht="25.5" customHeight="1">
      <c r="A7" s="2509" t="s">
        <v>7289</v>
      </c>
      <c r="B7" s="4013"/>
      <c r="C7" s="4013"/>
      <c r="D7" s="4030"/>
      <c r="E7" s="4031"/>
      <c r="F7" s="4013"/>
      <c r="G7" s="4030"/>
      <c r="H7" s="4031"/>
      <c r="I7" s="4025"/>
    </row>
    <row r="8" spans="1:10" ht="25.5" customHeight="1">
      <c r="A8" s="2509" t="s">
        <v>7290</v>
      </c>
      <c r="B8" s="4017"/>
      <c r="C8" s="4032"/>
      <c r="D8" s="4011" t="s">
        <v>7255</v>
      </c>
      <c r="E8" s="4011"/>
      <c r="F8" s="2533"/>
      <c r="G8" s="4009" t="s">
        <v>7256</v>
      </c>
      <c r="H8" s="4009"/>
      <c r="I8" s="2533"/>
    </row>
    <row r="9" spans="1:10" ht="25.5" customHeight="1">
      <c r="A9" s="4007" t="s">
        <v>7291</v>
      </c>
      <c r="B9" s="2511" t="s">
        <v>7292</v>
      </c>
      <c r="C9" s="2489" t="s">
        <v>7262</v>
      </c>
      <c r="D9" s="2489" t="s">
        <v>7263</v>
      </c>
      <c r="E9" s="2489" t="s">
        <v>7264</v>
      </c>
      <c r="F9" s="2489" t="s">
        <v>7265</v>
      </c>
      <c r="G9" s="2508" t="s">
        <v>7266</v>
      </c>
      <c r="H9" s="2533"/>
      <c r="I9" s="2533"/>
    </row>
    <row r="10" spans="1:10" ht="25.5" customHeight="1">
      <c r="A10" s="4007"/>
      <c r="B10" s="2474"/>
      <c r="C10" s="2532"/>
      <c r="D10" s="2532"/>
      <c r="E10" s="2534"/>
      <c r="F10" s="2532"/>
      <c r="G10" s="2489" t="s">
        <v>284</v>
      </c>
      <c r="H10" s="2508" t="s">
        <v>7262</v>
      </c>
      <c r="I10" s="2489" t="s">
        <v>1255</v>
      </c>
    </row>
    <row r="11" spans="1:10" ht="25.5" customHeight="1">
      <c r="A11" s="4007"/>
      <c r="B11" s="2474"/>
      <c r="C11" s="2535"/>
      <c r="D11" s="2532"/>
      <c r="E11" s="2534"/>
      <c r="F11" s="2532"/>
      <c r="G11" s="2467"/>
      <c r="H11" s="2534"/>
      <c r="I11" s="2532"/>
    </row>
    <row r="12" spans="1:10" ht="25.5" customHeight="1">
      <c r="A12" s="4007"/>
      <c r="B12" s="2529"/>
      <c r="C12" s="2538"/>
      <c r="D12" s="2538"/>
      <c r="E12" s="2536"/>
      <c r="F12" s="2538"/>
      <c r="G12" s="2503"/>
      <c r="H12" s="2536"/>
      <c r="I12" s="2538"/>
    </row>
    <row r="13" spans="1:10" ht="25.5" customHeight="1">
      <c r="A13" s="4007"/>
      <c r="B13" s="2498" t="s">
        <v>7293</v>
      </c>
      <c r="C13" s="2537"/>
      <c r="D13" s="2537"/>
      <c r="E13" s="2537"/>
      <c r="F13" s="2537"/>
      <c r="G13" s="2498" t="s">
        <v>702</v>
      </c>
      <c r="H13" s="2537"/>
      <c r="I13" s="2537"/>
    </row>
    <row r="14" spans="1:10" ht="25.5" customHeight="1">
      <c r="A14" s="4007" t="s">
        <v>7294</v>
      </c>
      <c r="B14" s="4036" t="s">
        <v>284</v>
      </c>
      <c r="C14" s="4036" t="s">
        <v>7262</v>
      </c>
      <c r="D14" s="4036" t="s">
        <v>7263</v>
      </c>
      <c r="E14" s="4036" t="s">
        <v>7264</v>
      </c>
      <c r="F14" s="4036" t="s">
        <v>7265</v>
      </c>
      <c r="G14" s="4036" t="s">
        <v>7266</v>
      </c>
      <c r="H14" s="4036"/>
      <c r="I14" s="4036"/>
    </row>
    <row r="15" spans="1:10" ht="25.5" customHeight="1">
      <c r="A15" s="4007"/>
      <c r="B15" s="4036"/>
      <c r="C15" s="4036"/>
      <c r="D15" s="4036"/>
      <c r="E15" s="4036"/>
      <c r="F15" s="4036"/>
      <c r="G15" s="2530" t="s">
        <v>7295</v>
      </c>
      <c r="H15" s="2530" t="s">
        <v>7262</v>
      </c>
      <c r="I15" s="2530" t="s">
        <v>1255</v>
      </c>
    </row>
    <row r="16" spans="1:10" ht="25.5" customHeight="1">
      <c r="A16" s="4007"/>
      <c r="B16" s="2498" t="s">
        <v>7274</v>
      </c>
      <c r="C16" s="2537"/>
      <c r="D16" s="2537"/>
      <c r="E16" s="2537"/>
      <c r="F16" s="2537"/>
      <c r="G16" s="2473"/>
      <c r="H16" s="2537"/>
      <c r="I16" s="2537"/>
    </row>
    <row r="17" spans="1:10" ht="25.5" customHeight="1">
      <c r="A17" s="4007"/>
      <c r="B17" s="2498" t="s">
        <v>7276</v>
      </c>
      <c r="C17" s="2537"/>
      <c r="D17" s="2537"/>
      <c r="E17" s="2537"/>
      <c r="F17" s="2537"/>
      <c r="G17" s="2473"/>
      <c r="H17" s="2537"/>
      <c r="I17" s="2537"/>
      <c r="J17" s="2475"/>
    </row>
    <row r="18" spans="1:10" ht="25.5" customHeight="1">
      <c r="A18" s="4007"/>
      <c r="B18" s="2498" t="s">
        <v>7277</v>
      </c>
      <c r="C18" s="2537"/>
      <c r="D18" s="2537"/>
      <c r="E18" s="2537"/>
      <c r="F18" s="2537"/>
      <c r="G18" s="2473"/>
      <c r="H18" s="2537"/>
      <c r="I18" s="2537"/>
    </row>
    <row r="19" spans="1:10" ht="25.5" customHeight="1">
      <c r="A19" s="4007"/>
      <c r="B19" s="2473"/>
      <c r="C19" s="2537"/>
      <c r="D19" s="2537"/>
      <c r="E19" s="2537"/>
      <c r="F19" s="2537"/>
      <c r="G19" s="2473"/>
      <c r="H19" s="2537"/>
      <c r="I19" s="2537"/>
    </row>
    <row r="20" spans="1:10" ht="25.5" customHeight="1">
      <c r="A20" s="4007"/>
      <c r="B20" s="2473"/>
      <c r="C20" s="2537"/>
      <c r="D20" s="2537"/>
      <c r="E20" s="2537"/>
      <c r="F20" s="2537"/>
      <c r="G20" s="2473"/>
      <c r="H20" s="2537"/>
      <c r="I20" s="2537"/>
    </row>
    <row r="21" spans="1:10" ht="25.5" customHeight="1">
      <c r="A21" s="4007"/>
      <c r="B21" s="2520" t="s">
        <v>7278</v>
      </c>
      <c r="C21" s="2537"/>
      <c r="D21" s="2537"/>
      <c r="E21" s="2537"/>
      <c r="F21" s="2537"/>
      <c r="G21" s="2473"/>
      <c r="H21" s="2537"/>
      <c r="I21" s="2537"/>
    </row>
    <row r="22" spans="1:10" ht="25.5" customHeight="1">
      <c r="A22" s="4007"/>
      <c r="B22" s="2498" t="s">
        <v>7296</v>
      </c>
      <c r="C22" s="2537"/>
      <c r="D22" s="2537"/>
      <c r="E22" s="2537"/>
      <c r="F22" s="2537"/>
      <c r="G22" s="2498" t="s">
        <v>702</v>
      </c>
      <c r="H22" s="2537"/>
      <c r="I22" s="2537"/>
    </row>
    <row r="23" spans="1:10" ht="25.5" customHeight="1">
      <c r="A23" s="4037" t="s">
        <v>7297</v>
      </c>
      <c r="B23" s="4038"/>
      <c r="C23" s="4038"/>
      <c r="D23" s="4036" t="s">
        <v>7298</v>
      </c>
      <c r="E23" s="4036"/>
      <c r="F23" s="4039"/>
      <c r="G23" s="4036" t="s">
        <v>7299</v>
      </c>
      <c r="H23" s="4036"/>
      <c r="I23" s="4040"/>
    </row>
    <row r="24" spans="1:10" ht="25.5" customHeight="1">
      <c r="A24" s="4037"/>
      <c r="B24" s="4038"/>
      <c r="C24" s="4038"/>
      <c r="D24" s="4036"/>
      <c r="E24" s="4036"/>
      <c r="F24" s="4039"/>
      <c r="G24" s="4036"/>
      <c r="H24" s="4036"/>
      <c r="I24" s="4040"/>
    </row>
    <row r="25" spans="1:10" ht="25.5" customHeight="1">
      <c r="A25" s="2489" t="s">
        <v>7300</v>
      </c>
      <c r="B25" s="3975">
        <f>基本情况!B12</f>
        <v>0</v>
      </c>
      <c r="C25" s="3976"/>
      <c r="D25" s="3976"/>
      <c r="E25" s="3977"/>
      <c r="F25" s="2508" t="s">
        <v>7301</v>
      </c>
      <c r="G25" s="4035" t="str">
        <f>基本情况!B21</f>
        <v>2017年3月16日</v>
      </c>
      <c r="H25" s="3976"/>
      <c r="I25" s="3977"/>
    </row>
  </sheetData>
  <mergeCells count="34">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 ref="I6:I7"/>
    <mergeCell ref="B7:C7"/>
    <mergeCell ref="B8:C8"/>
    <mergeCell ref="D8:E8"/>
    <mergeCell ref="G8:H8"/>
    <mergeCell ref="A9:A13"/>
    <mergeCell ref="B5:C5"/>
    <mergeCell ref="D5:E5"/>
    <mergeCell ref="G5:H5"/>
    <mergeCell ref="B6:C6"/>
    <mergeCell ref="D6:E7"/>
    <mergeCell ref="F6:F7"/>
    <mergeCell ref="G6:H7"/>
    <mergeCell ref="A1:I1"/>
    <mergeCell ref="A2:I2"/>
    <mergeCell ref="B3:E3"/>
    <mergeCell ref="F3:G4"/>
    <mergeCell ref="H3:I4"/>
    <mergeCell ref="B4:E4"/>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59765625" defaultRowHeight="20.100000000000001" customHeight="1"/>
  <cols>
    <col min="1" max="1" width="29.19921875" style="2476" customWidth="1"/>
    <col min="2" max="2" width="17.09765625" style="2476" customWidth="1"/>
    <col min="3" max="3" width="25.3984375" style="2476" customWidth="1"/>
    <col min="4" max="4" width="17.09765625" style="2476" customWidth="1"/>
    <col min="5" max="256" width="21.59765625" style="2476"/>
    <col min="257" max="257" width="29.19921875" style="2476" customWidth="1"/>
    <col min="258" max="258" width="15.8984375" style="2476" customWidth="1"/>
    <col min="259" max="259" width="29" style="2476" customWidth="1"/>
    <col min="260" max="260" width="15.8984375" style="2476" customWidth="1"/>
    <col min="261" max="512" width="21.59765625" style="2476"/>
    <col min="513" max="513" width="29.19921875" style="2476" customWidth="1"/>
    <col min="514" max="514" width="15.8984375" style="2476" customWidth="1"/>
    <col min="515" max="515" width="29" style="2476" customWidth="1"/>
    <col min="516" max="516" width="15.8984375" style="2476" customWidth="1"/>
    <col min="517" max="768" width="21.59765625" style="2476"/>
    <col min="769" max="769" width="29.19921875" style="2476" customWidth="1"/>
    <col min="770" max="770" width="15.8984375" style="2476" customWidth="1"/>
    <col min="771" max="771" width="29" style="2476" customWidth="1"/>
    <col min="772" max="772" width="15.8984375" style="2476" customWidth="1"/>
    <col min="773" max="1024" width="21.59765625" style="2476"/>
    <col min="1025" max="1025" width="29.19921875" style="2476" customWidth="1"/>
    <col min="1026" max="1026" width="15.8984375" style="2476" customWidth="1"/>
    <col min="1027" max="1027" width="29" style="2476" customWidth="1"/>
    <col min="1028" max="1028" width="15.8984375" style="2476" customWidth="1"/>
    <col min="1029" max="1280" width="21.59765625" style="2476"/>
    <col min="1281" max="1281" width="29.19921875" style="2476" customWidth="1"/>
    <col min="1282" max="1282" width="15.8984375" style="2476" customWidth="1"/>
    <col min="1283" max="1283" width="29" style="2476" customWidth="1"/>
    <col min="1284" max="1284" width="15.8984375" style="2476" customWidth="1"/>
    <col min="1285" max="1536" width="21.59765625" style="2476"/>
    <col min="1537" max="1537" width="29.19921875" style="2476" customWidth="1"/>
    <col min="1538" max="1538" width="15.8984375" style="2476" customWidth="1"/>
    <col min="1539" max="1539" width="29" style="2476" customWidth="1"/>
    <col min="1540" max="1540" width="15.8984375" style="2476" customWidth="1"/>
    <col min="1541" max="1792" width="21.59765625" style="2476"/>
    <col min="1793" max="1793" width="29.19921875" style="2476" customWidth="1"/>
    <col min="1794" max="1794" width="15.8984375" style="2476" customWidth="1"/>
    <col min="1795" max="1795" width="29" style="2476" customWidth="1"/>
    <col min="1796" max="1796" width="15.8984375" style="2476" customWidth="1"/>
    <col min="1797" max="2048" width="21.59765625" style="2476"/>
    <col min="2049" max="2049" width="29.19921875" style="2476" customWidth="1"/>
    <col min="2050" max="2050" width="15.8984375" style="2476" customWidth="1"/>
    <col min="2051" max="2051" width="29" style="2476" customWidth="1"/>
    <col min="2052" max="2052" width="15.8984375" style="2476" customWidth="1"/>
    <col min="2053" max="2304" width="21.59765625" style="2476"/>
    <col min="2305" max="2305" width="29.19921875" style="2476" customWidth="1"/>
    <col min="2306" max="2306" width="15.8984375" style="2476" customWidth="1"/>
    <col min="2307" max="2307" width="29" style="2476" customWidth="1"/>
    <col min="2308" max="2308" width="15.8984375" style="2476" customWidth="1"/>
    <col min="2309" max="2560" width="21.59765625" style="2476"/>
    <col min="2561" max="2561" width="29.19921875" style="2476" customWidth="1"/>
    <col min="2562" max="2562" width="15.8984375" style="2476" customWidth="1"/>
    <col min="2563" max="2563" width="29" style="2476" customWidth="1"/>
    <col min="2564" max="2564" width="15.8984375" style="2476" customWidth="1"/>
    <col min="2565" max="2816" width="21.59765625" style="2476"/>
    <col min="2817" max="2817" width="29.19921875" style="2476" customWidth="1"/>
    <col min="2818" max="2818" width="15.8984375" style="2476" customWidth="1"/>
    <col min="2819" max="2819" width="29" style="2476" customWidth="1"/>
    <col min="2820" max="2820" width="15.8984375" style="2476" customWidth="1"/>
    <col min="2821" max="3072" width="21.59765625" style="2476"/>
    <col min="3073" max="3073" width="29.19921875" style="2476" customWidth="1"/>
    <col min="3074" max="3074" width="15.8984375" style="2476" customWidth="1"/>
    <col min="3075" max="3075" width="29" style="2476" customWidth="1"/>
    <col min="3076" max="3076" width="15.8984375" style="2476" customWidth="1"/>
    <col min="3077" max="3328" width="21.59765625" style="2476"/>
    <col min="3329" max="3329" width="29.19921875" style="2476" customWidth="1"/>
    <col min="3330" max="3330" width="15.8984375" style="2476" customWidth="1"/>
    <col min="3331" max="3331" width="29" style="2476" customWidth="1"/>
    <col min="3332" max="3332" width="15.8984375" style="2476" customWidth="1"/>
    <col min="3333" max="3584" width="21.59765625" style="2476"/>
    <col min="3585" max="3585" width="29.19921875" style="2476" customWidth="1"/>
    <col min="3586" max="3586" width="15.8984375" style="2476" customWidth="1"/>
    <col min="3587" max="3587" width="29" style="2476" customWidth="1"/>
    <col min="3588" max="3588" width="15.8984375" style="2476" customWidth="1"/>
    <col min="3589" max="3840" width="21.59765625" style="2476"/>
    <col min="3841" max="3841" width="29.19921875" style="2476" customWidth="1"/>
    <col min="3842" max="3842" width="15.8984375" style="2476" customWidth="1"/>
    <col min="3843" max="3843" width="29" style="2476" customWidth="1"/>
    <col min="3844" max="3844" width="15.8984375" style="2476" customWidth="1"/>
    <col min="3845" max="4096" width="21.59765625" style="2476"/>
    <col min="4097" max="4097" width="29.19921875" style="2476" customWidth="1"/>
    <col min="4098" max="4098" width="15.8984375" style="2476" customWidth="1"/>
    <col min="4099" max="4099" width="29" style="2476" customWidth="1"/>
    <col min="4100" max="4100" width="15.8984375" style="2476" customWidth="1"/>
    <col min="4101" max="4352" width="21.59765625" style="2476"/>
    <col min="4353" max="4353" width="29.19921875" style="2476" customWidth="1"/>
    <col min="4354" max="4354" width="15.8984375" style="2476" customWidth="1"/>
    <col min="4355" max="4355" width="29" style="2476" customWidth="1"/>
    <col min="4356" max="4356" width="15.8984375" style="2476" customWidth="1"/>
    <col min="4357" max="4608" width="21.59765625" style="2476"/>
    <col min="4609" max="4609" width="29.19921875" style="2476" customWidth="1"/>
    <col min="4610" max="4610" width="15.8984375" style="2476" customWidth="1"/>
    <col min="4611" max="4611" width="29" style="2476" customWidth="1"/>
    <col min="4612" max="4612" width="15.8984375" style="2476" customWidth="1"/>
    <col min="4613" max="4864" width="21.59765625" style="2476"/>
    <col min="4865" max="4865" width="29.19921875" style="2476" customWidth="1"/>
    <col min="4866" max="4866" width="15.8984375" style="2476" customWidth="1"/>
    <col min="4867" max="4867" width="29" style="2476" customWidth="1"/>
    <col min="4868" max="4868" width="15.8984375" style="2476" customWidth="1"/>
    <col min="4869" max="5120" width="21.59765625" style="2476"/>
    <col min="5121" max="5121" width="29.19921875" style="2476" customWidth="1"/>
    <col min="5122" max="5122" width="15.8984375" style="2476" customWidth="1"/>
    <col min="5123" max="5123" width="29" style="2476" customWidth="1"/>
    <col min="5124" max="5124" width="15.8984375" style="2476" customWidth="1"/>
    <col min="5125" max="5376" width="21.59765625" style="2476"/>
    <col min="5377" max="5377" width="29.19921875" style="2476" customWidth="1"/>
    <col min="5378" max="5378" width="15.8984375" style="2476" customWidth="1"/>
    <col min="5379" max="5379" width="29" style="2476" customWidth="1"/>
    <col min="5380" max="5380" width="15.8984375" style="2476" customWidth="1"/>
    <col min="5381" max="5632" width="21.59765625" style="2476"/>
    <col min="5633" max="5633" width="29.19921875" style="2476" customWidth="1"/>
    <col min="5634" max="5634" width="15.8984375" style="2476" customWidth="1"/>
    <col min="5635" max="5635" width="29" style="2476" customWidth="1"/>
    <col min="5636" max="5636" width="15.8984375" style="2476" customWidth="1"/>
    <col min="5637" max="5888" width="21.59765625" style="2476"/>
    <col min="5889" max="5889" width="29.19921875" style="2476" customWidth="1"/>
    <col min="5890" max="5890" width="15.8984375" style="2476" customWidth="1"/>
    <col min="5891" max="5891" width="29" style="2476" customWidth="1"/>
    <col min="5892" max="5892" width="15.8984375" style="2476" customWidth="1"/>
    <col min="5893" max="6144" width="21.59765625" style="2476"/>
    <col min="6145" max="6145" width="29.19921875" style="2476" customWidth="1"/>
    <col min="6146" max="6146" width="15.8984375" style="2476" customWidth="1"/>
    <col min="6147" max="6147" width="29" style="2476" customWidth="1"/>
    <col min="6148" max="6148" width="15.8984375" style="2476" customWidth="1"/>
    <col min="6149" max="6400" width="21.59765625" style="2476"/>
    <col min="6401" max="6401" width="29.19921875" style="2476" customWidth="1"/>
    <col min="6402" max="6402" width="15.8984375" style="2476" customWidth="1"/>
    <col min="6403" max="6403" width="29" style="2476" customWidth="1"/>
    <col min="6404" max="6404" width="15.8984375" style="2476" customWidth="1"/>
    <col min="6405" max="6656" width="21.59765625" style="2476"/>
    <col min="6657" max="6657" width="29.19921875" style="2476" customWidth="1"/>
    <col min="6658" max="6658" width="15.8984375" style="2476" customWidth="1"/>
    <col min="6659" max="6659" width="29" style="2476" customWidth="1"/>
    <col min="6660" max="6660" width="15.8984375" style="2476" customWidth="1"/>
    <col min="6661" max="6912" width="21.59765625" style="2476"/>
    <col min="6913" max="6913" width="29.19921875" style="2476" customWidth="1"/>
    <col min="6914" max="6914" width="15.8984375" style="2476" customWidth="1"/>
    <col min="6915" max="6915" width="29" style="2476" customWidth="1"/>
    <col min="6916" max="6916" width="15.8984375" style="2476" customWidth="1"/>
    <col min="6917" max="7168" width="21.59765625" style="2476"/>
    <col min="7169" max="7169" width="29.19921875" style="2476" customWidth="1"/>
    <col min="7170" max="7170" width="15.8984375" style="2476" customWidth="1"/>
    <col min="7171" max="7171" width="29" style="2476" customWidth="1"/>
    <col min="7172" max="7172" width="15.8984375" style="2476" customWidth="1"/>
    <col min="7173" max="7424" width="21.59765625" style="2476"/>
    <col min="7425" max="7425" width="29.19921875" style="2476" customWidth="1"/>
    <col min="7426" max="7426" width="15.8984375" style="2476" customWidth="1"/>
    <col min="7427" max="7427" width="29" style="2476" customWidth="1"/>
    <col min="7428" max="7428" width="15.8984375" style="2476" customWidth="1"/>
    <col min="7429" max="7680" width="21.59765625" style="2476"/>
    <col min="7681" max="7681" width="29.19921875" style="2476" customWidth="1"/>
    <col min="7682" max="7682" width="15.8984375" style="2476" customWidth="1"/>
    <col min="7683" max="7683" width="29" style="2476" customWidth="1"/>
    <col min="7684" max="7684" width="15.8984375" style="2476" customWidth="1"/>
    <col min="7685" max="7936" width="21.59765625" style="2476"/>
    <col min="7937" max="7937" width="29.19921875" style="2476" customWidth="1"/>
    <col min="7938" max="7938" width="15.8984375" style="2476" customWidth="1"/>
    <col min="7939" max="7939" width="29" style="2476" customWidth="1"/>
    <col min="7940" max="7940" width="15.8984375" style="2476" customWidth="1"/>
    <col min="7941" max="8192" width="21.59765625" style="2476"/>
    <col min="8193" max="8193" width="29.19921875" style="2476" customWidth="1"/>
    <col min="8194" max="8194" width="15.8984375" style="2476" customWidth="1"/>
    <col min="8195" max="8195" width="29" style="2476" customWidth="1"/>
    <col min="8196" max="8196" width="15.8984375" style="2476" customWidth="1"/>
    <col min="8197" max="8448" width="21.59765625" style="2476"/>
    <col min="8449" max="8449" width="29.19921875" style="2476" customWidth="1"/>
    <col min="8450" max="8450" width="15.8984375" style="2476" customWidth="1"/>
    <col min="8451" max="8451" width="29" style="2476" customWidth="1"/>
    <col min="8452" max="8452" width="15.8984375" style="2476" customWidth="1"/>
    <col min="8453" max="8704" width="21.59765625" style="2476"/>
    <col min="8705" max="8705" width="29.19921875" style="2476" customWidth="1"/>
    <col min="8706" max="8706" width="15.8984375" style="2476" customWidth="1"/>
    <col min="8707" max="8707" width="29" style="2476" customWidth="1"/>
    <col min="8708" max="8708" width="15.8984375" style="2476" customWidth="1"/>
    <col min="8709" max="8960" width="21.59765625" style="2476"/>
    <col min="8961" max="8961" width="29.19921875" style="2476" customWidth="1"/>
    <col min="8962" max="8962" width="15.8984375" style="2476" customWidth="1"/>
    <col min="8963" max="8963" width="29" style="2476" customWidth="1"/>
    <col min="8964" max="8964" width="15.8984375" style="2476" customWidth="1"/>
    <col min="8965" max="9216" width="21.59765625" style="2476"/>
    <col min="9217" max="9217" width="29.19921875" style="2476" customWidth="1"/>
    <col min="9218" max="9218" width="15.8984375" style="2476" customWidth="1"/>
    <col min="9219" max="9219" width="29" style="2476" customWidth="1"/>
    <col min="9220" max="9220" width="15.8984375" style="2476" customWidth="1"/>
    <col min="9221" max="9472" width="21.59765625" style="2476"/>
    <col min="9473" max="9473" width="29.19921875" style="2476" customWidth="1"/>
    <col min="9474" max="9474" width="15.8984375" style="2476" customWidth="1"/>
    <col min="9475" max="9475" width="29" style="2476" customWidth="1"/>
    <col min="9476" max="9476" width="15.8984375" style="2476" customWidth="1"/>
    <col min="9477" max="9728" width="21.59765625" style="2476"/>
    <col min="9729" max="9729" width="29.19921875" style="2476" customWidth="1"/>
    <col min="9730" max="9730" width="15.8984375" style="2476" customWidth="1"/>
    <col min="9731" max="9731" width="29" style="2476" customWidth="1"/>
    <col min="9732" max="9732" width="15.8984375" style="2476" customWidth="1"/>
    <col min="9733" max="9984" width="21.59765625" style="2476"/>
    <col min="9985" max="9985" width="29.19921875" style="2476" customWidth="1"/>
    <col min="9986" max="9986" width="15.8984375" style="2476" customWidth="1"/>
    <col min="9987" max="9987" width="29" style="2476" customWidth="1"/>
    <col min="9988" max="9988" width="15.8984375" style="2476" customWidth="1"/>
    <col min="9989" max="10240" width="21.59765625" style="2476"/>
    <col min="10241" max="10241" width="29.19921875" style="2476" customWidth="1"/>
    <col min="10242" max="10242" width="15.8984375" style="2476" customWidth="1"/>
    <col min="10243" max="10243" width="29" style="2476" customWidth="1"/>
    <col min="10244" max="10244" width="15.8984375" style="2476" customWidth="1"/>
    <col min="10245" max="10496" width="21.59765625" style="2476"/>
    <col min="10497" max="10497" width="29.19921875" style="2476" customWidth="1"/>
    <col min="10498" max="10498" width="15.8984375" style="2476" customWidth="1"/>
    <col min="10499" max="10499" width="29" style="2476" customWidth="1"/>
    <col min="10500" max="10500" width="15.8984375" style="2476" customWidth="1"/>
    <col min="10501" max="10752" width="21.59765625" style="2476"/>
    <col min="10753" max="10753" width="29.19921875" style="2476" customWidth="1"/>
    <col min="10754" max="10754" width="15.8984375" style="2476" customWidth="1"/>
    <col min="10755" max="10755" width="29" style="2476" customWidth="1"/>
    <col min="10756" max="10756" width="15.8984375" style="2476" customWidth="1"/>
    <col min="10757" max="11008" width="21.59765625" style="2476"/>
    <col min="11009" max="11009" width="29.19921875" style="2476" customWidth="1"/>
    <col min="11010" max="11010" width="15.8984375" style="2476" customWidth="1"/>
    <col min="11011" max="11011" width="29" style="2476" customWidth="1"/>
    <col min="11012" max="11012" width="15.8984375" style="2476" customWidth="1"/>
    <col min="11013" max="11264" width="21.59765625" style="2476"/>
    <col min="11265" max="11265" width="29.19921875" style="2476" customWidth="1"/>
    <col min="11266" max="11266" width="15.8984375" style="2476" customWidth="1"/>
    <col min="11267" max="11267" width="29" style="2476" customWidth="1"/>
    <col min="11268" max="11268" width="15.8984375" style="2476" customWidth="1"/>
    <col min="11269" max="11520" width="21.59765625" style="2476"/>
    <col min="11521" max="11521" width="29.19921875" style="2476" customWidth="1"/>
    <col min="11522" max="11522" width="15.8984375" style="2476" customWidth="1"/>
    <col min="11523" max="11523" width="29" style="2476" customWidth="1"/>
    <col min="11524" max="11524" width="15.8984375" style="2476" customWidth="1"/>
    <col min="11525" max="11776" width="21.59765625" style="2476"/>
    <col min="11777" max="11777" width="29.19921875" style="2476" customWidth="1"/>
    <col min="11778" max="11778" width="15.8984375" style="2476" customWidth="1"/>
    <col min="11779" max="11779" width="29" style="2476" customWidth="1"/>
    <col min="11780" max="11780" width="15.8984375" style="2476" customWidth="1"/>
    <col min="11781" max="12032" width="21.59765625" style="2476"/>
    <col min="12033" max="12033" width="29.19921875" style="2476" customWidth="1"/>
    <col min="12034" max="12034" width="15.8984375" style="2476" customWidth="1"/>
    <col min="12035" max="12035" width="29" style="2476" customWidth="1"/>
    <col min="12036" max="12036" width="15.8984375" style="2476" customWidth="1"/>
    <col min="12037" max="12288" width="21.59765625" style="2476"/>
    <col min="12289" max="12289" width="29.19921875" style="2476" customWidth="1"/>
    <col min="12290" max="12290" width="15.8984375" style="2476" customWidth="1"/>
    <col min="12291" max="12291" width="29" style="2476" customWidth="1"/>
    <col min="12292" max="12292" width="15.8984375" style="2476" customWidth="1"/>
    <col min="12293" max="12544" width="21.59765625" style="2476"/>
    <col min="12545" max="12545" width="29.19921875" style="2476" customWidth="1"/>
    <col min="12546" max="12546" width="15.8984375" style="2476" customWidth="1"/>
    <col min="12547" max="12547" width="29" style="2476" customWidth="1"/>
    <col min="12548" max="12548" width="15.8984375" style="2476" customWidth="1"/>
    <col min="12549" max="12800" width="21.59765625" style="2476"/>
    <col min="12801" max="12801" width="29.19921875" style="2476" customWidth="1"/>
    <col min="12802" max="12802" width="15.8984375" style="2476" customWidth="1"/>
    <col min="12803" max="12803" width="29" style="2476" customWidth="1"/>
    <col min="12804" max="12804" width="15.8984375" style="2476" customWidth="1"/>
    <col min="12805" max="13056" width="21.59765625" style="2476"/>
    <col min="13057" max="13057" width="29.19921875" style="2476" customWidth="1"/>
    <col min="13058" max="13058" width="15.8984375" style="2476" customWidth="1"/>
    <col min="13059" max="13059" width="29" style="2476" customWidth="1"/>
    <col min="13060" max="13060" width="15.8984375" style="2476" customWidth="1"/>
    <col min="13061" max="13312" width="21.59765625" style="2476"/>
    <col min="13313" max="13313" width="29.19921875" style="2476" customWidth="1"/>
    <col min="13314" max="13314" width="15.8984375" style="2476" customWidth="1"/>
    <col min="13315" max="13315" width="29" style="2476" customWidth="1"/>
    <col min="13316" max="13316" width="15.8984375" style="2476" customWidth="1"/>
    <col min="13317" max="13568" width="21.59765625" style="2476"/>
    <col min="13569" max="13569" width="29.19921875" style="2476" customWidth="1"/>
    <col min="13570" max="13570" width="15.8984375" style="2476" customWidth="1"/>
    <col min="13571" max="13571" width="29" style="2476" customWidth="1"/>
    <col min="13572" max="13572" width="15.8984375" style="2476" customWidth="1"/>
    <col min="13573" max="13824" width="21.59765625" style="2476"/>
    <col min="13825" max="13825" width="29.19921875" style="2476" customWidth="1"/>
    <col min="13826" max="13826" width="15.8984375" style="2476" customWidth="1"/>
    <col min="13827" max="13827" width="29" style="2476" customWidth="1"/>
    <col min="13828" max="13828" width="15.8984375" style="2476" customWidth="1"/>
    <col min="13829" max="14080" width="21.59765625" style="2476"/>
    <col min="14081" max="14081" width="29.19921875" style="2476" customWidth="1"/>
    <col min="14082" max="14082" width="15.8984375" style="2476" customWidth="1"/>
    <col min="14083" max="14083" width="29" style="2476" customWidth="1"/>
    <col min="14084" max="14084" width="15.8984375" style="2476" customWidth="1"/>
    <col min="14085" max="14336" width="21.59765625" style="2476"/>
    <col min="14337" max="14337" width="29.19921875" style="2476" customWidth="1"/>
    <col min="14338" max="14338" width="15.8984375" style="2476" customWidth="1"/>
    <col min="14339" max="14339" width="29" style="2476" customWidth="1"/>
    <col min="14340" max="14340" width="15.8984375" style="2476" customWidth="1"/>
    <col min="14341" max="14592" width="21.59765625" style="2476"/>
    <col min="14593" max="14593" width="29.19921875" style="2476" customWidth="1"/>
    <col min="14594" max="14594" width="15.8984375" style="2476" customWidth="1"/>
    <col min="14595" max="14595" width="29" style="2476" customWidth="1"/>
    <col min="14596" max="14596" width="15.8984375" style="2476" customWidth="1"/>
    <col min="14597" max="14848" width="21.59765625" style="2476"/>
    <col min="14849" max="14849" width="29.19921875" style="2476" customWidth="1"/>
    <col min="14850" max="14850" width="15.8984375" style="2476" customWidth="1"/>
    <col min="14851" max="14851" width="29" style="2476" customWidth="1"/>
    <col min="14852" max="14852" width="15.8984375" style="2476" customWidth="1"/>
    <col min="14853" max="15104" width="21.59765625" style="2476"/>
    <col min="15105" max="15105" width="29.19921875" style="2476" customWidth="1"/>
    <col min="15106" max="15106" width="15.8984375" style="2476" customWidth="1"/>
    <col min="15107" max="15107" width="29" style="2476" customWidth="1"/>
    <col min="15108" max="15108" width="15.8984375" style="2476" customWidth="1"/>
    <col min="15109" max="15360" width="21.59765625" style="2476"/>
    <col min="15361" max="15361" width="29.19921875" style="2476" customWidth="1"/>
    <col min="15362" max="15362" width="15.8984375" style="2476" customWidth="1"/>
    <col min="15363" max="15363" width="29" style="2476" customWidth="1"/>
    <col min="15364" max="15364" width="15.8984375" style="2476" customWidth="1"/>
    <col min="15365" max="15616" width="21.59765625" style="2476"/>
    <col min="15617" max="15617" width="29.19921875" style="2476" customWidth="1"/>
    <col min="15618" max="15618" width="15.8984375" style="2476" customWidth="1"/>
    <col min="15619" max="15619" width="29" style="2476" customWidth="1"/>
    <col min="15620" max="15620" width="15.8984375" style="2476" customWidth="1"/>
    <col min="15621" max="15872" width="21.59765625" style="2476"/>
    <col min="15873" max="15873" width="29.19921875" style="2476" customWidth="1"/>
    <col min="15874" max="15874" width="15.8984375" style="2476" customWidth="1"/>
    <col min="15875" max="15875" width="29" style="2476" customWidth="1"/>
    <col min="15876" max="15876" width="15.8984375" style="2476" customWidth="1"/>
    <col min="15877" max="16128" width="21.59765625" style="2476"/>
    <col min="16129" max="16129" width="29.19921875" style="2476" customWidth="1"/>
    <col min="16130" max="16130" width="15.8984375" style="2476" customWidth="1"/>
    <col min="16131" max="16131" width="29" style="2476" customWidth="1"/>
    <col min="16132" max="16132" width="15.8984375" style="2476" customWidth="1"/>
    <col min="16133" max="16384" width="21.59765625" style="2476"/>
  </cols>
  <sheetData>
    <row r="1" spans="1:5" ht="20.100000000000001" customHeight="1">
      <c r="A1" s="4042" t="s">
        <v>7408</v>
      </c>
      <c r="B1" s="4043"/>
      <c r="C1" s="4043"/>
      <c r="D1" s="4044"/>
      <c r="E1" s="2543"/>
    </row>
    <row r="2" spans="1:5" ht="24" customHeight="1">
      <c r="A2" s="4006" t="s">
        <v>7417</v>
      </c>
      <c r="B2" s="4006"/>
      <c r="C2" s="4006"/>
      <c r="D2" s="4006"/>
    </row>
    <row r="3" spans="1:5" ht="25.5" customHeight="1">
      <c r="A3" s="2513" t="s">
        <v>7302</v>
      </c>
      <c r="B3" s="2513" t="s">
        <v>7303</v>
      </c>
      <c r="C3" s="4022" t="s">
        <v>7304</v>
      </c>
      <c r="D3" s="4022"/>
    </row>
    <row r="4" spans="1:5" ht="25.5" customHeight="1">
      <c r="A4" s="2477"/>
      <c r="B4" s="2477"/>
      <c r="C4" s="4045"/>
      <c r="D4" s="4045"/>
    </row>
    <row r="5" spans="1:5" ht="25.5" customHeight="1">
      <c r="A5" s="2540" t="s">
        <v>7305</v>
      </c>
      <c r="B5" s="2540" t="s">
        <v>7306</v>
      </c>
      <c r="C5" s="4046" t="s">
        <v>7307</v>
      </c>
      <c r="D5" s="4046"/>
    </row>
    <row r="6" spans="1:5" ht="25.5" customHeight="1">
      <c r="A6" s="2541"/>
      <c r="B6" s="2541"/>
      <c r="C6" s="2541"/>
      <c r="D6" s="2541"/>
    </row>
    <row r="7" spans="1:5" ht="25.5" customHeight="1">
      <c r="A7" s="2541"/>
      <c r="B7" s="2541"/>
      <c r="C7" s="2541"/>
      <c r="D7" s="2541"/>
    </row>
    <row r="8" spans="1:5" ht="40.5" customHeight="1">
      <c r="A8" s="2540" t="s">
        <v>7308</v>
      </c>
      <c r="B8" s="2540" t="s">
        <v>7309</v>
      </c>
      <c r="C8" s="2540" t="s">
        <v>7310</v>
      </c>
      <c r="D8" s="2540" t="s">
        <v>7311</v>
      </c>
    </row>
    <row r="9" spans="1:5" ht="25.5" customHeight="1">
      <c r="A9" s="2541"/>
      <c r="B9" s="2541"/>
      <c r="C9" s="2544"/>
      <c r="D9" s="2541"/>
    </row>
    <row r="10" spans="1:5" ht="25.5" customHeight="1">
      <c r="A10" s="2541"/>
      <c r="B10" s="2541"/>
      <c r="C10" s="2544"/>
      <c r="D10" s="2541"/>
    </row>
    <row r="11" spans="1:5" ht="25.5" customHeight="1">
      <c r="A11" s="2542" t="s">
        <v>7312</v>
      </c>
      <c r="B11" s="2544"/>
      <c r="C11" s="2542" t="s">
        <v>7313</v>
      </c>
      <c r="D11" s="2545" t="s">
        <v>7314</v>
      </c>
    </row>
    <row r="12" spans="1:5" ht="25.5" customHeight="1">
      <c r="A12" s="2542" t="s">
        <v>7315</v>
      </c>
      <c r="B12" s="2544"/>
      <c r="C12" s="2542" t="s">
        <v>7316</v>
      </c>
      <c r="D12" s="2544"/>
    </row>
    <row r="13" spans="1:5" ht="25.5" customHeight="1">
      <c r="A13" s="2542" t="s">
        <v>7317</v>
      </c>
      <c r="B13" s="2544"/>
      <c r="C13" s="2542" t="s">
        <v>7318</v>
      </c>
      <c r="D13" s="2544"/>
    </row>
    <row r="14" spans="1:5" ht="25.5" customHeight="1">
      <c r="A14" s="2542" t="s">
        <v>7319</v>
      </c>
      <c r="B14" s="2544"/>
      <c r="C14" s="2542" t="s">
        <v>7265</v>
      </c>
      <c r="D14" s="2544"/>
    </row>
    <row r="15" spans="1:5" ht="25.5" customHeight="1">
      <c r="A15" s="2542" t="s">
        <v>7320</v>
      </c>
      <c r="B15" s="2544"/>
      <c r="C15" s="2542" t="s">
        <v>7321</v>
      </c>
      <c r="D15" s="2544"/>
    </row>
    <row r="16" spans="1:5" ht="25.5" customHeight="1">
      <c r="A16" s="2542" t="s">
        <v>7322</v>
      </c>
      <c r="B16" s="2544"/>
      <c r="C16" s="2542" t="s">
        <v>7323</v>
      </c>
      <c r="D16" s="2544"/>
    </row>
    <row r="17" spans="1:4" ht="25.5" customHeight="1">
      <c r="A17" s="2542" t="s">
        <v>7324</v>
      </c>
      <c r="B17" s="2544"/>
      <c r="C17" s="2542" t="s">
        <v>7325</v>
      </c>
      <c r="D17" s="2544"/>
    </row>
    <row r="18" spans="1:4" ht="25.5" customHeight="1">
      <c r="A18" s="2542" t="s">
        <v>7326</v>
      </c>
      <c r="B18" s="2544"/>
      <c r="C18" s="2542" t="s">
        <v>7327</v>
      </c>
      <c r="D18" s="2544"/>
    </row>
    <row r="19" spans="1:4" ht="25.5" customHeight="1">
      <c r="A19" s="2542" t="s">
        <v>7328</v>
      </c>
      <c r="B19" s="2544"/>
      <c r="C19" s="2542" t="s">
        <v>7329</v>
      </c>
      <c r="D19" s="2544"/>
    </row>
    <row r="20" spans="1:4" ht="25.5" customHeight="1">
      <c r="A20" s="3980" t="s">
        <v>7330</v>
      </c>
      <c r="B20" s="3980"/>
      <c r="C20" s="4041" t="s">
        <v>7331</v>
      </c>
      <c r="D20" s="4041"/>
    </row>
    <row r="21" spans="1:4" ht="25.5" customHeight="1">
      <c r="A21" s="3980" t="s">
        <v>7332</v>
      </c>
      <c r="B21" s="3980"/>
      <c r="C21" s="3980"/>
      <c r="D21" s="3980"/>
    </row>
    <row r="22" spans="1:4" ht="25.5" customHeight="1">
      <c r="A22" s="2542" t="s">
        <v>2584</v>
      </c>
      <c r="B22" s="2542" t="s">
        <v>284</v>
      </c>
      <c r="C22" s="2542" t="s">
        <v>7262</v>
      </c>
      <c r="D22" s="2542" t="s">
        <v>1255</v>
      </c>
    </row>
    <row r="23" spans="1:4" ht="25.5" customHeight="1">
      <c r="A23" s="2471"/>
      <c r="B23" s="2471"/>
      <c r="C23" s="2528"/>
      <c r="D23" s="2528"/>
    </row>
    <row r="24" spans="1:4" ht="25.5" customHeight="1">
      <c r="A24" s="2470"/>
      <c r="B24" s="2470"/>
      <c r="C24" s="2527"/>
      <c r="D24" s="2527"/>
    </row>
    <row r="25" spans="1:4" ht="25.5" customHeight="1">
      <c r="A25" s="2514" t="s">
        <v>7333</v>
      </c>
      <c r="B25" s="2546">
        <f>基本情况!B12</f>
        <v>0</v>
      </c>
      <c r="C25" s="2514" t="s">
        <v>7334</v>
      </c>
      <c r="D25" s="2521"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59765625" defaultRowHeight="12"/>
  <cols>
    <col min="1" max="1" width="16.19921875" style="2478" customWidth="1"/>
    <col min="2" max="2" width="15.19921875" style="2478" customWidth="1"/>
    <col min="3" max="3" width="15" style="2478" customWidth="1"/>
    <col min="4" max="4" width="14.69921875" style="2478" customWidth="1"/>
    <col min="5" max="5" width="15" style="2478" customWidth="1"/>
    <col min="6" max="6" width="17.19921875" style="2478" customWidth="1"/>
    <col min="7" max="256" width="19.59765625" style="2478"/>
    <col min="257" max="257" width="16.19921875" style="2478" customWidth="1"/>
    <col min="258" max="258" width="15.19921875" style="2478" customWidth="1"/>
    <col min="259" max="259" width="15" style="2478" customWidth="1"/>
    <col min="260" max="260" width="14.69921875" style="2478" customWidth="1"/>
    <col min="261" max="261" width="15" style="2478" customWidth="1"/>
    <col min="262" max="262" width="17.19921875" style="2478" customWidth="1"/>
    <col min="263" max="512" width="19.59765625" style="2478"/>
    <col min="513" max="513" width="16.19921875" style="2478" customWidth="1"/>
    <col min="514" max="514" width="15.19921875" style="2478" customWidth="1"/>
    <col min="515" max="515" width="15" style="2478" customWidth="1"/>
    <col min="516" max="516" width="14.69921875" style="2478" customWidth="1"/>
    <col min="517" max="517" width="15" style="2478" customWidth="1"/>
    <col min="518" max="518" width="17.19921875" style="2478" customWidth="1"/>
    <col min="519" max="768" width="19.59765625" style="2478"/>
    <col min="769" max="769" width="16.19921875" style="2478" customWidth="1"/>
    <col min="770" max="770" width="15.19921875" style="2478" customWidth="1"/>
    <col min="771" max="771" width="15" style="2478" customWidth="1"/>
    <col min="772" max="772" width="14.69921875" style="2478" customWidth="1"/>
    <col min="773" max="773" width="15" style="2478" customWidth="1"/>
    <col min="774" max="774" width="17.19921875" style="2478" customWidth="1"/>
    <col min="775" max="1024" width="19.59765625" style="2478"/>
    <col min="1025" max="1025" width="16.19921875" style="2478" customWidth="1"/>
    <col min="1026" max="1026" width="15.19921875" style="2478" customWidth="1"/>
    <col min="1027" max="1027" width="15" style="2478" customWidth="1"/>
    <col min="1028" max="1028" width="14.69921875" style="2478" customWidth="1"/>
    <col min="1029" max="1029" width="15" style="2478" customWidth="1"/>
    <col min="1030" max="1030" width="17.19921875" style="2478" customWidth="1"/>
    <col min="1031" max="1280" width="19.59765625" style="2478"/>
    <col min="1281" max="1281" width="16.19921875" style="2478" customWidth="1"/>
    <col min="1282" max="1282" width="15.19921875" style="2478" customWidth="1"/>
    <col min="1283" max="1283" width="15" style="2478" customWidth="1"/>
    <col min="1284" max="1284" width="14.69921875" style="2478" customWidth="1"/>
    <col min="1285" max="1285" width="15" style="2478" customWidth="1"/>
    <col min="1286" max="1286" width="17.19921875" style="2478" customWidth="1"/>
    <col min="1287" max="1536" width="19.59765625" style="2478"/>
    <col min="1537" max="1537" width="16.19921875" style="2478" customWidth="1"/>
    <col min="1538" max="1538" width="15.19921875" style="2478" customWidth="1"/>
    <col min="1539" max="1539" width="15" style="2478" customWidth="1"/>
    <col min="1540" max="1540" width="14.69921875" style="2478" customWidth="1"/>
    <col min="1541" max="1541" width="15" style="2478" customWidth="1"/>
    <col min="1542" max="1542" width="17.19921875" style="2478" customWidth="1"/>
    <col min="1543" max="1792" width="19.59765625" style="2478"/>
    <col min="1793" max="1793" width="16.19921875" style="2478" customWidth="1"/>
    <col min="1794" max="1794" width="15.19921875" style="2478" customWidth="1"/>
    <col min="1795" max="1795" width="15" style="2478" customWidth="1"/>
    <col min="1796" max="1796" width="14.69921875" style="2478" customWidth="1"/>
    <col min="1797" max="1797" width="15" style="2478" customWidth="1"/>
    <col min="1798" max="1798" width="17.19921875" style="2478" customWidth="1"/>
    <col min="1799" max="2048" width="19.59765625" style="2478"/>
    <col min="2049" max="2049" width="16.19921875" style="2478" customWidth="1"/>
    <col min="2050" max="2050" width="15.19921875" style="2478" customWidth="1"/>
    <col min="2051" max="2051" width="15" style="2478" customWidth="1"/>
    <col min="2052" max="2052" width="14.69921875" style="2478" customWidth="1"/>
    <col min="2053" max="2053" width="15" style="2478" customWidth="1"/>
    <col min="2054" max="2054" width="17.19921875" style="2478" customWidth="1"/>
    <col min="2055" max="2304" width="19.59765625" style="2478"/>
    <col min="2305" max="2305" width="16.19921875" style="2478" customWidth="1"/>
    <col min="2306" max="2306" width="15.19921875" style="2478" customWidth="1"/>
    <col min="2307" max="2307" width="15" style="2478" customWidth="1"/>
    <col min="2308" max="2308" width="14.69921875" style="2478" customWidth="1"/>
    <col min="2309" max="2309" width="15" style="2478" customWidth="1"/>
    <col min="2310" max="2310" width="17.19921875" style="2478" customWidth="1"/>
    <col min="2311" max="2560" width="19.59765625" style="2478"/>
    <col min="2561" max="2561" width="16.19921875" style="2478" customWidth="1"/>
    <col min="2562" max="2562" width="15.19921875" style="2478" customWidth="1"/>
    <col min="2563" max="2563" width="15" style="2478" customWidth="1"/>
    <col min="2564" max="2564" width="14.69921875" style="2478" customWidth="1"/>
    <col min="2565" max="2565" width="15" style="2478" customWidth="1"/>
    <col min="2566" max="2566" width="17.19921875" style="2478" customWidth="1"/>
    <col min="2567" max="2816" width="19.59765625" style="2478"/>
    <col min="2817" max="2817" width="16.19921875" style="2478" customWidth="1"/>
    <col min="2818" max="2818" width="15.19921875" style="2478" customWidth="1"/>
    <col min="2819" max="2819" width="15" style="2478" customWidth="1"/>
    <col min="2820" max="2820" width="14.69921875" style="2478" customWidth="1"/>
    <col min="2821" max="2821" width="15" style="2478" customWidth="1"/>
    <col min="2822" max="2822" width="17.19921875" style="2478" customWidth="1"/>
    <col min="2823" max="3072" width="19.59765625" style="2478"/>
    <col min="3073" max="3073" width="16.19921875" style="2478" customWidth="1"/>
    <col min="3074" max="3074" width="15.19921875" style="2478" customWidth="1"/>
    <col min="3075" max="3075" width="15" style="2478" customWidth="1"/>
    <col min="3076" max="3076" width="14.69921875" style="2478" customWidth="1"/>
    <col min="3077" max="3077" width="15" style="2478" customWidth="1"/>
    <col min="3078" max="3078" width="17.19921875" style="2478" customWidth="1"/>
    <col min="3079" max="3328" width="19.59765625" style="2478"/>
    <col min="3329" max="3329" width="16.19921875" style="2478" customWidth="1"/>
    <col min="3330" max="3330" width="15.19921875" style="2478" customWidth="1"/>
    <col min="3331" max="3331" width="15" style="2478" customWidth="1"/>
    <col min="3332" max="3332" width="14.69921875" style="2478" customWidth="1"/>
    <col min="3333" max="3333" width="15" style="2478" customWidth="1"/>
    <col min="3334" max="3334" width="17.19921875" style="2478" customWidth="1"/>
    <col min="3335" max="3584" width="19.59765625" style="2478"/>
    <col min="3585" max="3585" width="16.19921875" style="2478" customWidth="1"/>
    <col min="3586" max="3586" width="15.19921875" style="2478" customWidth="1"/>
    <col min="3587" max="3587" width="15" style="2478" customWidth="1"/>
    <col min="3588" max="3588" width="14.69921875" style="2478" customWidth="1"/>
    <col min="3589" max="3589" width="15" style="2478" customWidth="1"/>
    <col min="3590" max="3590" width="17.19921875" style="2478" customWidth="1"/>
    <col min="3591" max="3840" width="19.59765625" style="2478"/>
    <col min="3841" max="3841" width="16.19921875" style="2478" customWidth="1"/>
    <col min="3842" max="3842" width="15.19921875" style="2478" customWidth="1"/>
    <col min="3843" max="3843" width="15" style="2478" customWidth="1"/>
    <col min="3844" max="3844" width="14.69921875" style="2478" customWidth="1"/>
    <col min="3845" max="3845" width="15" style="2478" customWidth="1"/>
    <col min="3846" max="3846" width="17.19921875" style="2478" customWidth="1"/>
    <col min="3847" max="4096" width="19.59765625" style="2478"/>
    <col min="4097" max="4097" width="16.19921875" style="2478" customWidth="1"/>
    <col min="4098" max="4098" width="15.19921875" style="2478" customWidth="1"/>
    <col min="4099" max="4099" width="15" style="2478" customWidth="1"/>
    <col min="4100" max="4100" width="14.69921875" style="2478" customWidth="1"/>
    <col min="4101" max="4101" width="15" style="2478" customWidth="1"/>
    <col min="4102" max="4102" width="17.19921875" style="2478" customWidth="1"/>
    <col min="4103" max="4352" width="19.59765625" style="2478"/>
    <col min="4353" max="4353" width="16.19921875" style="2478" customWidth="1"/>
    <col min="4354" max="4354" width="15.19921875" style="2478" customWidth="1"/>
    <col min="4355" max="4355" width="15" style="2478" customWidth="1"/>
    <col min="4356" max="4356" width="14.69921875" style="2478" customWidth="1"/>
    <col min="4357" max="4357" width="15" style="2478" customWidth="1"/>
    <col min="4358" max="4358" width="17.19921875" style="2478" customWidth="1"/>
    <col min="4359" max="4608" width="19.59765625" style="2478"/>
    <col min="4609" max="4609" width="16.19921875" style="2478" customWidth="1"/>
    <col min="4610" max="4610" width="15.19921875" style="2478" customWidth="1"/>
    <col min="4611" max="4611" width="15" style="2478" customWidth="1"/>
    <col min="4612" max="4612" width="14.69921875" style="2478" customWidth="1"/>
    <col min="4613" max="4613" width="15" style="2478" customWidth="1"/>
    <col min="4614" max="4614" width="17.19921875" style="2478" customWidth="1"/>
    <col min="4615" max="4864" width="19.59765625" style="2478"/>
    <col min="4865" max="4865" width="16.19921875" style="2478" customWidth="1"/>
    <col min="4866" max="4866" width="15.19921875" style="2478" customWidth="1"/>
    <col min="4867" max="4867" width="15" style="2478" customWidth="1"/>
    <col min="4868" max="4868" width="14.69921875" style="2478" customWidth="1"/>
    <col min="4869" max="4869" width="15" style="2478" customWidth="1"/>
    <col min="4870" max="4870" width="17.19921875" style="2478" customWidth="1"/>
    <col min="4871" max="5120" width="19.59765625" style="2478"/>
    <col min="5121" max="5121" width="16.19921875" style="2478" customWidth="1"/>
    <col min="5122" max="5122" width="15.19921875" style="2478" customWidth="1"/>
    <col min="5123" max="5123" width="15" style="2478" customWidth="1"/>
    <col min="5124" max="5124" width="14.69921875" style="2478" customWidth="1"/>
    <col min="5125" max="5125" width="15" style="2478" customWidth="1"/>
    <col min="5126" max="5126" width="17.19921875" style="2478" customWidth="1"/>
    <col min="5127" max="5376" width="19.59765625" style="2478"/>
    <col min="5377" max="5377" width="16.19921875" style="2478" customWidth="1"/>
    <col min="5378" max="5378" width="15.19921875" style="2478" customWidth="1"/>
    <col min="5379" max="5379" width="15" style="2478" customWidth="1"/>
    <col min="5380" max="5380" width="14.69921875" style="2478" customWidth="1"/>
    <col min="5381" max="5381" width="15" style="2478" customWidth="1"/>
    <col min="5382" max="5382" width="17.19921875" style="2478" customWidth="1"/>
    <col min="5383" max="5632" width="19.59765625" style="2478"/>
    <col min="5633" max="5633" width="16.19921875" style="2478" customWidth="1"/>
    <col min="5634" max="5634" width="15.19921875" style="2478" customWidth="1"/>
    <col min="5635" max="5635" width="15" style="2478" customWidth="1"/>
    <col min="5636" max="5636" width="14.69921875" style="2478" customWidth="1"/>
    <col min="5637" max="5637" width="15" style="2478" customWidth="1"/>
    <col min="5638" max="5638" width="17.19921875" style="2478" customWidth="1"/>
    <col min="5639" max="5888" width="19.59765625" style="2478"/>
    <col min="5889" max="5889" width="16.19921875" style="2478" customWidth="1"/>
    <col min="5890" max="5890" width="15.19921875" style="2478" customWidth="1"/>
    <col min="5891" max="5891" width="15" style="2478" customWidth="1"/>
    <col min="5892" max="5892" width="14.69921875" style="2478" customWidth="1"/>
    <col min="5893" max="5893" width="15" style="2478" customWidth="1"/>
    <col min="5894" max="5894" width="17.19921875" style="2478" customWidth="1"/>
    <col min="5895" max="6144" width="19.59765625" style="2478"/>
    <col min="6145" max="6145" width="16.19921875" style="2478" customWidth="1"/>
    <col min="6146" max="6146" width="15.19921875" style="2478" customWidth="1"/>
    <col min="6147" max="6147" width="15" style="2478" customWidth="1"/>
    <col min="6148" max="6148" width="14.69921875" style="2478" customWidth="1"/>
    <col min="6149" max="6149" width="15" style="2478" customWidth="1"/>
    <col min="6150" max="6150" width="17.19921875" style="2478" customWidth="1"/>
    <col min="6151" max="6400" width="19.59765625" style="2478"/>
    <col min="6401" max="6401" width="16.19921875" style="2478" customWidth="1"/>
    <col min="6402" max="6402" width="15.19921875" style="2478" customWidth="1"/>
    <col min="6403" max="6403" width="15" style="2478" customWidth="1"/>
    <col min="6404" max="6404" width="14.69921875" style="2478" customWidth="1"/>
    <col min="6405" max="6405" width="15" style="2478" customWidth="1"/>
    <col min="6406" max="6406" width="17.19921875" style="2478" customWidth="1"/>
    <col min="6407" max="6656" width="19.59765625" style="2478"/>
    <col min="6657" max="6657" width="16.19921875" style="2478" customWidth="1"/>
    <col min="6658" max="6658" width="15.19921875" style="2478" customWidth="1"/>
    <col min="6659" max="6659" width="15" style="2478" customWidth="1"/>
    <col min="6660" max="6660" width="14.69921875" style="2478" customWidth="1"/>
    <col min="6661" max="6661" width="15" style="2478" customWidth="1"/>
    <col min="6662" max="6662" width="17.19921875" style="2478" customWidth="1"/>
    <col min="6663" max="6912" width="19.59765625" style="2478"/>
    <col min="6913" max="6913" width="16.19921875" style="2478" customWidth="1"/>
    <col min="6914" max="6914" width="15.19921875" style="2478" customWidth="1"/>
    <col min="6915" max="6915" width="15" style="2478" customWidth="1"/>
    <col min="6916" max="6916" width="14.69921875" style="2478" customWidth="1"/>
    <col min="6917" max="6917" width="15" style="2478" customWidth="1"/>
    <col min="6918" max="6918" width="17.19921875" style="2478" customWidth="1"/>
    <col min="6919" max="7168" width="19.59765625" style="2478"/>
    <col min="7169" max="7169" width="16.19921875" style="2478" customWidth="1"/>
    <col min="7170" max="7170" width="15.19921875" style="2478" customWidth="1"/>
    <col min="7171" max="7171" width="15" style="2478" customWidth="1"/>
    <col min="7172" max="7172" width="14.69921875" style="2478" customWidth="1"/>
    <col min="7173" max="7173" width="15" style="2478" customWidth="1"/>
    <col min="7174" max="7174" width="17.19921875" style="2478" customWidth="1"/>
    <col min="7175" max="7424" width="19.59765625" style="2478"/>
    <col min="7425" max="7425" width="16.19921875" style="2478" customWidth="1"/>
    <col min="7426" max="7426" width="15.19921875" style="2478" customWidth="1"/>
    <col min="7427" max="7427" width="15" style="2478" customWidth="1"/>
    <col min="7428" max="7428" width="14.69921875" style="2478" customWidth="1"/>
    <col min="7429" max="7429" width="15" style="2478" customWidth="1"/>
    <col min="7430" max="7430" width="17.19921875" style="2478" customWidth="1"/>
    <col min="7431" max="7680" width="19.59765625" style="2478"/>
    <col min="7681" max="7681" width="16.19921875" style="2478" customWidth="1"/>
    <col min="7682" max="7682" width="15.19921875" style="2478" customWidth="1"/>
    <col min="7683" max="7683" width="15" style="2478" customWidth="1"/>
    <col min="7684" max="7684" width="14.69921875" style="2478" customWidth="1"/>
    <col min="7685" max="7685" width="15" style="2478" customWidth="1"/>
    <col min="7686" max="7686" width="17.19921875" style="2478" customWidth="1"/>
    <col min="7687" max="7936" width="19.59765625" style="2478"/>
    <col min="7937" max="7937" width="16.19921875" style="2478" customWidth="1"/>
    <col min="7938" max="7938" width="15.19921875" style="2478" customWidth="1"/>
    <col min="7939" max="7939" width="15" style="2478" customWidth="1"/>
    <col min="7940" max="7940" width="14.69921875" style="2478" customWidth="1"/>
    <col min="7941" max="7941" width="15" style="2478" customWidth="1"/>
    <col min="7942" max="7942" width="17.19921875" style="2478" customWidth="1"/>
    <col min="7943" max="8192" width="19.59765625" style="2478"/>
    <col min="8193" max="8193" width="16.19921875" style="2478" customWidth="1"/>
    <col min="8194" max="8194" width="15.19921875" style="2478" customWidth="1"/>
    <col min="8195" max="8195" width="15" style="2478" customWidth="1"/>
    <col min="8196" max="8196" width="14.69921875" style="2478" customWidth="1"/>
    <col min="8197" max="8197" width="15" style="2478" customWidth="1"/>
    <col min="8198" max="8198" width="17.19921875" style="2478" customWidth="1"/>
    <col min="8199" max="8448" width="19.59765625" style="2478"/>
    <col min="8449" max="8449" width="16.19921875" style="2478" customWidth="1"/>
    <col min="8450" max="8450" width="15.19921875" style="2478" customWidth="1"/>
    <col min="8451" max="8451" width="15" style="2478" customWidth="1"/>
    <col min="8452" max="8452" width="14.69921875" style="2478" customWidth="1"/>
    <col min="8453" max="8453" width="15" style="2478" customWidth="1"/>
    <col min="8454" max="8454" width="17.19921875" style="2478" customWidth="1"/>
    <col min="8455" max="8704" width="19.59765625" style="2478"/>
    <col min="8705" max="8705" width="16.19921875" style="2478" customWidth="1"/>
    <col min="8706" max="8706" width="15.19921875" style="2478" customWidth="1"/>
    <col min="8707" max="8707" width="15" style="2478" customWidth="1"/>
    <col min="8708" max="8708" width="14.69921875" style="2478" customWidth="1"/>
    <col min="8709" max="8709" width="15" style="2478" customWidth="1"/>
    <col min="8710" max="8710" width="17.19921875" style="2478" customWidth="1"/>
    <col min="8711" max="8960" width="19.59765625" style="2478"/>
    <col min="8961" max="8961" width="16.19921875" style="2478" customWidth="1"/>
    <col min="8962" max="8962" width="15.19921875" style="2478" customWidth="1"/>
    <col min="8963" max="8963" width="15" style="2478" customWidth="1"/>
    <col min="8964" max="8964" width="14.69921875" style="2478" customWidth="1"/>
    <col min="8965" max="8965" width="15" style="2478" customWidth="1"/>
    <col min="8966" max="8966" width="17.19921875" style="2478" customWidth="1"/>
    <col min="8967" max="9216" width="19.59765625" style="2478"/>
    <col min="9217" max="9217" width="16.19921875" style="2478" customWidth="1"/>
    <col min="9218" max="9218" width="15.19921875" style="2478" customWidth="1"/>
    <col min="9219" max="9219" width="15" style="2478" customWidth="1"/>
    <col min="9220" max="9220" width="14.69921875" style="2478" customWidth="1"/>
    <col min="9221" max="9221" width="15" style="2478" customWidth="1"/>
    <col min="9222" max="9222" width="17.19921875" style="2478" customWidth="1"/>
    <col min="9223" max="9472" width="19.59765625" style="2478"/>
    <col min="9473" max="9473" width="16.19921875" style="2478" customWidth="1"/>
    <col min="9474" max="9474" width="15.19921875" style="2478" customWidth="1"/>
    <col min="9475" max="9475" width="15" style="2478" customWidth="1"/>
    <col min="9476" max="9476" width="14.69921875" style="2478" customWidth="1"/>
    <col min="9477" max="9477" width="15" style="2478" customWidth="1"/>
    <col min="9478" max="9478" width="17.19921875" style="2478" customWidth="1"/>
    <col min="9479" max="9728" width="19.59765625" style="2478"/>
    <col min="9729" max="9729" width="16.19921875" style="2478" customWidth="1"/>
    <col min="9730" max="9730" width="15.19921875" style="2478" customWidth="1"/>
    <col min="9731" max="9731" width="15" style="2478" customWidth="1"/>
    <col min="9732" max="9732" width="14.69921875" style="2478" customWidth="1"/>
    <col min="9733" max="9733" width="15" style="2478" customWidth="1"/>
    <col min="9734" max="9734" width="17.19921875" style="2478" customWidth="1"/>
    <col min="9735" max="9984" width="19.59765625" style="2478"/>
    <col min="9985" max="9985" width="16.19921875" style="2478" customWidth="1"/>
    <col min="9986" max="9986" width="15.19921875" style="2478" customWidth="1"/>
    <col min="9987" max="9987" width="15" style="2478" customWidth="1"/>
    <col min="9988" max="9988" width="14.69921875" style="2478" customWidth="1"/>
    <col min="9989" max="9989" width="15" style="2478" customWidth="1"/>
    <col min="9990" max="9990" width="17.19921875" style="2478" customWidth="1"/>
    <col min="9991" max="10240" width="19.59765625" style="2478"/>
    <col min="10241" max="10241" width="16.19921875" style="2478" customWidth="1"/>
    <col min="10242" max="10242" width="15.19921875" style="2478" customWidth="1"/>
    <col min="10243" max="10243" width="15" style="2478" customWidth="1"/>
    <col min="10244" max="10244" width="14.69921875" style="2478" customWidth="1"/>
    <col min="10245" max="10245" width="15" style="2478" customWidth="1"/>
    <col min="10246" max="10246" width="17.19921875" style="2478" customWidth="1"/>
    <col min="10247" max="10496" width="19.59765625" style="2478"/>
    <col min="10497" max="10497" width="16.19921875" style="2478" customWidth="1"/>
    <col min="10498" max="10498" width="15.19921875" style="2478" customWidth="1"/>
    <col min="10499" max="10499" width="15" style="2478" customWidth="1"/>
    <col min="10500" max="10500" width="14.69921875" style="2478" customWidth="1"/>
    <col min="10501" max="10501" width="15" style="2478" customWidth="1"/>
    <col min="10502" max="10502" width="17.19921875" style="2478" customWidth="1"/>
    <col min="10503" max="10752" width="19.59765625" style="2478"/>
    <col min="10753" max="10753" width="16.19921875" style="2478" customWidth="1"/>
    <col min="10754" max="10754" width="15.19921875" style="2478" customWidth="1"/>
    <col min="10755" max="10755" width="15" style="2478" customWidth="1"/>
    <col min="10756" max="10756" width="14.69921875" style="2478" customWidth="1"/>
    <col min="10757" max="10757" width="15" style="2478" customWidth="1"/>
    <col min="10758" max="10758" width="17.19921875" style="2478" customWidth="1"/>
    <col min="10759" max="11008" width="19.59765625" style="2478"/>
    <col min="11009" max="11009" width="16.19921875" style="2478" customWidth="1"/>
    <col min="11010" max="11010" width="15.19921875" style="2478" customWidth="1"/>
    <col min="11011" max="11011" width="15" style="2478" customWidth="1"/>
    <col min="11012" max="11012" width="14.69921875" style="2478" customWidth="1"/>
    <col min="11013" max="11013" width="15" style="2478" customWidth="1"/>
    <col min="11014" max="11014" width="17.19921875" style="2478" customWidth="1"/>
    <col min="11015" max="11264" width="19.59765625" style="2478"/>
    <col min="11265" max="11265" width="16.19921875" style="2478" customWidth="1"/>
    <col min="11266" max="11266" width="15.19921875" style="2478" customWidth="1"/>
    <col min="11267" max="11267" width="15" style="2478" customWidth="1"/>
    <col min="11268" max="11268" width="14.69921875" style="2478" customWidth="1"/>
    <col min="11269" max="11269" width="15" style="2478" customWidth="1"/>
    <col min="11270" max="11270" width="17.19921875" style="2478" customWidth="1"/>
    <col min="11271" max="11520" width="19.59765625" style="2478"/>
    <col min="11521" max="11521" width="16.19921875" style="2478" customWidth="1"/>
    <col min="11522" max="11522" width="15.19921875" style="2478" customWidth="1"/>
    <col min="11523" max="11523" width="15" style="2478" customWidth="1"/>
    <col min="11524" max="11524" width="14.69921875" style="2478" customWidth="1"/>
    <col min="11525" max="11525" width="15" style="2478" customWidth="1"/>
    <col min="11526" max="11526" width="17.19921875" style="2478" customWidth="1"/>
    <col min="11527" max="11776" width="19.59765625" style="2478"/>
    <col min="11777" max="11777" width="16.19921875" style="2478" customWidth="1"/>
    <col min="11778" max="11778" width="15.19921875" style="2478" customWidth="1"/>
    <col min="11779" max="11779" width="15" style="2478" customWidth="1"/>
    <col min="11780" max="11780" width="14.69921875" style="2478" customWidth="1"/>
    <col min="11781" max="11781" width="15" style="2478" customWidth="1"/>
    <col min="11782" max="11782" width="17.19921875" style="2478" customWidth="1"/>
    <col min="11783" max="12032" width="19.59765625" style="2478"/>
    <col min="12033" max="12033" width="16.19921875" style="2478" customWidth="1"/>
    <col min="12034" max="12034" width="15.19921875" style="2478" customWidth="1"/>
    <col min="12035" max="12035" width="15" style="2478" customWidth="1"/>
    <col min="12036" max="12036" width="14.69921875" style="2478" customWidth="1"/>
    <col min="12037" max="12037" width="15" style="2478" customWidth="1"/>
    <col min="12038" max="12038" width="17.19921875" style="2478" customWidth="1"/>
    <col min="12039" max="12288" width="19.59765625" style="2478"/>
    <col min="12289" max="12289" width="16.19921875" style="2478" customWidth="1"/>
    <col min="12290" max="12290" width="15.19921875" style="2478" customWidth="1"/>
    <col min="12291" max="12291" width="15" style="2478" customWidth="1"/>
    <col min="12292" max="12292" width="14.69921875" style="2478" customWidth="1"/>
    <col min="12293" max="12293" width="15" style="2478" customWidth="1"/>
    <col min="12294" max="12294" width="17.19921875" style="2478" customWidth="1"/>
    <col min="12295" max="12544" width="19.59765625" style="2478"/>
    <col min="12545" max="12545" width="16.19921875" style="2478" customWidth="1"/>
    <col min="12546" max="12546" width="15.19921875" style="2478" customWidth="1"/>
    <col min="12547" max="12547" width="15" style="2478" customWidth="1"/>
    <col min="12548" max="12548" width="14.69921875" style="2478" customWidth="1"/>
    <col min="12549" max="12549" width="15" style="2478" customWidth="1"/>
    <col min="12550" max="12550" width="17.19921875" style="2478" customWidth="1"/>
    <col min="12551" max="12800" width="19.59765625" style="2478"/>
    <col min="12801" max="12801" width="16.19921875" style="2478" customWidth="1"/>
    <col min="12802" max="12802" width="15.19921875" style="2478" customWidth="1"/>
    <col min="12803" max="12803" width="15" style="2478" customWidth="1"/>
    <col min="12804" max="12804" width="14.69921875" style="2478" customWidth="1"/>
    <col min="12805" max="12805" width="15" style="2478" customWidth="1"/>
    <col min="12806" max="12806" width="17.19921875" style="2478" customWidth="1"/>
    <col min="12807" max="13056" width="19.59765625" style="2478"/>
    <col min="13057" max="13057" width="16.19921875" style="2478" customWidth="1"/>
    <col min="13058" max="13058" width="15.19921875" style="2478" customWidth="1"/>
    <col min="13059" max="13059" width="15" style="2478" customWidth="1"/>
    <col min="13060" max="13060" width="14.69921875" style="2478" customWidth="1"/>
    <col min="13061" max="13061" width="15" style="2478" customWidth="1"/>
    <col min="13062" max="13062" width="17.19921875" style="2478" customWidth="1"/>
    <col min="13063" max="13312" width="19.59765625" style="2478"/>
    <col min="13313" max="13313" width="16.19921875" style="2478" customWidth="1"/>
    <col min="13314" max="13314" width="15.19921875" style="2478" customWidth="1"/>
    <col min="13315" max="13315" width="15" style="2478" customWidth="1"/>
    <col min="13316" max="13316" width="14.69921875" style="2478" customWidth="1"/>
    <col min="13317" max="13317" width="15" style="2478" customWidth="1"/>
    <col min="13318" max="13318" width="17.19921875" style="2478" customWidth="1"/>
    <col min="13319" max="13568" width="19.59765625" style="2478"/>
    <col min="13569" max="13569" width="16.19921875" style="2478" customWidth="1"/>
    <col min="13570" max="13570" width="15.19921875" style="2478" customWidth="1"/>
    <col min="13571" max="13571" width="15" style="2478" customWidth="1"/>
    <col min="13572" max="13572" width="14.69921875" style="2478" customWidth="1"/>
    <col min="13573" max="13573" width="15" style="2478" customWidth="1"/>
    <col min="13574" max="13574" width="17.19921875" style="2478" customWidth="1"/>
    <col min="13575" max="13824" width="19.59765625" style="2478"/>
    <col min="13825" max="13825" width="16.19921875" style="2478" customWidth="1"/>
    <col min="13826" max="13826" width="15.19921875" style="2478" customWidth="1"/>
    <col min="13827" max="13827" width="15" style="2478" customWidth="1"/>
    <col min="13828" max="13828" width="14.69921875" style="2478" customWidth="1"/>
    <col min="13829" max="13829" width="15" style="2478" customWidth="1"/>
    <col min="13830" max="13830" width="17.19921875" style="2478" customWidth="1"/>
    <col min="13831" max="14080" width="19.59765625" style="2478"/>
    <col min="14081" max="14081" width="16.19921875" style="2478" customWidth="1"/>
    <col min="14082" max="14082" width="15.19921875" style="2478" customWidth="1"/>
    <col min="14083" max="14083" width="15" style="2478" customWidth="1"/>
    <col min="14084" max="14084" width="14.69921875" style="2478" customWidth="1"/>
    <col min="14085" max="14085" width="15" style="2478" customWidth="1"/>
    <col min="14086" max="14086" width="17.19921875" style="2478" customWidth="1"/>
    <col min="14087" max="14336" width="19.59765625" style="2478"/>
    <col min="14337" max="14337" width="16.19921875" style="2478" customWidth="1"/>
    <col min="14338" max="14338" width="15.19921875" style="2478" customWidth="1"/>
    <col min="14339" max="14339" width="15" style="2478" customWidth="1"/>
    <col min="14340" max="14340" width="14.69921875" style="2478" customWidth="1"/>
    <col min="14341" max="14341" width="15" style="2478" customWidth="1"/>
    <col min="14342" max="14342" width="17.19921875" style="2478" customWidth="1"/>
    <col min="14343" max="14592" width="19.59765625" style="2478"/>
    <col min="14593" max="14593" width="16.19921875" style="2478" customWidth="1"/>
    <col min="14594" max="14594" width="15.19921875" style="2478" customWidth="1"/>
    <col min="14595" max="14595" width="15" style="2478" customWidth="1"/>
    <col min="14596" max="14596" width="14.69921875" style="2478" customWidth="1"/>
    <col min="14597" max="14597" width="15" style="2478" customWidth="1"/>
    <col min="14598" max="14598" width="17.19921875" style="2478" customWidth="1"/>
    <col min="14599" max="14848" width="19.59765625" style="2478"/>
    <col min="14849" max="14849" width="16.19921875" style="2478" customWidth="1"/>
    <col min="14850" max="14850" width="15.19921875" style="2478" customWidth="1"/>
    <col min="14851" max="14851" width="15" style="2478" customWidth="1"/>
    <col min="14852" max="14852" width="14.69921875" style="2478" customWidth="1"/>
    <col min="14853" max="14853" width="15" style="2478" customWidth="1"/>
    <col min="14854" max="14854" width="17.19921875" style="2478" customWidth="1"/>
    <col min="14855" max="15104" width="19.59765625" style="2478"/>
    <col min="15105" max="15105" width="16.19921875" style="2478" customWidth="1"/>
    <col min="15106" max="15106" width="15.19921875" style="2478" customWidth="1"/>
    <col min="15107" max="15107" width="15" style="2478" customWidth="1"/>
    <col min="15108" max="15108" width="14.69921875" style="2478" customWidth="1"/>
    <col min="15109" max="15109" width="15" style="2478" customWidth="1"/>
    <col min="15110" max="15110" width="17.19921875" style="2478" customWidth="1"/>
    <col min="15111" max="15360" width="19.59765625" style="2478"/>
    <col min="15361" max="15361" width="16.19921875" style="2478" customWidth="1"/>
    <col min="15362" max="15362" width="15.19921875" style="2478" customWidth="1"/>
    <col min="15363" max="15363" width="15" style="2478" customWidth="1"/>
    <col min="15364" max="15364" width="14.69921875" style="2478" customWidth="1"/>
    <col min="15365" max="15365" width="15" style="2478" customWidth="1"/>
    <col min="15366" max="15366" width="17.19921875" style="2478" customWidth="1"/>
    <col min="15367" max="15616" width="19.59765625" style="2478"/>
    <col min="15617" max="15617" width="16.19921875" style="2478" customWidth="1"/>
    <col min="15618" max="15618" width="15.19921875" style="2478" customWidth="1"/>
    <col min="15619" max="15619" width="15" style="2478" customWidth="1"/>
    <col min="15620" max="15620" width="14.69921875" style="2478" customWidth="1"/>
    <col min="15621" max="15621" width="15" style="2478" customWidth="1"/>
    <col min="15622" max="15622" width="17.19921875" style="2478" customWidth="1"/>
    <col min="15623" max="15872" width="19.59765625" style="2478"/>
    <col min="15873" max="15873" width="16.19921875" style="2478" customWidth="1"/>
    <col min="15874" max="15874" width="15.19921875" style="2478" customWidth="1"/>
    <col min="15875" max="15875" width="15" style="2478" customWidth="1"/>
    <col min="15876" max="15876" width="14.69921875" style="2478" customWidth="1"/>
    <col min="15877" max="15877" width="15" style="2478" customWidth="1"/>
    <col min="15878" max="15878" width="17.19921875" style="2478" customWidth="1"/>
    <col min="15879" max="16128" width="19.59765625" style="2478"/>
    <col min="16129" max="16129" width="16.19921875" style="2478" customWidth="1"/>
    <col min="16130" max="16130" width="15.19921875" style="2478" customWidth="1"/>
    <col min="16131" max="16131" width="15" style="2478" customWidth="1"/>
    <col min="16132" max="16132" width="14.69921875" style="2478" customWidth="1"/>
    <col min="16133" max="16133" width="15" style="2478" customWidth="1"/>
    <col min="16134" max="16134" width="17.19921875" style="2478" customWidth="1"/>
    <col min="16135" max="16384" width="19.59765625" style="2478"/>
  </cols>
  <sheetData>
    <row r="1" spans="1:7" ht="21" customHeight="1">
      <c r="A1" s="4042" t="s">
        <v>7409</v>
      </c>
      <c r="B1" s="4043"/>
      <c r="C1" s="4043"/>
      <c r="D1" s="4043"/>
      <c r="E1" s="4043"/>
      <c r="F1" s="4044"/>
    </row>
    <row r="2" spans="1:7" ht="24" customHeight="1">
      <c r="A2" s="3101" t="s">
        <v>7418</v>
      </c>
      <c r="B2" s="3101"/>
      <c r="C2" s="3101"/>
      <c r="D2" s="3101"/>
      <c r="E2" s="3101"/>
      <c r="F2" s="3101"/>
    </row>
    <row r="3" spans="1:7" ht="25.5" customHeight="1">
      <c r="A3" s="4047" t="s">
        <v>7335</v>
      </c>
      <c r="B3" s="4047"/>
      <c r="C3" s="2504"/>
      <c r="D3" s="4047" t="s">
        <v>7336</v>
      </c>
      <c r="E3" s="4047"/>
      <c r="F3" s="4048"/>
    </row>
    <row r="4" spans="1:7" ht="25.5" customHeight="1">
      <c r="A4" s="4047" t="s">
        <v>7337</v>
      </c>
      <c r="B4" s="4047"/>
      <c r="C4" s="2504"/>
      <c r="D4" s="4047"/>
      <c r="E4" s="4047"/>
      <c r="F4" s="4048"/>
    </row>
    <row r="5" spans="1:7" ht="25.5" customHeight="1">
      <c r="A5" s="4047" t="s">
        <v>7338</v>
      </c>
      <c r="B5" s="4047"/>
      <c r="C5" s="2515" t="s">
        <v>7339</v>
      </c>
      <c r="D5" s="4047" t="s">
        <v>7340</v>
      </c>
      <c r="E5" s="4047"/>
      <c r="F5" s="2515" t="s">
        <v>7341</v>
      </c>
    </row>
    <row r="6" spans="1:7" ht="25.5" customHeight="1">
      <c r="A6" s="4047" t="s">
        <v>1255</v>
      </c>
      <c r="B6" s="4047"/>
      <c r="C6" s="2549"/>
      <c r="D6" s="4049"/>
      <c r="E6" s="4049"/>
      <c r="F6" s="2549"/>
    </row>
    <row r="7" spans="1:7" ht="25.5" customHeight="1">
      <c r="A7" s="4047" t="s">
        <v>7262</v>
      </c>
      <c r="B7" s="4047"/>
      <c r="C7" s="2549"/>
      <c r="D7" s="4049"/>
      <c r="E7" s="4049"/>
      <c r="F7" s="2549"/>
    </row>
    <row r="8" spans="1:7" ht="33.6" customHeight="1">
      <c r="A8" s="2515" t="s">
        <v>7342</v>
      </c>
      <c r="B8" s="2515" t="s">
        <v>7343</v>
      </c>
      <c r="C8" s="2515" t="s">
        <v>7344</v>
      </c>
      <c r="D8" s="2515" t="s">
        <v>7345</v>
      </c>
      <c r="E8" s="2515" t="s">
        <v>7346</v>
      </c>
      <c r="F8" s="2515" t="s">
        <v>7347</v>
      </c>
    </row>
    <row r="9" spans="1:7" ht="25.5" customHeight="1">
      <c r="A9" s="2505"/>
      <c r="B9" s="2505"/>
      <c r="C9" s="2550"/>
      <c r="D9" s="2550"/>
      <c r="E9" s="2550"/>
      <c r="F9" s="2505"/>
    </row>
    <row r="10" spans="1:7" ht="25.5" customHeight="1">
      <c r="A10" s="2505"/>
      <c r="B10" s="2505"/>
      <c r="C10" s="2550"/>
      <c r="D10" s="2550"/>
      <c r="E10" s="2550"/>
      <c r="F10" s="2505"/>
    </row>
    <row r="11" spans="1:7" ht="25.5" customHeight="1">
      <c r="A11" s="4047" t="s">
        <v>7348</v>
      </c>
      <c r="B11" s="4047"/>
      <c r="C11" s="2505"/>
      <c r="D11" s="4047" t="s">
        <v>7349</v>
      </c>
      <c r="E11" s="4047"/>
      <c r="F11" s="4048"/>
      <c r="G11" s="4050" t="s">
        <v>7350</v>
      </c>
    </row>
    <row r="12" spans="1:7" ht="25.5" customHeight="1">
      <c r="A12" s="4047" t="s">
        <v>7351</v>
      </c>
      <c r="B12" s="4047"/>
      <c r="C12" s="2505"/>
      <c r="D12" s="4047"/>
      <c r="E12" s="4047"/>
      <c r="F12" s="4048"/>
      <c r="G12" s="4051"/>
    </row>
    <row r="13" spans="1:7" ht="25.5" customHeight="1">
      <c r="A13" s="4047" t="s">
        <v>7352</v>
      </c>
      <c r="B13" s="4047"/>
      <c r="C13" s="2515" t="s">
        <v>7339</v>
      </c>
      <c r="D13" s="4047" t="s">
        <v>7340</v>
      </c>
      <c r="E13" s="4047"/>
      <c r="F13" s="2515" t="s">
        <v>7341</v>
      </c>
      <c r="G13" s="4051"/>
    </row>
    <row r="14" spans="1:7" ht="25.5" customHeight="1">
      <c r="A14" s="4047" t="s">
        <v>1255</v>
      </c>
      <c r="B14" s="4047"/>
      <c r="C14" s="2550"/>
      <c r="D14" s="4052"/>
      <c r="E14" s="4052"/>
      <c r="F14" s="2550"/>
      <c r="G14" s="4051"/>
    </row>
    <row r="15" spans="1:7" ht="25.5" customHeight="1">
      <c r="A15" s="4047" t="s">
        <v>7262</v>
      </c>
      <c r="B15" s="4047"/>
      <c r="C15" s="2550"/>
      <c r="D15" s="4049"/>
      <c r="E15" s="4049"/>
      <c r="F15" s="2550"/>
      <c r="G15" s="4051"/>
    </row>
    <row r="16" spans="1:7" ht="25.5" customHeight="1">
      <c r="A16" s="4047" t="s">
        <v>7353</v>
      </c>
      <c r="B16" s="4047"/>
      <c r="C16" s="2549"/>
      <c r="D16" s="4047" t="s">
        <v>7354</v>
      </c>
      <c r="E16" s="4047"/>
      <c r="F16" s="2550"/>
    </row>
    <row r="17" spans="1:6" ht="25.5" customHeight="1">
      <c r="A17" s="4047" t="s">
        <v>7315</v>
      </c>
      <c r="B17" s="4047"/>
      <c r="C17" s="2549"/>
      <c r="D17" s="4047" t="s">
        <v>7316</v>
      </c>
      <c r="E17" s="4047"/>
      <c r="F17" s="2549"/>
    </row>
    <row r="18" spans="1:6" ht="25.5" customHeight="1">
      <c r="A18" s="4047" t="s">
        <v>7317</v>
      </c>
      <c r="B18" s="4047"/>
      <c r="C18" s="2549"/>
      <c r="D18" s="4047" t="s">
        <v>7318</v>
      </c>
      <c r="E18" s="4047"/>
      <c r="F18" s="2549"/>
    </row>
    <row r="19" spans="1:6" ht="25.5" customHeight="1">
      <c r="A19" s="4047" t="s">
        <v>7265</v>
      </c>
      <c r="B19" s="4047"/>
      <c r="C19" s="4047"/>
      <c r="D19" s="4049"/>
      <c r="E19" s="4049"/>
      <c r="F19" s="4049"/>
    </row>
    <row r="20" spans="1:6" ht="25.5" customHeight="1">
      <c r="A20" s="4047" t="s">
        <v>7355</v>
      </c>
      <c r="B20" s="4047"/>
      <c r="C20" s="2549"/>
      <c r="D20" s="4047" t="s">
        <v>7356</v>
      </c>
      <c r="E20" s="4047"/>
      <c r="F20" s="2549"/>
    </row>
    <row r="21" spans="1:6" ht="25.5" customHeight="1">
      <c r="A21" s="4047" t="s">
        <v>7357</v>
      </c>
      <c r="B21" s="4047"/>
      <c r="C21" s="2549"/>
      <c r="D21" s="4047" t="s">
        <v>7358</v>
      </c>
      <c r="E21" s="4047"/>
      <c r="F21" s="2549"/>
    </row>
    <row r="22" spans="1:6" ht="25.5" customHeight="1">
      <c r="A22" s="4047" t="s">
        <v>7328</v>
      </c>
      <c r="B22" s="4047"/>
      <c r="C22" s="2549"/>
      <c r="D22" s="4047" t="s">
        <v>7329</v>
      </c>
      <c r="E22" s="4047"/>
      <c r="F22" s="2549"/>
    </row>
    <row r="23" spans="1:6" ht="25.5" customHeight="1">
      <c r="A23" s="4047" t="s">
        <v>7359</v>
      </c>
      <c r="B23" s="4047"/>
      <c r="C23" s="4047"/>
      <c r="D23" s="4047"/>
      <c r="E23" s="4047"/>
      <c r="F23" s="4047"/>
    </row>
    <row r="24" spans="1:6" ht="25.5" customHeight="1">
      <c r="A24" s="4047" t="s">
        <v>2584</v>
      </c>
      <c r="B24" s="4047"/>
      <c r="C24" s="4047" t="s">
        <v>284</v>
      </c>
      <c r="D24" s="4047"/>
      <c r="E24" s="2515" t="s">
        <v>7262</v>
      </c>
      <c r="F24" s="2515" t="s">
        <v>1255</v>
      </c>
    </row>
    <row r="25" spans="1:6" ht="25.5" customHeight="1">
      <c r="A25" s="4053"/>
      <c r="B25" s="4053"/>
      <c r="C25" s="4054"/>
      <c r="D25" s="4054"/>
      <c r="E25" s="2550"/>
      <c r="F25" s="2550"/>
    </row>
    <row r="26" spans="1:6" ht="25.5" customHeight="1">
      <c r="A26" s="4053"/>
      <c r="B26" s="4053"/>
      <c r="C26" s="4054"/>
      <c r="D26" s="4054"/>
      <c r="E26" s="2550"/>
      <c r="F26" s="2549"/>
    </row>
    <row r="27" spans="1:6" ht="25.5" customHeight="1">
      <c r="A27" s="2548" t="s">
        <v>7360</v>
      </c>
      <c r="B27" s="4055">
        <f>基本情况!B12</f>
        <v>0</v>
      </c>
      <c r="C27" s="4055"/>
      <c r="D27" s="2548" t="s">
        <v>7361</v>
      </c>
      <c r="E27" s="4055" t="str">
        <f>基本情况!B21</f>
        <v>2017年3月16日</v>
      </c>
      <c r="F27" s="3972"/>
    </row>
  </sheetData>
  <mergeCells count="46">
    <mergeCell ref="A26:B26"/>
    <mergeCell ref="C26:D26"/>
    <mergeCell ref="B27:C27"/>
    <mergeCell ref="E27:F27"/>
    <mergeCell ref="A22:B22"/>
    <mergeCell ref="D22:E22"/>
    <mergeCell ref="A23:F23"/>
    <mergeCell ref="A24:B24"/>
    <mergeCell ref="C24:D24"/>
    <mergeCell ref="A25:B25"/>
    <mergeCell ref="C25:D25"/>
    <mergeCell ref="A19:C19"/>
    <mergeCell ref="D19:F19"/>
    <mergeCell ref="A20:B20"/>
    <mergeCell ref="D20:E20"/>
    <mergeCell ref="A21:B21"/>
    <mergeCell ref="D21:E21"/>
    <mergeCell ref="A18:B18"/>
    <mergeCell ref="D18:E18"/>
    <mergeCell ref="A11:B11"/>
    <mergeCell ref="D11:E12"/>
    <mergeCell ref="F11:F12"/>
    <mergeCell ref="D15:E15"/>
    <mergeCell ref="A16:B16"/>
    <mergeCell ref="D16:E16"/>
    <mergeCell ref="A17:B17"/>
    <mergeCell ref="D17:E17"/>
    <mergeCell ref="G11:G15"/>
    <mergeCell ref="A12:B12"/>
    <mergeCell ref="A13:B13"/>
    <mergeCell ref="D13:E13"/>
    <mergeCell ref="A14:B14"/>
    <mergeCell ref="D14:E14"/>
    <mergeCell ref="A15:B15"/>
    <mergeCell ref="A5:B5"/>
    <mergeCell ref="D5:E5"/>
    <mergeCell ref="A6:B6"/>
    <mergeCell ref="D6:E6"/>
    <mergeCell ref="A7:B7"/>
    <mergeCell ref="D7:E7"/>
    <mergeCell ref="A1:F1"/>
    <mergeCell ref="A2:F2"/>
    <mergeCell ref="A3:B3"/>
    <mergeCell ref="D3:E4"/>
    <mergeCell ref="F3:F4"/>
    <mergeCell ref="A4:B4"/>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D7" sqref="D7"/>
    </sheetView>
  </sheetViews>
  <sheetFormatPr defaultColWidth="8.09765625" defaultRowHeight="12"/>
  <cols>
    <col min="1" max="1" width="8.09765625" style="2472"/>
    <col min="2" max="2" width="4.59765625" style="2472" customWidth="1"/>
    <col min="3" max="3" width="7.5" style="2472" customWidth="1"/>
    <col min="4" max="4" width="8.19921875" style="2472" customWidth="1"/>
    <col min="5" max="5" width="5.69921875" style="2472" customWidth="1"/>
    <col min="6" max="19" width="8.09765625" style="2472"/>
    <col min="20" max="20" width="30.69921875" style="2472" customWidth="1"/>
    <col min="21" max="257" width="8.09765625" style="2472"/>
    <col min="258" max="258" width="4.59765625" style="2472" customWidth="1"/>
    <col min="259" max="259" width="7.5" style="2472" customWidth="1"/>
    <col min="260" max="260" width="6.59765625" style="2472" customWidth="1"/>
    <col min="261" max="261" width="5.69921875" style="2472" customWidth="1"/>
    <col min="262" max="275" width="8.09765625" style="2472"/>
    <col min="276" max="276" width="30.69921875" style="2472" customWidth="1"/>
    <col min="277" max="513" width="8.09765625" style="2472"/>
    <col min="514" max="514" width="4.59765625" style="2472" customWidth="1"/>
    <col min="515" max="515" width="7.5" style="2472" customWidth="1"/>
    <col min="516" max="516" width="6.59765625" style="2472" customWidth="1"/>
    <col min="517" max="517" width="5.69921875" style="2472" customWidth="1"/>
    <col min="518" max="531" width="8.09765625" style="2472"/>
    <col min="532" max="532" width="30.69921875" style="2472" customWidth="1"/>
    <col min="533" max="769" width="8.09765625" style="2472"/>
    <col min="770" max="770" width="4.59765625" style="2472" customWidth="1"/>
    <col min="771" max="771" width="7.5" style="2472" customWidth="1"/>
    <col min="772" max="772" width="6.59765625" style="2472" customWidth="1"/>
    <col min="773" max="773" width="5.69921875" style="2472" customWidth="1"/>
    <col min="774" max="787" width="8.09765625" style="2472"/>
    <col min="788" max="788" width="30.69921875" style="2472" customWidth="1"/>
    <col min="789" max="1025" width="8.09765625" style="2472"/>
    <col min="1026" max="1026" width="4.59765625" style="2472" customWidth="1"/>
    <col min="1027" max="1027" width="7.5" style="2472" customWidth="1"/>
    <col min="1028" max="1028" width="6.59765625" style="2472" customWidth="1"/>
    <col min="1029" max="1029" width="5.69921875" style="2472" customWidth="1"/>
    <col min="1030" max="1043" width="8.09765625" style="2472"/>
    <col min="1044" max="1044" width="30.69921875" style="2472" customWidth="1"/>
    <col min="1045" max="1281" width="8.09765625" style="2472"/>
    <col min="1282" max="1282" width="4.59765625" style="2472" customWidth="1"/>
    <col min="1283" max="1283" width="7.5" style="2472" customWidth="1"/>
    <col min="1284" max="1284" width="6.59765625" style="2472" customWidth="1"/>
    <col min="1285" max="1285" width="5.69921875" style="2472" customWidth="1"/>
    <col min="1286" max="1299" width="8.09765625" style="2472"/>
    <col min="1300" max="1300" width="30.69921875" style="2472" customWidth="1"/>
    <col min="1301" max="1537" width="8.09765625" style="2472"/>
    <col min="1538" max="1538" width="4.59765625" style="2472" customWidth="1"/>
    <col min="1539" max="1539" width="7.5" style="2472" customWidth="1"/>
    <col min="1540" max="1540" width="6.59765625" style="2472" customWidth="1"/>
    <col min="1541" max="1541" width="5.69921875" style="2472" customWidth="1"/>
    <col min="1542" max="1555" width="8.09765625" style="2472"/>
    <col min="1556" max="1556" width="30.69921875" style="2472" customWidth="1"/>
    <col min="1557" max="1793" width="8.09765625" style="2472"/>
    <col min="1794" max="1794" width="4.59765625" style="2472" customWidth="1"/>
    <col min="1795" max="1795" width="7.5" style="2472" customWidth="1"/>
    <col min="1796" max="1796" width="6.59765625" style="2472" customWidth="1"/>
    <col min="1797" max="1797" width="5.69921875" style="2472" customWidth="1"/>
    <col min="1798" max="1811" width="8.09765625" style="2472"/>
    <col min="1812" max="1812" width="30.69921875" style="2472" customWidth="1"/>
    <col min="1813" max="2049" width="8.09765625" style="2472"/>
    <col min="2050" max="2050" width="4.59765625" style="2472" customWidth="1"/>
    <col min="2051" max="2051" width="7.5" style="2472" customWidth="1"/>
    <col min="2052" max="2052" width="6.59765625" style="2472" customWidth="1"/>
    <col min="2053" max="2053" width="5.69921875" style="2472" customWidth="1"/>
    <col min="2054" max="2067" width="8.09765625" style="2472"/>
    <col min="2068" max="2068" width="30.69921875" style="2472" customWidth="1"/>
    <col min="2069" max="2305" width="8.09765625" style="2472"/>
    <col min="2306" max="2306" width="4.59765625" style="2472" customWidth="1"/>
    <col min="2307" max="2307" width="7.5" style="2472" customWidth="1"/>
    <col min="2308" max="2308" width="6.59765625" style="2472" customWidth="1"/>
    <col min="2309" max="2309" width="5.69921875" style="2472" customWidth="1"/>
    <col min="2310" max="2323" width="8.09765625" style="2472"/>
    <col min="2324" max="2324" width="30.69921875" style="2472" customWidth="1"/>
    <col min="2325" max="2561" width="8.09765625" style="2472"/>
    <col min="2562" max="2562" width="4.59765625" style="2472" customWidth="1"/>
    <col min="2563" max="2563" width="7.5" style="2472" customWidth="1"/>
    <col min="2564" max="2564" width="6.59765625" style="2472" customWidth="1"/>
    <col min="2565" max="2565" width="5.69921875" style="2472" customWidth="1"/>
    <col min="2566" max="2579" width="8.09765625" style="2472"/>
    <col min="2580" max="2580" width="30.69921875" style="2472" customWidth="1"/>
    <col min="2581" max="2817" width="8.09765625" style="2472"/>
    <col min="2818" max="2818" width="4.59765625" style="2472" customWidth="1"/>
    <col min="2819" max="2819" width="7.5" style="2472" customWidth="1"/>
    <col min="2820" max="2820" width="6.59765625" style="2472" customWidth="1"/>
    <col min="2821" max="2821" width="5.69921875" style="2472" customWidth="1"/>
    <col min="2822" max="2835" width="8.09765625" style="2472"/>
    <col min="2836" max="2836" width="30.69921875" style="2472" customWidth="1"/>
    <col min="2837" max="3073" width="8.09765625" style="2472"/>
    <col min="3074" max="3074" width="4.59765625" style="2472" customWidth="1"/>
    <col min="3075" max="3075" width="7.5" style="2472" customWidth="1"/>
    <col min="3076" max="3076" width="6.59765625" style="2472" customWidth="1"/>
    <col min="3077" max="3077" width="5.69921875" style="2472" customWidth="1"/>
    <col min="3078" max="3091" width="8.09765625" style="2472"/>
    <col min="3092" max="3092" width="30.69921875" style="2472" customWidth="1"/>
    <col min="3093" max="3329" width="8.09765625" style="2472"/>
    <col min="3330" max="3330" width="4.59765625" style="2472" customWidth="1"/>
    <col min="3331" max="3331" width="7.5" style="2472" customWidth="1"/>
    <col min="3332" max="3332" width="6.59765625" style="2472" customWidth="1"/>
    <col min="3333" max="3333" width="5.69921875" style="2472" customWidth="1"/>
    <col min="3334" max="3347" width="8.09765625" style="2472"/>
    <col min="3348" max="3348" width="30.69921875" style="2472" customWidth="1"/>
    <col min="3349" max="3585" width="8.09765625" style="2472"/>
    <col min="3586" max="3586" width="4.59765625" style="2472" customWidth="1"/>
    <col min="3587" max="3587" width="7.5" style="2472" customWidth="1"/>
    <col min="3588" max="3588" width="6.59765625" style="2472" customWidth="1"/>
    <col min="3589" max="3589" width="5.69921875" style="2472" customWidth="1"/>
    <col min="3590" max="3603" width="8.09765625" style="2472"/>
    <col min="3604" max="3604" width="30.69921875" style="2472" customWidth="1"/>
    <col min="3605" max="3841" width="8.09765625" style="2472"/>
    <col min="3842" max="3842" width="4.59765625" style="2472" customWidth="1"/>
    <col min="3843" max="3843" width="7.5" style="2472" customWidth="1"/>
    <col min="3844" max="3844" width="6.59765625" style="2472" customWidth="1"/>
    <col min="3845" max="3845" width="5.69921875" style="2472" customWidth="1"/>
    <col min="3846" max="3859" width="8.09765625" style="2472"/>
    <col min="3860" max="3860" width="30.69921875" style="2472" customWidth="1"/>
    <col min="3861" max="4097" width="8.09765625" style="2472"/>
    <col min="4098" max="4098" width="4.59765625" style="2472" customWidth="1"/>
    <col min="4099" max="4099" width="7.5" style="2472" customWidth="1"/>
    <col min="4100" max="4100" width="6.59765625" style="2472" customWidth="1"/>
    <col min="4101" max="4101" width="5.69921875" style="2472" customWidth="1"/>
    <col min="4102" max="4115" width="8.09765625" style="2472"/>
    <col min="4116" max="4116" width="30.69921875" style="2472" customWidth="1"/>
    <col min="4117" max="4353" width="8.09765625" style="2472"/>
    <col min="4354" max="4354" width="4.59765625" style="2472" customWidth="1"/>
    <col min="4355" max="4355" width="7.5" style="2472" customWidth="1"/>
    <col min="4356" max="4356" width="6.59765625" style="2472" customWidth="1"/>
    <col min="4357" max="4357" width="5.69921875" style="2472" customWidth="1"/>
    <col min="4358" max="4371" width="8.09765625" style="2472"/>
    <col min="4372" max="4372" width="30.69921875" style="2472" customWidth="1"/>
    <col min="4373" max="4609" width="8.09765625" style="2472"/>
    <col min="4610" max="4610" width="4.59765625" style="2472" customWidth="1"/>
    <col min="4611" max="4611" width="7.5" style="2472" customWidth="1"/>
    <col min="4612" max="4612" width="6.59765625" style="2472" customWidth="1"/>
    <col min="4613" max="4613" width="5.69921875" style="2472" customWidth="1"/>
    <col min="4614" max="4627" width="8.09765625" style="2472"/>
    <col min="4628" max="4628" width="30.69921875" style="2472" customWidth="1"/>
    <col min="4629" max="4865" width="8.09765625" style="2472"/>
    <col min="4866" max="4866" width="4.59765625" style="2472" customWidth="1"/>
    <col min="4867" max="4867" width="7.5" style="2472" customWidth="1"/>
    <col min="4868" max="4868" width="6.59765625" style="2472" customWidth="1"/>
    <col min="4869" max="4869" width="5.69921875" style="2472" customWidth="1"/>
    <col min="4870" max="4883" width="8.09765625" style="2472"/>
    <col min="4884" max="4884" width="30.69921875" style="2472" customWidth="1"/>
    <col min="4885" max="5121" width="8.09765625" style="2472"/>
    <col min="5122" max="5122" width="4.59765625" style="2472" customWidth="1"/>
    <col min="5123" max="5123" width="7.5" style="2472" customWidth="1"/>
    <col min="5124" max="5124" width="6.59765625" style="2472" customWidth="1"/>
    <col min="5125" max="5125" width="5.69921875" style="2472" customWidth="1"/>
    <col min="5126" max="5139" width="8.09765625" style="2472"/>
    <col min="5140" max="5140" width="30.69921875" style="2472" customWidth="1"/>
    <col min="5141" max="5377" width="8.09765625" style="2472"/>
    <col min="5378" max="5378" width="4.59765625" style="2472" customWidth="1"/>
    <col min="5379" max="5379" width="7.5" style="2472" customWidth="1"/>
    <col min="5380" max="5380" width="6.59765625" style="2472" customWidth="1"/>
    <col min="5381" max="5381" width="5.69921875" style="2472" customWidth="1"/>
    <col min="5382" max="5395" width="8.09765625" style="2472"/>
    <col min="5396" max="5396" width="30.69921875" style="2472" customWidth="1"/>
    <col min="5397" max="5633" width="8.09765625" style="2472"/>
    <col min="5634" max="5634" width="4.59765625" style="2472" customWidth="1"/>
    <col min="5635" max="5635" width="7.5" style="2472" customWidth="1"/>
    <col min="5636" max="5636" width="6.59765625" style="2472" customWidth="1"/>
    <col min="5637" max="5637" width="5.69921875" style="2472" customWidth="1"/>
    <col min="5638" max="5651" width="8.09765625" style="2472"/>
    <col min="5652" max="5652" width="30.69921875" style="2472" customWidth="1"/>
    <col min="5653" max="5889" width="8.09765625" style="2472"/>
    <col min="5890" max="5890" width="4.59765625" style="2472" customWidth="1"/>
    <col min="5891" max="5891" width="7.5" style="2472" customWidth="1"/>
    <col min="5892" max="5892" width="6.59765625" style="2472" customWidth="1"/>
    <col min="5893" max="5893" width="5.69921875" style="2472" customWidth="1"/>
    <col min="5894" max="5907" width="8.09765625" style="2472"/>
    <col min="5908" max="5908" width="30.69921875" style="2472" customWidth="1"/>
    <col min="5909" max="6145" width="8.09765625" style="2472"/>
    <col min="6146" max="6146" width="4.59765625" style="2472" customWidth="1"/>
    <col min="6147" max="6147" width="7.5" style="2472" customWidth="1"/>
    <col min="6148" max="6148" width="6.59765625" style="2472" customWidth="1"/>
    <col min="6149" max="6149" width="5.69921875" style="2472" customWidth="1"/>
    <col min="6150" max="6163" width="8.09765625" style="2472"/>
    <col min="6164" max="6164" width="30.69921875" style="2472" customWidth="1"/>
    <col min="6165" max="6401" width="8.09765625" style="2472"/>
    <col min="6402" max="6402" width="4.59765625" style="2472" customWidth="1"/>
    <col min="6403" max="6403" width="7.5" style="2472" customWidth="1"/>
    <col min="6404" max="6404" width="6.59765625" style="2472" customWidth="1"/>
    <col min="6405" max="6405" width="5.69921875" style="2472" customWidth="1"/>
    <col min="6406" max="6419" width="8.09765625" style="2472"/>
    <col min="6420" max="6420" width="30.69921875" style="2472" customWidth="1"/>
    <col min="6421" max="6657" width="8.09765625" style="2472"/>
    <col min="6658" max="6658" width="4.59765625" style="2472" customWidth="1"/>
    <col min="6659" max="6659" width="7.5" style="2472" customWidth="1"/>
    <col min="6660" max="6660" width="6.59765625" style="2472" customWidth="1"/>
    <col min="6661" max="6661" width="5.69921875" style="2472" customWidth="1"/>
    <col min="6662" max="6675" width="8.09765625" style="2472"/>
    <col min="6676" max="6676" width="30.69921875" style="2472" customWidth="1"/>
    <col min="6677" max="6913" width="8.09765625" style="2472"/>
    <col min="6914" max="6914" width="4.59765625" style="2472" customWidth="1"/>
    <col min="6915" max="6915" width="7.5" style="2472" customWidth="1"/>
    <col min="6916" max="6916" width="6.59765625" style="2472" customWidth="1"/>
    <col min="6917" max="6917" width="5.69921875" style="2472" customWidth="1"/>
    <col min="6918" max="6931" width="8.09765625" style="2472"/>
    <col min="6932" max="6932" width="30.69921875" style="2472" customWidth="1"/>
    <col min="6933" max="7169" width="8.09765625" style="2472"/>
    <col min="7170" max="7170" width="4.59765625" style="2472" customWidth="1"/>
    <col min="7171" max="7171" width="7.5" style="2472" customWidth="1"/>
    <col min="7172" max="7172" width="6.59765625" style="2472" customWidth="1"/>
    <col min="7173" max="7173" width="5.69921875" style="2472" customWidth="1"/>
    <col min="7174" max="7187" width="8.09765625" style="2472"/>
    <col min="7188" max="7188" width="30.69921875" style="2472" customWidth="1"/>
    <col min="7189" max="7425" width="8.09765625" style="2472"/>
    <col min="7426" max="7426" width="4.59765625" style="2472" customWidth="1"/>
    <col min="7427" max="7427" width="7.5" style="2472" customWidth="1"/>
    <col min="7428" max="7428" width="6.59765625" style="2472" customWidth="1"/>
    <col min="7429" max="7429" width="5.69921875" style="2472" customWidth="1"/>
    <col min="7430" max="7443" width="8.09765625" style="2472"/>
    <col min="7444" max="7444" width="30.69921875" style="2472" customWidth="1"/>
    <col min="7445" max="7681" width="8.09765625" style="2472"/>
    <col min="7682" max="7682" width="4.59765625" style="2472" customWidth="1"/>
    <col min="7683" max="7683" width="7.5" style="2472" customWidth="1"/>
    <col min="7684" max="7684" width="6.59765625" style="2472" customWidth="1"/>
    <col min="7685" max="7685" width="5.69921875" style="2472" customWidth="1"/>
    <col min="7686" max="7699" width="8.09765625" style="2472"/>
    <col min="7700" max="7700" width="30.69921875" style="2472" customWidth="1"/>
    <col min="7701" max="7937" width="8.09765625" style="2472"/>
    <col min="7938" max="7938" width="4.59765625" style="2472" customWidth="1"/>
    <col min="7939" max="7939" width="7.5" style="2472" customWidth="1"/>
    <col min="7940" max="7940" width="6.59765625" style="2472" customWidth="1"/>
    <col min="7941" max="7941" width="5.69921875" style="2472" customWidth="1"/>
    <col min="7942" max="7955" width="8.09765625" style="2472"/>
    <col min="7956" max="7956" width="30.69921875" style="2472" customWidth="1"/>
    <col min="7957" max="8193" width="8.09765625" style="2472"/>
    <col min="8194" max="8194" width="4.59765625" style="2472" customWidth="1"/>
    <col min="8195" max="8195" width="7.5" style="2472" customWidth="1"/>
    <col min="8196" max="8196" width="6.59765625" style="2472" customWidth="1"/>
    <col min="8197" max="8197" width="5.69921875" style="2472" customWidth="1"/>
    <col min="8198" max="8211" width="8.09765625" style="2472"/>
    <col min="8212" max="8212" width="30.69921875" style="2472" customWidth="1"/>
    <col min="8213" max="8449" width="8.09765625" style="2472"/>
    <col min="8450" max="8450" width="4.59765625" style="2472" customWidth="1"/>
    <col min="8451" max="8451" width="7.5" style="2472" customWidth="1"/>
    <col min="8452" max="8452" width="6.59765625" style="2472" customWidth="1"/>
    <col min="8453" max="8453" width="5.69921875" style="2472" customWidth="1"/>
    <col min="8454" max="8467" width="8.09765625" style="2472"/>
    <col min="8468" max="8468" width="30.69921875" style="2472" customWidth="1"/>
    <col min="8469" max="8705" width="8.09765625" style="2472"/>
    <col min="8706" max="8706" width="4.59765625" style="2472" customWidth="1"/>
    <col min="8707" max="8707" width="7.5" style="2472" customWidth="1"/>
    <col min="8708" max="8708" width="6.59765625" style="2472" customWidth="1"/>
    <col min="8709" max="8709" width="5.69921875" style="2472" customWidth="1"/>
    <col min="8710" max="8723" width="8.09765625" style="2472"/>
    <col min="8724" max="8724" width="30.69921875" style="2472" customWidth="1"/>
    <col min="8725" max="8961" width="8.09765625" style="2472"/>
    <col min="8962" max="8962" width="4.59765625" style="2472" customWidth="1"/>
    <col min="8963" max="8963" width="7.5" style="2472" customWidth="1"/>
    <col min="8964" max="8964" width="6.59765625" style="2472" customWidth="1"/>
    <col min="8965" max="8965" width="5.69921875" style="2472" customWidth="1"/>
    <col min="8966" max="8979" width="8.09765625" style="2472"/>
    <col min="8980" max="8980" width="30.69921875" style="2472" customWidth="1"/>
    <col min="8981" max="9217" width="8.09765625" style="2472"/>
    <col min="9218" max="9218" width="4.59765625" style="2472" customWidth="1"/>
    <col min="9219" max="9219" width="7.5" style="2472" customWidth="1"/>
    <col min="9220" max="9220" width="6.59765625" style="2472" customWidth="1"/>
    <col min="9221" max="9221" width="5.69921875" style="2472" customWidth="1"/>
    <col min="9222" max="9235" width="8.09765625" style="2472"/>
    <col min="9236" max="9236" width="30.69921875" style="2472" customWidth="1"/>
    <col min="9237" max="9473" width="8.09765625" style="2472"/>
    <col min="9474" max="9474" width="4.59765625" style="2472" customWidth="1"/>
    <col min="9475" max="9475" width="7.5" style="2472" customWidth="1"/>
    <col min="9476" max="9476" width="6.59765625" style="2472" customWidth="1"/>
    <col min="9477" max="9477" width="5.69921875" style="2472" customWidth="1"/>
    <col min="9478" max="9491" width="8.09765625" style="2472"/>
    <col min="9492" max="9492" width="30.69921875" style="2472" customWidth="1"/>
    <col min="9493" max="9729" width="8.09765625" style="2472"/>
    <col min="9730" max="9730" width="4.59765625" style="2472" customWidth="1"/>
    <col min="9731" max="9731" width="7.5" style="2472" customWidth="1"/>
    <col min="9732" max="9732" width="6.59765625" style="2472" customWidth="1"/>
    <col min="9733" max="9733" width="5.69921875" style="2472" customWidth="1"/>
    <col min="9734" max="9747" width="8.09765625" style="2472"/>
    <col min="9748" max="9748" width="30.69921875" style="2472" customWidth="1"/>
    <col min="9749" max="9985" width="8.09765625" style="2472"/>
    <col min="9986" max="9986" width="4.59765625" style="2472" customWidth="1"/>
    <col min="9987" max="9987" width="7.5" style="2472" customWidth="1"/>
    <col min="9988" max="9988" width="6.59765625" style="2472" customWidth="1"/>
    <col min="9989" max="9989" width="5.69921875" style="2472" customWidth="1"/>
    <col min="9990" max="10003" width="8.09765625" style="2472"/>
    <col min="10004" max="10004" width="30.69921875" style="2472" customWidth="1"/>
    <col min="10005" max="10241" width="8.09765625" style="2472"/>
    <col min="10242" max="10242" width="4.59765625" style="2472" customWidth="1"/>
    <col min="10243" max="10243" width="7.5" style="2472" customWidth="1"/>
    <col min="10244" max="10244" width="6.59765625" style="2472" customWidth="1"/>
    <col min="10245" max="10245" width="5.69921875" style="2472" customWidth="1"/>
    <col min="10246" max="10259" width="8.09765625" style="2472"/>
    <col min="10260" max="10260" width="30.69921875" style="2472" customWidth="1"/>
    <col min="10261" max="10497" width="8.09765625" style="2472"/>
    <col min="10498" max="10498" width="4.59765625" style="2472" customWidth="1"/>
    <col min="10499" max="10499" width="7.5" style="2472" customWidth="1"/>
    <col min="10500" max="10500" width="6.59765625" style="2472" customWidth="1"/>
    <col min="10501" max="10501" width="5.69921875" style="2472" customWidth="1"/>
    <col min="10502" max="10515" width="8.09765625" style="2472"/>
    <col min="10516" max="10516" width="30.69921875" style="2472" customWidth="1"/>
    <col min="10517" max="10753" width="8.09765625" style="2472"/>
    <col min="10754" max="10754" width="4.59765625" style="2472" customWidth="1"/>
    <col min="10755" max="10755" width="7.5" style="2472" customWidth="1"/>
    <col min="10756" max="10756" width="6.59765625" style="2472" customWidth="1"/>
    <col min="10757" max="10757" width="5.69921875" style="2472" customWidth="1"/>
    <col min="10758" max="10771" width="8.09765625" style="2472"/>
    <col min="10772" max="10772" width="30.69921875" style="2472" customWidth="1"/>
    <col min="10773" max="11009" width="8.09765625" style="2472"/>
    <col min="11010" max="11010" width="4.59765625" style="2472" customWidth="1"/>
    <col min="11011" max="11011" width="7.5" style="2472" customWidth="1"/>
    <col min="11012" max="11012" width="6.59765625" style="2472" customWidth="1"/>
    <col min="11013" max="11013" width="5.69921875" style="2472" customWidth="1"/>
    <col min="11014" max="11027" width="8.09765625" style="2472"/>
    <col min="11028" max="11028" width="30.69921875" style="2472" customWidth="1"/>
    <col min="11029" max="11265" width="8.09765625" style="2472"/>
    <col min="11266" max="11266" width="4.59765625" style="2472" customWidth="1"/>
    <col min="11267" max="11267" width="7.5" style="2472" customWidth="1"/>
    <col min="11268" max="11268" width="6.59765625" style="2472" customWidth="1"/>
    <col min="11269" max="11269" width="5.69921875" style="2472" customWidth="1"/>
    <col min="11270" max="11283" width="8.09765625" style="2472"/>
    <col min="11284" max="11284" width="30.69921875" style="2472" customWidth="1"/>
    <col min="11285" max="11521" width="8.09765625" style="2472"/>
    <col min="11522" max="11522" width="4.59765625" style="2472" customWidth="1"/>
    <col min="11523" max="11523" width="7.5" style="2472" customWidth="1"/>
    <col min="11524" max="11524" width="6.59765625" style="2472" customWidth="1"/>
    <col min="11525" max="11525" width="5.69921875" style="2472" customWidth="1"/>
    <col min="11526" max="11539" width="8.09765625" style="2472"/>
    <col min="11540" max="11540" width="30.69921875" style="2472" customWidth="1"/>
    <col min="11541" max="11777" width="8.09765625" style="2472"/>
    <col min="11778" max="11778" width="4.59765625" style="2472" customWidth="1"/>
    <col min="11779" max="11779" width="7.5" style="2472" customWidth="1"/>
    <col min="11780" max="11780" width="6.59765625" style="2472" customWidth="1"/>
    <col min="11781" max="11781" width="5.69921875" style="2472" customWidth="1"/>
    <col min="11782" max="11795" width="8.09765625" style="2472"/>
    <col min="11796" max="11796" width="30.69921875" style="2472" customWidth="1"/>
    <col min="11797" max="12033" width="8.09765625" style="2472"/>
    <col min="12034" max="12034" width="4.59765625" style="2472" customWidth="1"/>
    <col min="12035" max="12035" width="7.5" style="2472" customWidth="1"/>
    <col min="12036" max="12036" width="6.59765625" style="2472" customWidth="1"/>
    <col min="12037" max="12037" width="5.69921875" style="2472" customWidth="1"/>
    <col min="12038" max="12051" width="8.09765625" style="2472"/>
    <col min="12052" max="12052" width="30.69921875" style="2472" customWidth="1"/>
    <col min="12053" max="12289" width="8.09765625" style="2472"/>
    <col min="12290" max="12290" width="4.59765625" style="2472" customWidth="1"/>
    <col min="12291" max="12291" width="7.5" style="2472" customWidth="1"/>
    <col min="12292" max="12292" width="6.59765625" style="2472" customWidth="1"/>
    <col min="12293" max="12293" width="5.69921875" style="2472" customWidth="1"/>
    <col min="12294" max="12307" width="8.09765625" style="2472"/>
    <col min="12308" max="12308" width="30.69921875" style="2472" customWidth="1"/>
    <col min="12309" max="12545" width="8.09765625" style="2472"/>
    <col min="12546" max="12546" width="4.59765625" style="2472" customWidth="1"/>
    <col min="12547" max="12547" width="7.5" style="2472" customWidth="1"/>
    <col min="12548" max="12548" width="6.59765625" style="2472" customWidth="1"/>
    <col min="12549" max="12549" width="5.69921875" style="2472" customWidth="1"/>
    <col min="12550" max="12563" width="8.09765625" style="2472"/>
    <col min="12564" max="12564" width="30.69921875" style="2472" customWidth="1"/>
    <col min="12565" max="12801" width="8.09765625" style="2472"/>
    <col min="12802" max="12802" width="4.59765625" style="2472" customWidth="1"/>
    <col min="12803" max="12803" width="7.5" style="2472" customWidth="1"/>
    <col min="12804" max="12804" width="6.59765625" style="2472" customWidth="1"/>
    <col min="12805" max="12805" width="5.69921875" style="2472" customWidth="1"/>
    <col min="12806" max="12819" width="8.09765625" style="2472"/>
    <col min="12820" max="12820" width="30.69921875" style="2472" customWidth="1"/>
    <col min="12821" max="13057" width="8.09765625" style="2472"/>
    <col min="13058" max="13058" width="4.59765625" style="2472" customWidth="1"/>
    <col min="13059" max="13059" width="7.5" style="2472" customWidth="1"/>
    <col min="13060" max="13060" width="6.59765625" style="2472" customWidth="1"/>
    <col min="13061" max="13061" width="5.69921875" style="2472" customWidth="1"/>
    <col min="13062" max="13075" width="8.09765625" style="2472"/>
    <col min="13076" max="13076" width="30.69921875" style="2472" customWidth="1"/>
    <col min="13077" max="13313" width="8.09765625" style="2472"/>
    <col min="13314" max="13314" width="4.59765625" style="2472" customWidth="1"/>
    <col min="13315" max="13315" width="7.5" style="2472" customWidth="1"/>
    <col min="13316" max="13316" width="6.59765625" style="2472" customWidth="1"/>
    <col min="13317" max="13317" width="5.69921875" style="2472" customWidth="1"/>
    <col min="13318" max="13331" width="8.09765625" style="2472"/>
    <col min="13332" max="13332" width="30.69921875" style="2472" customWidth="1"/>
    <col min="13333" max="13569" width="8.09765625" style="2472"/>
    <col min="13570" max="13570" width="4.59765625" style="2472" customWidth="1"/>
    <col min="13571" max="13571" width="7.5" style="2472" customWidth="1"/>
    <col min="13572" max="13572" width="6.59765625" style="2472" customWidth="1"/>
    <col min="13573" max="13573" width="5.69921875" style="2472" customWidth="1"/>
    <col min="13574" max="13587" width="8.09765625" style="2472"/>
    <col min="13588" max="13588" width="30.69921875" style="2472" customWidth="1"/>
    <col min="13589" max="13825" width="8.09765625" style="2472"/>
    <col min="13826" max="13826" width="4.59765625" style="2472" customWidth="1"/>
    <col min="13827" max="13827" width="7.5" style="2472" customWidth="1"/>
    <col min="13828" max="13828" width="6.59765625" style="2472" customWidth="1"/>
    <col min="13829" max="13829" width="5.69921875" style="2472" customWidth="1"/>
    <col min="13830" max="13843" width="8.09765625" style="2472"/>
    <col min="13844" max="13844" width="30.69921875" style="2472" customWidth="1"/>
    <col min="13845" max="14081" width="8.09765625" style="2472"/>
    <col min="14082" max="14082" width="4.59765625" style="2472" customWidth="1"/>
    <col min="14083" max="14083" width="7.5" style="2472" customWidth="1"/>
    <col min="14084" max="14084" width="6.59765625" style="2472" customWidth="1"/>
    <col min="14085" max="14085" width="5.69921875" style="2472" customWidth="1"/>
    <col min="14086" max="14099" width="8.09765625" style="2472"/>
    <col min="14100" max="14100" width="30.69921875" style="2472" customWidth="1"/>
    <col min="14101" max="14337" width="8.09765625" style="2472"/>
    <col min="14338" max="14338" width="4.59765625" style="2472" customWidth="1"/>
    <col min="14339" max="14339" width="7.5" style="2472" customWidth="1"/>
    <col min="14340" max="14340" width="6.59765625" style="2472" customWidth="1"/>
    <col min="14341" max="14341" width="5.69921875" style="2472" customWidth="1"/>
    <col min="14342" max="14355" width="8.09765625" style="2472"/>
    <col min="14356" max="14356" width="30.69921875" style="2472" customWidth="1"/>
    <col min="14357" max="14593" width="8.09765625" style="2472"/>
    <col min="14594" max="14594" width="4.59765625" style="2472" customWidth="1"/>
    <col min="14595" max="14595" width="7.5" style="2472" customWidth="1"/>
    <col min="14596" max="14596" width="6.59765625" style="2472" customWidth="1"/>
    <col min="14597" max="14597" width="5.69921875" style="2472" customWidth="1"/>
    <col min="14598" max="14611" width="8.09765625" style="2472"/>
    <col min="14612" max="14612" width="30.69921875" style="2472" customWidth="1"/>
    <col min="14613" max="14849" width="8.09765625" style="2472"/>
    <col min="14850" max="14850" width="4.59765625" style="2472" customWidth="1"/>
    <col min="14851" max="14851" width="7.5" style="2472" customWidth="1"/>
    <col min="14852" max="14852" width="6.59765625" style="2472" customWidth="1"/>
    <col min="14853" max="14853" width="5.69921875" style="2472" customWidth="1"/>
    <col min="14854" max="14867" width="8.09765625" style="2472"/>
    <col min="14868" max="14868" width="30.69921875" style="2472" customWidth="1"/>
    <col min="14869" max="15105" width="8.09765625" style="2472"/>
    <col min="15106" max="15106" width="4.59765625" style="2472" customWidth="1"/>
    <col min="15107" max="15107" width="7.5" style="2472" customWidth="1"/>
    <col min="15108" max="15108" width="6.59765625" style="2472" customWidth="1"/>
    <col min="15109" max="15109" width="5.69921875" style="2472" customWidth="1"/>
    <col min="15110" max="15123" width="8.09765625" style="2472"/>
    <col min="15124" max="15124" width="30.69921875" style="2472" customWidth="1"/>
    <col min="15125" max="15361" width="8.09765625" style="2472"/>
    <col min="15362" max="15362" width="4.59765625" style="2472" customWidth="1"/>
    <col min="15363" max="15363" width="7.5" style="2472" customWidth="1"/>
    <col min="15364" max="15364" width="6.59765625" style="2472" customWidth="1"/>
    <col min="15365" max="15365" width="5.69921875" style="2472" customWidth="1"/>
    <col min="15366" max="15379" width="8.09765625" style="2472"/>
    <col min="15380" max="15380" width="30.69921875" style="2472" customWidth="1"/>
    <col min="15381" max="15617" width="8.09765625" style="2472"/>
    <col min="15618" max="15618" width="4.59765625" style="2472" customWidth="1"/>
    <col min="15619" max="15619" width="7.5" style="2472" customWidth="1"/>
    <col min="15620" max="15620" width="6.59765625" style="2472" customWidth="1"/>
    <col min="15621" max="15621" width="5.69921875" style="2472" customWidth="1"/>
    <col min="15622" max="15635" width="8.09765625" style="2472"/>
    <col min="15636" max="15636" width="30.69921875" style="2472" customWidth="1"/>
    <col min="15637" max="15873" width="8.09765625" style="2472"/>
    <col min="15874" max="15874" width="4.59765625" style="2472" customWidth="1"/>
    <col min="15875" max="15875" width="7.5" style="2472" customWidth="1"/>
    <col min="15876" max="15876" width="6.59765625" style="2472" customWidth="1"/>
    <col min="15877" max="15877" width="5.69921875" style="2472" customWidth="1"/>
    <col min="15878" max="15891" width="8.09765625" style="2472"/>
    <col min="15892" max="15892" width="30.69921875" style="2472" customWidth="1"/>
    <col min="15893" max="16129" width="8.09765625" style="2472"/>
    <col min="16130" max="16130" width="4.59765625" style="2472" customWidth="1"/>
    <col min="16131" max="16131" width="7.5" style="2472" customWidth="1"/>
    <col min="16132" max="16132" width="6.59765625" style="2472" customWidth="1"/>
    <col min="16133" max="16133" width="5.69921875" style="2472" customWidth="1"/>
    <col min="16134" max="16147" width="8.09765625" style="2472"/>
    <col min="16148" max="16148" width="30.69921875" style="2472" customWidth="1"/>
    <col min="16149" max="16384" width="8.09765625" style="2472"/>
  </cols>
  <sheetData>
    <row r="1" spans="1:24" ht="15.6">
      <c r="A1" s="2552" t="s">
        <v>7410</v>
      </c>
      <c r="B1" s="2551"/>
      <c r="C1" s="2551"/>
      <c r="D1" s="2551"/>
      <c r="E1" s="2551"/>
      <c r="F1" s="2551"/>
      <c r="G1" s="2551"/>
      <c r="H1" s="2551"/>
      <c r="I1" s="2551"/>
      <c r="J1" s="2551"/>
      <c r="K1" s="2551"/>
      <c r="L1" s="2551"/>
      <c r="M1" s="2551"/>
      <c r="N1" s="2551"/>
      <c r="O1" s="2551"/>
      <c r="P1" s="2551"/>
      <c r="Q1" s="2551"/>
      <c r="R1" s="2551"/>
      <c r="S1" s="2551"/>
      <c r="T1" s="2551"/>
    </row>
    <row r="2" spans="1:24" ht="31.95" customHeight="1">
      <c r="A2" s="2729" t="s">
        <v>7362</v>
      </c>
      <c r="B2" s="2729"/>
      <c r="C2" s="2729"/>
      <c r="D2" s="2729"/>
      <c r="E2" s="2729"/>
      <c r="F2" s="2729"/>
      <c r="G2" s="2729"/>
      <c r="H2" s="2729"/>
      <c r="I2" s="2729"/>
      <c r="J2" s="2729"/>
      <c r="K2" s="2729"/>
      <c r="L2" s="2729"/>
      <c r="M2" s="2729"/>
      <c r="N2" s="2729"/>
      <c r="O2" s="2729"/>
      <c r="P2" s="2729"/>
      <c r="Q2" s="2729"/>
      <c r="R2" s="2729"/>
      <c r="S2" s="2729"/>
      <c r="T2" s="2729"/>
    </row>
    <row r="3" spans="1:24" ht="25.5" customHeight="1">
      <c r="A3" s="3980" t="s">
        <v>645</v>
      </c>
      <c r="B3" s="4036" t="s">
        <v>7363</v>
      </c>
      <c r="C3" s="4036"/>
      <c r="D3" s="4036"/>
      <c r="E3" s="4036"/>
      <c r="F3" s="4036" t="s">
        <v>7364</v>
      </c>
      <c r="G3" s="4036"/>
      <c r="H3" s="4036"/>
      <c r="I3" s="4036" t="s">
        <v>7365</v>
      </c>
      <c r="J3" s="4036"/>
      <c r="K3" s="4036"/>
      <c r="L3" s="4036"/>
      <c r="M3" s="4036"/>
      <c r="N3" s="4036" t="s">
        <v>7366</v>
      </c>
      <c r="O3" s="4036" t="s">
        <v>7367</v>
      </c>
      <c r="P3" s="4036"/>
      <c r="Q3" s="4036"/>
      <c r="R3" s="4036"/>
      <c r="S3" s="4036"/>
      <c r="T3" s="4036" t="s">
        <v>7368</v>
      </c>
    </row>
    <row r="4" spans="1:24" ht="72">
      <c r="A4" s="3980"/>
      <c r="B4" s="2530" t="s">
        <v>7369</v>
      </c>
      <c r="C4" s="2530" t="s">
        <v>1624</v>
      </c>
      <c r="D4" s="2530" t="s">
        <v>1653</v>
      </c>
      <c r="E4" s="2530" t="s">
        <v>7370</v>
      </c>
      <c r="F4" s="2530" t="s">
        <v>7262</v>
      </c>
      <c r="G4" s="2530" t="s">
        <v>7263</v>
      </c>
      <c r="H4" s="2530" t="s">
        <v>1255</v>
      </c>
      <c r="I4" s="2530" t="s">
        <v>7371</v>
      </c>
      <c r="J4" s="2530" t="s">
        <v>7372</v>
      </c>
      <c r="K4" s="2530" t="s">
        <v>7373</v>
      </c>
      <c r="L4" s="2530" t="s">
        <v>7374</v>
      </c>
      <c r="M4" s="2530" t="s">
        <v>7375</v>
      </c>
      <c r="N4" s="4036"/>
      <c r="O4" s="2530" t="s">
        <v>1348</v>
      </c>
      <c r="P4" s="2530" t="s">
        <v>1349</v>
      </c>
      <c r="Q4" s="2530" t="s">
        <v>1350</v>
      </c>
      <c r="R4" s="2530" t="s">
        <v>1351</v>
      </c>
      <c r="S4" s="2520" t="s">
        <v>1352</v>
      </c>
      <c r="T4" s="4036"/>
    </row>
    <row r="5" spans="1:24" ht="59.4" customHeight="1">
      <c r="A5" s="2520"/>
      <c r="B5" s="2520">
        <v>1</v>
      </c>
      <c r="C5" s="2520">
        <v>2</v>
      </c>
      <c r="D5" s="2520">
        <v>3</v>
      </c>
      <c r="E5" s="2520">
        <v>4</v>
      </c>
      <c r="F5" s="2520">
        <v>5</v>
      </c>
      <c r="G5" s="2520">
        <v>6</v>
      </c>
      <c r="H5" s="2520">
        <v>7</v>
      </c>
      <c r="I5" s="2520">
        <v>8</v>
      </c>
      <c r="J5" s="2520">
        <v>9</v>
      </c>
      <c r="K5" s="2520" t="s">
        <v>7376</v>
      </c>
      <c r="L5" s="2520">
        <v>11</v>
      </c>
      <c r="M5" s="2520" t="s">
        <v>7377</v>
      </c>
      <c r="N5" s="2520">
        <v>13</v>
      </c>
      <c r="O5" s="2520">
        <v>14</v>
      </c>
      <c r="P5" s="2520">
        <v>15</v>
      </c>
      <c r="Q5" s="2520">
        <v>16</v>
      </c>
      <c r="R5" s="2520">
        <v>17</v>
      </c>
      <c r="S5" s="2520" t="s">
        <v>7378</v>
      </c>
      <c r="T5" s="2530" t="s">
        <v>7379</v>
      </c>
    </row>
    <row r="6" spans="1:24" ht="25.5" customHeight="1">
      <c r="A6" s="2549"/>
      <c r="B6" s="2504"/>
      <c r="C6" s="2504"/>
      <c r="D6" s="2504"/>
      <c r="E6" s="2504"/>
      <c r="F6" s="2549"/>
      <c r="G6" s="2549"/>
      <c r="H6" s="2549"/>
      <c r="I6" s="2549"/>
      <c r="J6" s="2549"/>
      <c r="K6" s="2549"/>
      <c r="L6" s="2549"/>
      <c r="M6" s="2549"/>
      <c r="N6" s="2549"/>
      <c r="O6" s="2549"/>
      <c r="P6" s="2549"/>
      <c r="Q6" s="2549"/>
      <c r="R6" s="2549"/>
      <c r="S6" s="2549"/>
      <c r="T6" s="2549"/>
    </row>
    <row r="7" spans="1:24" ht="25.5" customHeight="1">
      <c r="A7" s="2549"/>
      <c r="B7" s="2504"/>
      <c r="C7" s="2504"/>
      <c r="D7" s="2504"/>
      <c r="E7" s="2504"/>
      <c r="F7" s="2549"/>
      <c r="G7" s="2549"/>
      <c r="H7" s="2549"/>
      <c r="I7" s="2549"/>
      <c r="J7" s="2549"/>
      <c r="K7" s="2549"/>
      <c r="L7" s="2549"/>
      <c r="M7" s="2549"/>
      <c r="N7" s="2549"/>
      <c r="O7" s="2549"/>
      <c r="P7" s="2549"/>
      <c r="Q7" s="2549"/>
      <c r="R7" s="2549"/>
      <c r="S7" s="2549"/>
      <c r="T7" s="2549"/>
    </row>
    <row r="8" spans="1:24" ht="25.5" customHeight="1">
      <c r="A8" s="2549"/>
      <c r="B8" s="2504"/>
      <c r="C8" s="2504"/>
      <c r="D8" s="2504"/>
      <c r="E8" s="2504"/>
      <c r="F8" s="2549"/>
      <c r="G8" s="2549"/>
      <c r="H8" s="2549"/>
      <c r="I8" s="2549"/>
      <c r="J8" s="2549"/>
      <c r="K8" s="2549"/>
      <c r="L8" s="2549"/>
      <c r="M8" s="2549"/>
      <c r="N8" s="2549"/>
      <c r="O8" s="2549"/>
      <c r="P8" s="2549"/>
      <c r="Q8" s="2549"/>
      <c r="R8" s="2549"/>
      <c r="S8" s="2549"/>
      <c r="T8" s="2549"/>
    </row>
    <row r="9" spans="1:24" ht="25.5" customHeight="1">
      <c r="A9" s="2498" t="s">
        <v>702</v>
      </c>
      <c r="B9" s="2530" t="s">
        <v>7380</v>
      </c>
      <c r="C9" s="2530" t="s">
        <v>7380</v>
      </c>
      <c r="D9" s="2530" t="s">
        <v>7380</v>
      </c>
      <c r="E9" s="2530" t="s">
        <v>7380</v>
      </c>
      <c r="F9" s="2553"/>
      <c r="G9" s="2553"/>
      <c r="H9" s="2553"/>
      <c r="I9" s="2530" t="s">
        <v>7380</v>
      </c>
      <c r="J9" s="2553"/>
      <c r="K9" s="2553"/>
      <c r="L9" s="2530" t="s">
        <v>7380</v>
      </c>
      <c r="M9" s="2530" t="s">
        <v>7380</v>
      </c>
      <c r="N9" s="2553"/>
      <c r="O9" s="2530" t="s">
        <v>7380</v>
      </c>
      <c r="P9" s="2530" t="s">
        <v>7380</v>
      </c>
      <c r="Q9" s="2530" t="s">
        <v>7380</v>
      </c>
      <c r="R9" s="2530" t="s">
        <v>7380</v>
      </c>
      <c r="S9" s="2553"/>
      <c r="T9" s="2553"/>
    </row>
    <row r="10" spans="1:24" s="2478" customFormat="1" ht="25.5" customHeight="1">
      <c r="A10" s="2516" t="s">
        <v>7300</v>
      </c>
      <c r="B10" s="4056">
        <f>基本情况!B12</f>
        <v>0</v>
      </c>
      <c r="C10" s="4057"/>
      <c r="D10" s="2516" t="s">
        <v>7301</v>
      </c>
      <c r="E10" s="4058" t="str">
        <f>基本情况!B21</f>
        <v>2017年3月16日</v>
      </c>
      <c r="F10" s="4057"/>
    </row>
    <row r="11" spans="1:24">
      <c r="J11" s="2484"/>
      <c r="X11" s="2478"/>
    </row>
    <row r="12" spans="1:24">
      <c r="T12" s="2475"/>
      <c r="X12" s="2478"/>
    </row>
    <row r="13" spans="1:24">
      <c r="H13" s="2475"/>
      <c r="X13" s="2478"/>
    </row>
    <row r="14" spans="1:24">
      <c r="X14" s="2478"/>
    </row>
    <row r="15" spans="1:24">
      <c r="X15" s="2478"/>
    </row>
    <row r="16" spans="1:24">
      <c r="X16" s="2478"/>
    </row>
    <row r="17" spans="24:24">
      <c r="X17" s="2478"/>
    </row>
    <row r="18" spans="24:24">
      <c r="X18" s="2478"/>
    </row>
    <row r="19" spans="24:24">
      <c r="X19" s="2478"/>
    </row>
    <row r="20" spans="24:24">
      <c r="X20" s="2478"/>
    </row>
    <row r="21" spans="24:24">
      <c r="X21" s="2478"/>
    </row>
    <row r="22" spans="24:24">
      <c r="X22" s="2478"/>
    </row>
    <row r="23" spans="24:24">
      <c r="X23" s="2478"/>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E29" sqref="E29:H29"/>
    </sheetView>
  </sheetViews>
  <sheetFormatPr defaultColWidth="10.59765625" defaultRowHeight="12"/>
  <cols>
    <col min="1" max="2" width="10.59765625" style="2472" customWidth="1"/>
    <col min="3" max="3" width="11.8984375" style="2472" customWidth="1"/>
    <col min="4" max="4" width="11.09765625" style="2472" customWidth="1"/>
    <col min="5" max="5" width="10.59765625" style="2472" customWidth="1"/>
    <col min="6" max="6" width="17.5" style="2472" customWidth="1"/>
    <col min="7" max="7" width="10.59765625" style="2472" customWidth="1"/>
    <col min="8" max="8" width="17.19921875" style="2472" customWidth="1"/>
    <col min="9" max="256" width="10.59765625" style="2472"/>
    <col min="257" max="259" width="10.59765625" style="2472" customWidth="1"/>
    <col min="260" max="260" width="11.09765625" style="2472" customWidth="1"/>
    <col min="261" max="261" width="10.59765625" style="2472" customWidth="1"/>
    <col min="262" max="262" width="17.5" style="2472" customWidth="1"/>
    <col min="263" max="263" width="10.59765625" style="2472" customWidth="1"/>
    <col min="264" max="264" width="17.19921875" style="2472" customWidth="1"/>
    <col min="265" max="512" width="10.59765625" style="2472"/>
    <col min="513" max="515" width="10.59765625" style="2472" customWidth="1"/>
    <col min="516" max="516" width="11.09765625" style="2472" customWidth="1"/>
    <col min="517" max="517" width="10.59765625" style="2472" customWidth="1"/>
    <col min="518" max="518" width="17.5" style="2472" customWidth="1"/>
    <col min="519" max="519" width="10.59765625" style="2472" customWidth="1"/>
    <col min="520" max="520" width="17.19921875" style="2472" customWidth="1"/>
    <col min="521" max="768" width="10.59765625" style="2472"/>
    <col min="769" max="771" width="10.59765625" style="2472" customWidth="1"/>
    <col min="772" max="772" width="11.09765625" style="2472" customWidth="1"/>
    <col min="773" max="773" width="10.59765625" style="2472" customWidth="1"/>
    <col min="774" max="774" width="17.5" style="2472" customWidth="1"/>
    <col min="775" max="775" width="10.59765625" style="2472" customWidth="1"/>
    <col min="776" max="776" width="17.19921875" style="2472" customWidth="1"/>
    <col min="777" max="1024" width="10.59765625" style="2472"/>
    <col min="1025" max="1027" width="10.59765625" style="2472" customWidth="1"/>
    <col min="1028" max="1028" width="11.09765625" style="2472" customWidth="1"/>
    <col min="1029" max="1029" width="10.59765625" style="2472" customWidth="1"/>
    <col min="1030" max="1030" width="17.5" style="2472" customWidth="1"/>
    <col min="1031" max="1031" width="10.59765625" style="2472" customWidth="1"/>
    <col min="1032" max="1032" width="17.19921875" style="2472" customWidth="1"/>
    <col min="1033" max="1280" width="10.59765625" style="2472"/>
    <col min="1281" max="1283" width="10.59765625" style="2472" customWidth="1"/>
    <col min="1284" max="1284" width="11.09765625" style="2472" customWidth="1"/>
    <col min="1285" max="1285" width="10.59765625" style="2472" customWidth="1"/>
    <col min="1286" max="1286" width="17.5" style="2472" customWidth="1"/>
    <col min="1287" max="1287" width="10.59765625" style="2472" customWidth="1"/>
    <col min="1288" max="1288" width="17.19921875" style="2472" customWidth="1"/>
    <col min="1289" max="1536" width="10.59765625" style="2472"/>
    <col min="1537" max="1539" width="10.59765625" style="2472" customWidth="1"/>
    <col min="1540" max="1540" width="11.09765625" style="2472" customWidth="1"/>
    <col min="1541" max="1541" width="10.59765625" style="2472" customWidth="1"/>
    <col min="1542" max="1542" width="17.5" style="2472" customWidth="1"/>
    <col min="1543" max="1543" width="10.59765625" style="2472" customWidth="1"/>
    <col min="1544" max="1544" width="17.19921875" style="2472" customWidth="1"/>
    <col min="1545" max="1792" width="10.59765625" style="2472"/>
    <col min="1793" max="1795" width="10.59765625" style="2472" customWidth="1"/>
    <col min="1796" max="1796" width="11.09765625" style="2472" customWidth="1"/>
    <col min="1797" max="1797" width="10.59765625" style="2472" customWidth="1"/>
    <col min="1798" max="1798" width="17.5" style="2472" customWidth="1"/>
    <col min="1799" max="1799" width="10.59765625" style="2472" customWidth="1"/>
    <col min="1800" max="1800" width="17.19921875" style="2472" customWidth="1"/>
    <col min="1801" max="2048" width="10.59765625" style="2472"/>
    <col min="2049" max="2051" width="10.59765625" style="2472" customWidth="1"/>
    <col min="2052" max="2052" width="11.09765625" style="2472" customWidth="1"/>
    <col min="2053" max="2053" width="10.59765625" style="2472" customWidth="1"/>
    <col min="2054" max="2054" width="17.5" style="2472" customWidth="1"/>
    <col min="2055" max="2055" width="10.59765625" style="2472" customWidth="1"/>
    <col min="2056" max="2056" width="17.19921875" style="2472" customWidth="1"/>
    <col min="2057" max="2304" width="10.59765625" style="2472"/>
    <col min="2305" max="2307" width="10.59765625" style="2472" customWidth="1"/>
    <col min="2308" max="2308" width="11.09765625" style="2472" customWidth="1"/>
    <col min="2309" max="2309" width="10.59765625" style="2472" customWidth="1"/>
    <col min="2310" max="2310" width="17.5" style="2472" customWidth="1"/>
    <col min="2311" max="2311" width="10.59765625" style="2472" customWidth="1"/>
    <col min="2312" max="2312" width="17.19921875" style="2472" customWidth="1"/>
    <col min="2313" max="2560" width="10.59765625" style="2472"/>
    <col min="2561" max="2563" width="10.59765625" style="2472" customWidth="1"/>
    <col min="2564" max="2564" width="11.09765625" style="2472" customWidth="1"/>
    <col min="2565" max="2565" width="10.59765625" style="2472" customWidth="1"/>
    <col min="2566" max="2566" width="17.5" style="2472" customWidth="1"/>
    <col min="2567" max="2567" width="10.59765625" style="2472" customWidth="1"/>
    <col min="2568" max="2568" width="17.19921875" style="2472" customWidth="1"/>
    <col min="2569" max="2816" width="10.59765625" style="2472"/>
    <col min="2817" max="2819" width="10.59765625" style="2472" customWidth="1"/>
    <col min="2820" max="2820" width="11.09765625" style="2472" customWidth="1"/>
    <col min="2821" max="2821" width="10.59765625" style="2472" customWidth="1"/>
    <col min="2822" max="2822" width="17.5" style="2472" customWidth="1"/>
    <col min="2823" max="2823" width="10.59765625" style="2472" customWidth="1"/>
    <col min="2824" max="2824" width="17.19921875" style="2472" customWidth="1"/>
    <col min="2825" max="3072" width="10.59765625" style="2472"/>
    <col min="3073" max="3075" width="10.59765625" style="2472" customWidth="1"/>
    <col min="3076" max="3076" width="11.09765625" style="2472" customWidth="1"/>
    <col min="3077" max="3077" width="10.59765625" style="2472" customWidth="1"/>
    <col min="3078" max="3078" width="17.5" style="2472" customWidth="1"/>
    <col min="3079" max="3079" width="10.59765625" style="2472" customWidth="1"/>
    <col min="3080" max="3080" width="17.19921875" style="2472" customWidth="1"/>
    <col min="3081" max="3328" width="10.59765625" style="2472"/>
    <col min="3329" max="3331" width="10.59765625" style="2472" customWidth="1"/>
    <col min="3332" max="3332" width="11.09765625" style="2472" customWidth="1"/>
    <col min="3333" max="3333" width="10.59765625" style="2472" customWidth="1"/>
    <col min="3334" max="3334" width="17.5" style="2472" customWidth="1"/>
    <col min="3335" max="3335" width="10.59765625" style="2472" customWidth="1"/>
    <col min="3336" max="3336" width="17.19921875" style="2472" customWidth="1"/>
    <col min="3337" max="3584" width="10.59765625" style="2472"/>
    <col min="3585" max="3587" width="10.59765625" style="2472" customWidth="1"/>
    <col min="3588" max="3588" width="11.09765625" style="2472" customWidth="1"/>
    <col min="3589" max="3589" width="10.59765625" style="2472" customWidth="1"/>
    <col min="3590" max="3590" width="17.5" style="2472" customWidth="1"/>
    <col min="3591" max="3591" width="10.59765625" style="2472" customWidth="1"/>
    <col min="3592" max="3592" width="17.19921875" style="2472" customWidth="1"/>
    <col min="3593" max="3840" width="10.59765625" style="2472"/>
    <col min="3841" max="3843" width="10.59765625" style="2472" customWidth="1"/>
    <col min="3844" max="3844" width="11.09765625" style="2472" customWidth="1"/>
    <col min="3845" max="3845" width="10.59765625" style="2472" customWidth="1"/>
    <col min="3846" max="3846" width="17.5" style="2472" customWidth="1"/>
    <col min="3847" max="3847" width="10.59765625" style="2472" customWidth="1"/>
    <col min="3848" max="3848" width="17.19921875" style="2472" customWidth="1"/>
    <col min="3849" max="4096" width="10.59765625" style="2472"/>
    <col min="4097" max="4099" width="10.59765625" style="2472" customWidth="1"/>
    <col min="4100" max="4100" width="11.09765625" style="2472" customWidth="1"/>
    <col min="4101" max="4101" width="10.59765625" style="2472" customWidth="1"/>
    <col min="4102" max="4102" width="17.5" style="2472" customWidth="1"/>
    <col min="4103" max="4103" width="10.59765625" style="2472" customWidth="1"/>
    <col min="4104" max="4104" width="17.19921875" style="2472" customWidth="1"/>
    <col min="4105" max="4352" width="10.59765625" style="2472"/>
    <col min="4353" max="4355" width="10.59765625" style="2472" customWidth="1"/>
    <col min="4356" max="4356" width="11.09765625" style="2472" customWidth="1"/>
    <col min="4357" max="4357" width="10.59765625" style="2472" customWidth="1"/>
    <col min="4358" max="4358" width="17.5" style="2472" customWidth="1"/>
    <col min="4359" max="4359" width="10.59765625" style="2472" customWidth="1"/>
    <col min="4360" max="4360" width="17.19921875" style="2472" customWidth="1"/>
    <col min="4361" max="4608" width="10.59765625" style="2472"/>
    <col min="4609" max="4611" width="10.59765625" style="2472" customWidth="1"/>
    <col min="4612" max="4612" width="11.09765625" style="2472" customWidth="1"/>
    <col min="4613" max="4613" width="10.59765625" style="2472" customWidth="1"/>
    <col min="4614" max="4614" width="17.5" style="2472" customWidth="1"/>
    <col min="4615" max="4615" width="10.59765625" style="2472" customWidth="1"/>
    <col min="4616" max="4616" width="17.19921875" style="2472" customWidth="1"/>
    <col min="4617" max="4864" width="10.59765625" style="2472"/>
    <col min="4865" max="4867" width="10.59765625" style="2472" customWidth="1"/>
    <col min="4868" max="4868" width="11.09765625" style="2472" customWidth="1"/>
    <col min="4869" max="4869" width="10.59765625" style="2472" customWidth="1"/>
    <col min="4870" max="4870" width="17.5" style="2472" customWidth="1"/>
    <col min="4871" max="4871" width="10.59765625" style="2472" customWidth="1"/>
    <col min="4872" max="4872" width="17.19921875" style="2472" customWidth="1"/>
    <col min="4873" max="5120" width="10.59765625" style="2472"/>
    <col min="5121" max="5123" width="10.59765625" style="2472" customWidth="1"/>
    <col min="5124" max="5124" width="11.09765625" style="2472" customWidth="1"/>
    <col min="5125" max="5125" width="10.59765625" style="2472" customWidth="1"/>
    <col min="5126" max="5126" width="17.5" style="2472" customWidth="1"/>
    <col min="5127" max="5127" width="10.59765625" style="2472" customWidth="1"/>
    <col min="5128" max="5128" width="17.19921875" style="2472" customWidth="1"/>
    <col min="5129" max="5376" width="10.59765625" style="2472"/>
    <col min="5377" max="5379" width="10.59765625" style="2472" customWidth="1"/>
    <col min="5380" max="5380" width="11.09765625" style="2472" customWidth="1"/>
    <col min="5381" max="5381" width="10.59765625" style="2472" customWidth="1"/>
    <col min="5382" max="5382" width="17.5" style="2472" customWidth="1"/>
    <col min="5383" max="5383" width="10.59765625" style="2472" customWidth="1"/>
    <col min="5384" max="5384" width="17.19921875" style="2472" customWidth="1"/>
    <col min="5385" max="5632" width="10.59765625" style="2472"/>
    <col min="5633" max="5635" width="10.59765625" style="2472" customWidth="1"/>
    <col min="5636" max="5636" width="11.09765625" style="2472" customWidth="1"/>
    <col min="5637" max="5637" width="10.59765625" style="2472" customWidth="1"/>
    <col min="5638" max="5638" width="17.5" style="2472" customWidth="1"/>
    <col min="5639" max="5639" width="10.59765625" style="2472" customWidth="1"/>
    <col min="5640" max="5640" width="17.19921875" style="2472" customWidth="1"/>
    <col min="5641" max="5888" width="10.59765625" style="2472"/>
    <col min="5889" max="5891" width="10.59765625" style="2472" customWidth="1"/>
    <col min="5892" max="5892" width="11.09765625" style="2472" customWidth="1"/>
    <col min="5893" max="5893" width="10.59765625" style="2472" customWidth="1"/>
    <col min="5894" max="5894" width="17.5" style="2472" customWidth="1"/>
    <col min="5895" max="5895" width="10.59765625" style="2472" customWidth="1"/>
    <col min="5896" max="5896" width="17.19921875" style="2472" customWidth="1"/>
    <col min="5897" max="6144" width="10.59765625" style="2472"/>
    <col min="6145" max="6147" width="10.59765625" style="2472" customWidth="1"/>
    <col min="6148" max="6148" width="11.09765625" style="2472" customWidth="1"/>
    <col min="6149" max="6149" width="10.59765625" style="2472" customWidth="1"/>
    <col min="6150" max="6150" width="17.5" style="2472" customWidth="1"/>
    <col min="6151" max="6151" width="10.59765625" style="2472" customWidth="1"/>
    <col min="6152" max="6152" width="17.19921875" style="2472" customWidth="1"/>
    <col min="6153" max="6400" width="10.59765625" style="2472"/>
    <col min="6401" max="6403" width="10.59765625" style="2472" customWidth="1"/>
    <col min="6404" max="6404" width="11.09765625" style="2472" customWidth="1"/>
    <col min="6405" max="6405" width="10.59765625" style="2472" customWidth="1"/>
    <col min="6406" max="6406" width="17.5" style="2472" customWidth="1"/>
    <col min="6407" max="6407" width="10.59765625" style="2472" customWidth="1"/>
    <col min="6408" max="6408" width="17.19921875" style="2472" customWidth="1"/>
    <col min="6409" max="6656" width="10.59765625" style="2472"/>
    <col min="6657" max="6659" width="10.59765625" style="2472" customWidth="1"/>
    <col min="6660" max="6660" width="11.09765625" style="2472" customWidth="1"/>
    <col min="6661" max="6661" width="10.59765625" style="2472" customWidth="1"/>
    <col min="6662" max="6662" width="17.5" style="2472" customWidth="1"/>
    <col min="6663" max="6663" width="10.59765625" style="2472" customWidth="1"/>
    <col min="6664" max="6664" width="17.19921875" style="2472" customWidth="1"/>
    <col min="6665" max="6912" width="10.59765625" style="2472"/>
    <col min="6913" max="6915" width="10.59765625" style="2472" customWidth="1"/>
    <col min="6916" max="6916" width="11.09765625" style="2472" customWidth="1"/>
    <col min="6917" max="6917" width="10.59765625" style="2472" customWidth="1"/>
    <col min="6918" max="6918" width="17.5" style="2472" customWidth="1"/>
    <col min="6919" max="6919" width="10.59765625" style="2472" customWidth="1"/>
    <col min="6920" max="6920" width="17.19921875" style="2472" customWidth="1"/>
    <col min="6921" max="7168" width="10.59765625" style="2472"/>
    <col min="7169" max="7171" width="10.59765625" style="2472" customWidth="1"/>
    <col min="7172" max="7172" width="11.09765625" style="2472" customWidth="1"/>
    <col min="7173" max="7173" width="10.59765625" style="2472" customWidth="1"/>
    <col min="7174" max="7174" width="17.5" style="2472" customWidth="1"/>
    <col min="7175" max="7175" width="10.59765625" style="2472" customWidth="1"/>
    <col min="7176" max="7176" width="17.19921875" style="2472" customWidth="1"/>
    <col min="7177" max="7424" width="10.59765625" style="2472"/>
    <col min="7425" max="7427" width="10.59765625" style="2472" customWidth="1"/>
    <col min="7428" max="7428" width="11.09765625" style="2472" customWidth="1"/>
    <col min="7429" max="7429" width="10.59765625" style="2472" customWidth="1"/>
    <col min="7430" max="7430" width="17.5" style="2472" customWidth="1"/>
    <col min="7431" max="7431" width="10.59765625" style="2472" customWidth="1"/>
    <col min="7432" max="7432" width="17.19921875" style="2472" customWidth="1"/>
    <col min="7433" max="7680" width="10.59765625" style="2472"/>
    <col min="7681" max="7683" width="10.59765625" style="2472" customWidth="1"/>
    <col min="7684" max="7684" width="11.09765625" style="2472" customWidth="1"/>
    <col min="7685" max="7685" width="10.59765625" style="2472" customWidth="1"/>
    <col min="7686" max="7686" width="17.5" style="2472" customWidth="1"/>
    <col min="7687" max="7687" width="10.59765625" style="2472" customWidth="1"/>
    <col min="7688" max="7688" width="17.19921875" style="2472" customWidth="1"/>
    <col min="7689" max="7936" width="10.59765625" style="2472"/>
    <col min="7937" max="7939" width="10.59765625" style="2472" customWidth="1"/>
    <col min="7940" max="7940" width="11.09765625" style="2472" customWidth="1"/>
    <col min="7941" max="7941" width="10.59765625" style="2472" customWidth="1"/>
    <col min="7942" max="7942" width="17.5" style="2472" customWidth="1"/>
    <col min="7943" max="7943" width="10.59765625" style="2472" customWidth="1"/>
    <col min="7944" max="7944" width="17.19921875" style="2472" customWidth="1"/>
    <col min="7945" max="8192" width="10.59765625" style="2472"/>
    <col min="8193" max="8195" width="10.59765625" style="2472" customWidth="1"/>
    <col min="8196" max="8196" width="11.09765625" style="2472" customWidth="1"/>
    <col min="8197" max="8197" width="10.59765625" style="2472" customWidth="1"/>
    <col min="8198" max="8198" width="17.5" style="2472" customWidth="1"/>
    <col min="8199" max="8199" width="10.59765625" style="2472" customWidth="1"/>
    <col min="8200" max="8200" width="17.19921875" style="2472" customWidth="1"/>
    <col min="8201" max="8448" width="10.59765625" style="2472"/>
    <col min="8449" max="8451" width="10.59765625" style="2472" customWidth="1"/>
    <col min="8452" max="8452" width="11.09765625" style="2472" customWidth="1"/>
    <col min="8453" max="8453" width="10.59765625" style="2472" customWidth="1"/>
    <col min="8454" max="8454" width="17.5" style="2472" customWidth="1"/>
    <col min="8455" max="8455" width="10.59765625" style="2472" customWidth="1"/>
    <col min="8456" max="8456" width="17.19921875" style="2472" customWidth="1"/>
    <col min="8457" max="8704" width="10.59765625" style="2472"/>
    <col min="8705" max="8707" width="10.59765625" style="2472" customWidth="1"/>
    <col min="8708" max="8708" width="11.09765625" style="2472" customWidth="1"/>
    <col min="8709" max="8709" width="10.59765625" style="2472" customWidth="1"/>
    <col min="8710" max="8710" width="17.5" style="2472" customWidth="1"/>
    <col min="8711" max="8711" width="10.59765625" style="2472" customWidth="1"/>
    <col min="8712" max="8712" width="17.19921875" style="2472" customWidth="1"/>
    <col min="8713" max="8960" width="10.59765625" style="2472"/>
    <col min="8961" max="8963" width="10.59765625" style="2472" customWidth="1"/>
    <col min="8964" max="8964" width="11.09765625" style="2472" customWidth="1"/>
    <col min="8965" max="8965" width="10.59765625" style="2472" customWidth="1"/>
    <col min="8966" max="8966" width="17.5" style="2472" customWidth="1"/>
    <col min="8967" max="8967" width="10.59765625" style="2472" customWidth="1"/>
    <col min="8968" max="8968" width="17.19921875" style="2472" customWidth="1"/>
    <col min="8969" max="9216" width="10.59765625" style="2472"/>
    <col min="9217" max="9219" width="10.59765625" style="2472" customWidth="1"/>
    <col min="9220" max="9220" width="11.09765625" style="2472" customWidth="1"/>
    <col min="9221" max="9221" width="10.59765625" style="2472" customWidth="1"/>
    <col min="9222" max="9222" width="17.5" style="2472" customWidth="1"/>
    <col min="9223" max="9223" width="10.59765625" style="2472" customWidth="1"/>
    <col min="9224" max="9224" width="17.19921875" style="2472" customWidth="1"/>
    <col min="9225" max="9472" width="10.59765625" style="2472"/>
    <col min="9473" max="9475" width="10.59765625" style="2472" customWidth="1"/>
    <col min="9476" max="9476" width="11.09765625" style="2472" customWidth="1"/>
    <col min="9477" max="9477" width="10.59765625" style="2472" customWidth="1"/>
    <col min="9478" max="9478" width="17.5" style="2472" customWidth="1"/>
    <col min="9479" max="9479" width="10.59765625" style="2472" customWidth="1"/>
    <col min="9480" max="9480" width="17.19921875" style="2472" customWidth="1"/>
    <col min="9481" max="9728" width="10.59765625" style="2472"/>
    <col min="9729" max="9731" width="10.59765625" style="2472" customWidth="1"/>
    <col min="9732" max="9732" width="11.09765625" style="2472" customWidth="1"/>
    <col min="9733" max="9733" width="10.59765625" style="2472" customWidth="1"/>
    <col min="9734" max="9734" width="17.5" style="2472" customWidth="1"/>
    <col min="9735" max="9735" width="10.59765625" style="2472" customWidth="1"/>
    <col min="9736" max="9736" width="17.19921875" style="2472" customWidth="1"/>
    <col min="9737" max="9984" width="10.59765625" style="2472"/>
    <col min="9985" max="9987" width="10.59765625" style="2472" customWidth="1"/>
    <col min="9988" max="9988" width="11.09765625" style="2472" customWidth="1"/>
    <col min="9989" max="9989" width="10.59765625" style="2472" customWidth="1"/>
    <col min="9990" max="9990" width="17.5" style="2472" customWidth="1"/>
    <col min="9991" max="9991" width="10.59765625" style="2472" customWidth="1"/>
    <col min="9992" max="9992" width="17.19921875" style="2472" customWidth="1"/>
    <col min="9993" max="10240" width="10.59765625" style="2472"/>
    <col min="10241" max="10243" width="10.59765625" style="2472" customWidth="1"/>
    <col min="10244" max="10244" width="11.09765625" style="2472" customWidth="1"/>
    <col min="10245" max="10245" width="10.59765625" style="2472" customWidth="1"/>
    <col min="10246" max="10246" width="17.5" style="2472" customWidth="1"/>
    <col min="10247" max="10247" width="10.59765625" style="2472" customWidth="1"/>
    <col min="10248" max="10248" width="17.19921875" style="2472" customWidth="1"/>
    <col min="10249" max="10496" width="10.59765625" style="2472"/>
    <col min="10497" max="10499" width="10.59765625" style="2472" customWidth="1"/>
    <col min="10500" max="10500" width="11.09765625" style="2472" customWidth="1"/>
    <col min="10501" max="10501" width="10.59765625" style="2472" customWidth="1"/>
    <col min="10502" max="10502" width="17.5" style="2472" customWidth="1"/>
    <col min="10503" max="10503" width="10.59765625" style="2472" customWidth="1"/>
    <col min="10504" max="10504" width="17.19921875" style="2472" customWidth="1"/>
    <col min="10505" max="10752" width="10.59765625" style="2472"/>
    <col min="10753" max="10755" width="10.59765625" style="2472" customWidth="1"/>
    <col min="10756" max="10756" width="11.09765625" style="2472" customWidth="1"/>
    <col min="10757" max="10757" width="10.59765625" style="2472" customWidth="1"/>
    <col min="10758" max="10758" width="17.5" style="2472" customWidth="1"/>
    <col min="10759" max="10759" width="10.59765625" style="2472" customWidth="1"/>
    <col min="10760" max="10760" width="17.19921875" style="2472" customWidth="1"/>
    <col min="10761" max="11008" width="10.59765625" style="2472"/>
    <col min="11009" max="11011" width="10.59765625" style="2472" customWidth="1"/>
    <col min="11012" max="11012" width="11.09765625" style="2472" customWidth="1"/>
    <col min="11013" max="11013" width="10.59765625" style="2472" customWidth="1"/>
    <col min="11014" max="11014" width="17.5" style="2472" customWidth="1"/>
    <col min="11015" max="11015" width="10.59765625" style="2472" customWidth="1"/>
    <col min="11016" max="11016" width="17.19921875" style="2472" customWidth="1"/>
    <col min="11017" max="11264" width="10.59765625" style="2472"/>
    <col min="11265" max="11267" width="10.59765625" style="2472" customWidth="1"/>
    <col min="11268" max="11268" width="11.09765625" style="2472" customWidth="1"/>
    <col min="11269" max="11269" width="10.59765625" style="2472" customWidth="1"/>
    <col min="11270" max="11270" width="17.5" style="2472" customWidth="1"/>
    <col min="11271" max="11271" width="10.59765625" style="2472" customWidth="1"/>
    <col min="11272" max="11272" width="17.19921875" style="2472" customWidth="1"/>
    <col min="11273" max="11520" width="10.59765625" style="2472"/>
    <col min="11521" max="11523" width="10.59765625" style="2472" customWidth="1"/>
    <col min="11524" max="11524" width="11.09765625" style="2472" customWidth="1"/>
    <col min="11525" max="11525" width="10.59765625" style="2472" customWidth="1"/>
    <col min="11526" max="11526" width="17.5" style="2472" customWidth="1"/>
    <col min="11527" max="11527" width="10.59765625" style="2472" customWidth="1"/>
    <col min="11528" max="11528" width="17.19921875" style="2472" customWidth="1"/>
    <col min="11529" max="11776" width="10.59765625" style="2472"/>
    <col min="11777" max="11779" width="10.59765625" style="2472" customWidth="1"/>
    <col min="11780" max="11780" width="11.09765625" style="2472" customWidth="1"/>
    <col min="11781" max="11781" width="10.59765625" style="2472" customWidth="1"/>
    <col min="11782" max="11782" width="17.5" style="2472" customWidth="1"/>
    <col min="11783" max="11783" width="10.59765625" style="2472" customWidth="1"/>
    <col min="11784" max="11784" width="17.19921875" style="2472" customWidth="1"/>
    <col min="11785" max="12032" width="10.59765625" style="2472"/>
    <col min="12033" max="12035" width="10.59765625" style="2472" customWidth="1"/>
    <col min="12036" max="12036" width="11.09765625" style="2472" customWidth="1"/>
    <col min="12037" max="12037" width="10.59765625" style="2472" customWidth="1"/>
    <col min="12038" max="12038" width="17.5" style="2472" customWidth="1"/>
    <col min="12039" max="12039" width="10.59765625" style="2472" customWidth="1"/>
    <col min="12040" max="12040" width="17.19921875" style="2472" customWidth="1"/>
    <col min="12041" max="12288" width="10.59765625" style="2472"/>
    <col min="12289" max="12291" width="10.59765625" style="2472" customWidth="1"/>
    <col min="12292" max="12292" width="11.09765625" style="2472" customWidth="1"/>
    <col min="12293" max="12293" width="10.59765625" style="2472" customWidth="1"/>
    <col min="12294" max="12294" width="17.5" style="2472" customWidth="1"/>
    <col min="12295" max="12295" width="10.59765625" style="2472" customWidth="1"/>
    <col min="12296" max="12296" width="17.19921875" style="2472" customWidth="1"/>
    <col min="12297" max="12544" width="10.59765625" style="2472"/>
    <col min="12545" max="12547" width="10.59765625" style="2472" customWidth="1"/>
    <col min="12548" max="12548" width="11.09765625" style="2472" customWidth="1"/>
    <col min="12549" max="12549" width="10.59765625" style="2472" customWidth="1"/>
    <col min="12550" max="12550" width="17.5" style="2472" customWidth="1"/>
    <col min="12551" max="12551" width="10.59765625" style="2472" customWidth="1"/>
    <col min="12552" max="12552" width="17.19921875" style="2472" customWidth="1"/>
    <col min="12553" max="12800" width="10.59765625" style="2472"/>
    <col min="12801" max="12803" width="10.59765625" style="2472" customWidth="1"/>
    <col min="12804" max="12804" width="11.09765625" style="2472" customWidth="1"/>
    <col min="12805" max="12805" width="10.59765625" style="2472" customWidth="1"/>
    <col min="12806" max="12806" width="17.5" style="2472" customWidth="1"/>
    <col min="12807" max="12807" width="10.59765625" style="2472" customWidth="1"/>
    <col min="12808" max="12808" width="17.19921875" style="2472" customWidth="1"/>
    <col min="12809" max="13056" width="10.59765625" style="2472"/>
    <col min="13057" max="13059" width="10.59765625" style="2472" customWidth="1"/>
    <col min="13060" max="13060" width="11.09765625" style="2472" customWidth="1"/>
    <col min="13061" max="13061" width="10.59765625" style="2472" customWidth="1"/>
    <col min="13062" max="13062" width="17.5" style="2472" customWidth="1"/>
    <col min="13063" max="13063" width="10.59765625" style="2472" customWidth="1"/>
    <col min="13064" max="13064" width="17.19921875" style="2472" customWidth="1"/>
    <col min="13065" max="13312" width="10.59765625" style="2472"/>
    <col min="13313" max="13315" width="10.59765625" style="2472" customWidth="1"/>
    <col min="13316" max="13316" width="11.09765625" style="2472" customWidth="1"/>
    <col min="13317" max="13317" width="10.59765625" style="2472" customWidth="1"/>
    <col min="13318" max="13318" width="17.5" style="2472" customWidth="1"/>
    <col min="13319" max="13319" width="10.59765625" style="2472" customWidth="1"/>
    <col min="13320" max="13320" width="17.19921875" style="2472" customWidth="1"/>
    <col min="13321" max="13568" width="10.59765625" style="2472"/>
    <col min="13569" max="13571" width="10.59765625" style="2472" customWidth="1"/>
    <col min="13572" max="13572" width="11.09765625" style="2472" customWidth="1"/>
    <col min="13573" max="13573" width="10.59765625" style="2472" customWidth="1"/>
    <col min="13574" max="13574" width="17.5" style="2472" customWidth="1"/>
    <col min="13575" max="13575" width="10.59765625" style="2472" customWidth="1"/>
    <col min="13576" max="13576" width="17.19921875" style="2472" customWidth="1"/>
    <col min="13577" max="13824" width="10.59765625" style="2472"/>
    <col min="13825" max="13827" width="10.59765625" style="2472" customWidth="1"/>
    <col min="13828" max="13828" width="11.09765625" style="2472" customWidth="1"/>
    <col min="13829" max="13829" width="10.59765625" style="2472" customWidth="1"/>
    <col min="13830" max="13830" width="17.5" style="2472" customWidth="1"/>
    <col min="13831" max="13831" width="10.59765625" style="2472" customWidth="1"/>
    <col min="13832" max="13832" width="17.19921875" style="2472" customWidth="1"/>
    <col min="13833" max="14080" width="10.59765625" style="2472"/>
    <col min="14081" max="14083" width="10.59765625" style="2472" customWidth="1"/>
    <col min="14084" max="14084" width="11.09765625" style="2472" customWidth="1"/>
    <col min="14085" max="14085" width="10.59765625" style="2472" customWidth="1"/>
    <col min="14086" max="14086" width="17.5" style="2472" customWidth="1"/>
    <col min="14087" max="14087" width="10.59765625" style="2472" customWidth="1"/>
    <col min="14088" max="14088" width="17.19921875" style="2472" customWidth="1"/>
    <col min="14089" max="14336" width="10.59765625" style="2472"/>
    <col min="14337" max="14339" width="10.59765625" style="2472" customWidth="1"/>
    <col min="14340" max="14340" width="11.09765625" style="2472" customWidth="1"/>
    <col min="14341" max="14341" width="10.59765625" style="2472" customWidth="1"/>
    <col min="14342" max="14342" width="17.5" style="2472" customWidth="1"/>
    <col min="14343" max="14343" width="10.59765625" style="2472" customWidth="1"/>
    <col min="14344" max="14344" width="17.19921875" style="2472" customWidth="1"/>
    <col min="14345" max="14592" width="10.59765625" style="2472"/>
    <col min="14593" max="14595" width="10.59765625" style="2472" customWidth="1"/>
    <col min="14596" max="14596" width="11.09765625" style="2472" customWidth="1"/>
    <col min="14597" max="14597" width="10.59765625" style="2472" customWidth="1"/>
    <col min="14598" max="14598" width="17.5" style="2472" customWidth="1"/>
    <col min="14599" max="14599" width="10.59765625" style="2472" customWidth="1"/>
    <col min="14600" max="14600" width="17.19921875" style="2472" customWidth="1"/>
    <col min="14601" max="14848" width="10.59765625" style="2472"/>
    <col min="14849" max="14851" width="10.59765625" style="2472" customWidth="1"/>
    <col min="14852" max="14852" width="11.09765625" style="2472" customWidth="1"/>
    <col min="14853" max="14853" width="10.59765625" style="2472" customWidth="1"/>
    <col min="14854" max="14854" width="17.5" style="2472" customWidth="1"/>
    <col min="14855" max="14855" width="10.59765625" style="2472" customWidth="1"/>
    <col min="14856" max="14856" width="17.19921875" style="2472" customWidth="1"/>
    <col min="14857" max="15104" width="10.59765625" style="2472"/>
    <col min="15105" max="15107" width="10.59765625" style="2472" customWidth="1"/>
    <col min="15108" max="15108" width="11.09765625" style="2472" customWidth="1"/>
    <col min="15109" max="15109" width="10.59765625" style="2472" customWidth="1"/>
    <col min="15110" max="15110" width="17.5" style="2472" customWidth="1"/>
    <col min="15111" max="15111" width="10.59765625" style="2472" customWidth="1"/>
    <col min="15112" max="15112" width="17.19921875" style="2472" customWidth="1"/>
    <col min="15113" max="15360" width="10.59765625" style="2472"/>
    <col min="15361" max="15363" width="10.59765625" style="2472" customWidth="1"/>
    <col min="15364" max="15364" width="11.09765625" style="2472" customWidth="1"/>
    <col min="15365" max="15365" width="10.59765625" style="2472" customWidth="1"/>
    <col min="15366" max="15366" width="17.5" style="2472" customWidth="1"/>
    <col min="15367" max="15367" width="10.59765625" style="2472" customWidth="1"/>
    <col min="15368" max="15368" width="17.19921875" style="2472" customWidth="1"/>
    <col min="15369" max="15616" width="10.59765625" style="2472"/>
    <col min="15617" max="15619" width="10.59765625" style="2472" customWidth="1"/>
    <col min="15620" max="15620" width="11.09765625" style="2472" customWidth="1"/>
    <col min="15621" max="15621" width="10.59765625" style="2472" customWidth="1"/>
    <col min="15622" max="15622" width="17.5" style="2472" customWidth="1"/>
    <col min="15623" max="15623" width="10.59765625" style="2472" customWidth="1"/>
    <col min="15624" max="15624" width="17.19921875" style="2472" customWidth="1"/>
    <col min="15625" max="15872" width="10.59765625" style="2472"/>
    <col min="15873" max="15875" width="10.59765625" style="2472" customWidth="1"/>
    <col min="15876" max="15876" width="11.09765625" style="2472" customWidth="1"/>
    <col min="15877" max="15877" width="10.59765625" style="2472" customWidth="1"/>
    <col min="15878" max="15878" width="17.5" style="2472" customWidth="1"/>
    <col min="15879" max="15879" width="10.59765625" style="2472" customWidth="1"/>
    <col min="15880" max="15880" width="17.19921875" style="2472" customWidth="1"/>
    <col min="15881" max="16128" width="10.59765625" style="2472"/>
    <col min="16129" max="16131" width="10.59765625" style="2472" customWidth="1"/>
    <col min="16132" max="16132" width="11.09765625" style="2472" customWidth="1"/>
    <col min="16133" max="16133" width="10.59765625" style="2472" customWidth="1"/>
    <col min="16134" max="16134" width="17.5" style="2472" customWidth="1"/>
    <col min="16135" max="16135" width="10.59765625" style="2472" customWidth="1"/>
    <col min="16136" max="16136" width="17.19921875" style="2472" customWidth="1"/>
    <col min="16137" max="16384" width="10.59765625" style="2472"/>
  </cols>
  <sheetData>
    <row r="1" spans="1:8" ht="21" customHeight="1">
      <c r="A1" s="4005" t="s">
        <v>7411</v>
      </c>
      <c r="B1" s="4005"/>
      <c r="C1" s="4005"/>
      <c r="D1" s="4005"/>
      <c r="E1" s="4005"/>
      <c r="F1" s="4005"/>
      <c r="G1" s="4005"/>
      <c r="H1" s="4005"/>
    </row>
    <row r="2" spans="1:8" ht="21" customHeight="1">
      <c r="A2" s="2729" t="s">
        <v>7419</v>
      </c>
      <c r="B2" s="2729"/>
      <c r="C2" s="2729"/>
      <c r="D2" s="2729"/>
      <c r="E2" s="2729"/>
      <c r="F2" s="2729"/>
      <c r="G2" s="2729"/>
      <c r="H2" s="2729"/>
    </row>
    <row r="3" spans="1:8" ht="25.5" customHeight="1">
      <c r="A3" s="4024" t="s">
        <v>5975</v>
      </c>
      <c r="B3" s="4022" t="s">
        <v>7381</v>
      </c>
      <c r="C3" s="4022"/>
      <c r="D3" s="4013"/>
      <c r="E3" s="4013"/>
      <c r="F3" s="4013"/>
      <c r="G3" s="4013"/>
      <c r="H3" s="4013"/>
    </row>
    <row r="4" spans="1:8" ht="25.5" customHeight="1">
      <c r="A4" s="4024"/>
      <c r="B4" s="4022" t="s">
        <v>7382</v>
      </c>
      <c r="C4" s="4022"/>
      <c r="D4" s="4013"/>
      <c r="E4" s="4013"/>
      <c r="F4" s="4009" t="s">
        <v>7383</v>
      </c>
      <c r="G4" s="4009"/>
      <c r="H4" s="2500"/>
    </row>
    <row r="5" spans="1:8" ht="25.5" customHeight="1">
      <c r="A5" s="4024"/>
      <c r="B5" s="4022" t="s">
        <v>7384</v>
      </c>
      <c r="C5" s="4022"/>
      <c r="D5" s="4013"/>
      <c r="E5" s="4013"/>
      <c r="F5" s="4013"/>
      <c r="G5" s="4013"/>
      <c r="H5" s="4013"/>
    </row>
    <row r="6" spans="1:8" ht="25.5" customHeight="1">
      <c r="A6" s="4024"/>
      <c r="B6" s="4022" t="s">
        <v>7385</v>
      </c>
      <c r="C6" s="4022"/>
      <c r="D6" s="4059"/>
      <c r="E6" s="4059"/>
      <c r="F6" s="4009" t="s">
        <v>7383</v>
      </c>
      <c r="G6" s="4009"/>
      <c r="H6" s="2500"/>
    </row>
    <row r="7" spans="1:8" ht="25.5" customHeight="1">
      <c r="A7" s="4024"/>
      <c r="B7" s="4022" t="s">
        <v>7386</v>
      </c>
      <c r="C7" s="4022"/>
      <c r="D7" s="2499" t="s">
        <v>7387</v>
      </c>
      <c r="E7" s="4060" t="s">
        <v>7388</v>
      </c>
      <c r="F7" s="4060"/>
      <c r="G7" s="4060"/>
      <c r="H7" s="4060"/>
    </row>
    <row r="8" spans="1:8" ht="25.5" customHeight="1">
      <c r="A8" s="4024"/>
      <c r="B8" s="4022"/>
      <c r="C8" s="4022"/>
      <c r="D8" s="4009" t="s">
        <v>7389</v>
      </c>
      <c r="E8" s="4009"/>
      <c r="F8" s="4009"/>
      <c r="G8" s="4009"/>
      <c r="H8" s="4009"/>
    </row>
    <row r="9" spans="1:8" ht="25.5" customHeight="1">
      <c r="A9" s="4024"/>
      <c r="B9" s="4022"/>
      <c r="C9" s="4022"/>
      <c r="D9" s="2499" t="s">
        <v>7390</v>
      </c>
      <c r="E9" s="4013"/>
      <c r="F9" s="4013"/>
      <c r="G9" s="4013"/>
      <c r="H9" s="4013"/>
    </row>
    <row r="10" spans="1:8" ht="33" customHeight="1">
      <c r="A10" s="4024"/>
      <c r="B10" s="4022"/>
      <c r="C10" s="4022"/>
      <c r="D10" s="2499" t="s">
        <v>7391</v>
      </c>
      <c r="E10" s="4013"/>
      <c r="F10" s="4013"/>
      <c r="G10" s="4013"/>
      <c r="H10" s="4013"/>
    </row>
    <row r="11" spans="1:8" ht="25.5" customHeight="1">
      <c r="A11" s="4024"/>
      <c r="B11" s="4022"/>
      <c r="C11" s="4022"/>
      <c r="D11" s="4009" t="s">
        <v>7392</v>
      </c>
      <c r="E11" s="4009"/>
      <c r="F11" s="4009"/>
      <c r="G11" s="4009"/>
      <c r="H11" s="4009"/>
    </row>
    <row r="12" spans="1:8" ht="25.5" customHeight="1">
      <c r="A12" s="4024"/>
      <c r="B12" s="4022"/>
      <c r="C12" s="4022"/>
      <c r="D12" s="4009" t="s">
        <v>7393</v>
      </c>
      <c r="E12" s="4024" t="s">
        <v>7394</v>
      </c>
      <c r="F12" s="4024"/>
      <c r="G12" s="4024" t="s">
        <v>7395</v>
      </c>
      <c r="H12" s="4024"/>
    </row>
    <row r="13" spans="1:8" ht="25.5" customHeight="1">
      <c r="A13" s="4024"/>
      <c r="B13" s="4022"/>
      <c r="C13" s="4022"/>
      <c r="D13" s="4009"/>
      <c r="E13" s="2512" t="s">
        <v>7344</v>
      </c>
      <c r="F13" s="2512" t="s">
        <v>7396</v>
      </c>
      <c r="G13" s="2512" t="s">
        <v>7344</v>
      </c>
      <c r="H13" s="2512" t="s">
        <v>7396</v>
      </c>
    </row>
    <row r="14" spans="1:8" ht="25.5" customHeight="1">
      <c r="A14" s="4024"/>
      <c r="B14" s="4022"/>
      <c r="C14" s="4022"/>
      <c r="D14" s="2500"/>
      <c r="E14" s="2532"/>
      <c r="F14" s="2502"/>
      <c r="G14" s="2532"/>
      <c r="H14" s="2500"/>
    </row>
    <row r="15" spans="1:8" ht="25.5" customHeight="1">
      <c r="A15" s="4024"/>
      <c r="B15" s="4022"/>
      <c r="C15" s="4022"/>
      <c r="D15" s="2500"/>
      <c r="E15" s="2532"/>
      <c r="F15" s="2502"/>
      <c r="G15" s="2532"/>
      <c r="H15" s="2500"/>
    </row>
    <row r="16" spans="1:8" ht="25.5" customHeight="1">
      <c r="A16" s="4024"/>
      <c r="B16" s="4022"/>
      <c r="C16" s="4022"/>
      <c r="D16" s="2499" t="s">
        <v>702</v>
      </c>
      <c r="E16" s="2532"/>
      <c r="F16" s="2502"/>
      <c r="G16" s="2532"/>
      <c r="H16" s="2502"/>
    </row>
    <row r="17" spans="1:10" ht="25.5" customHeight="1">
      <c r="A17" s="4024"/>
      <c r="B17" s="4022" t="s">
        <v>7397</v>
      </c>
      <c r="C17" s="4022"/>
      <c r="D17" s="4013"/>
      <c r="E17" s="4013"/>
      <c r="F17" s="4013"/>
      <c r="G17" s="4013"/>
      <c r="H17" s="4013"/>
    </row>
    <row r="18" spans="1:10" ht="25.5" customHeight="1">
      <c r="A18" s="4024"/>
      <c r="B18" s="4022" t="s">
        <v>7398</v>
      </c>
      <c r="C18" s="4022"/>
      <c r="D18" s="4017"/>
      <c r="E18" s="4017"/>
      <c r="F18" s="4022" t="s">
        <v>7399</v>
      </c>
      <c r="G18" s="4022"/>
      <c r="H18" s="2532"/>
    </row>
    <row r="19" spans="1:10" ht="25.5" customHeight="1">
      <c r="A19" s="4024" t="s">
        <v>7400</v>
      </c>
      <c r="B19" s="4022" t="s">
        <v>7394</v>
      </c>
      <c r="C19" s="4009" t="s">
        <v>7401</v>
      </c>
      <c r="D19" s="4009"/>
      <c r="E19" s="2512" t="s">
        <v>555</v>
      </c>
      <c r="F19" s="2512" t="s">
        <v>557</v>
      </c>
      <c r="G19" s="4024" t="s">
        <v>7402</v>
      </c>
      <c r="H19" s="4024"/>
    </row>
    <row r="20" spans="1:10" ht="25.5" customHeight="1">
      <c r="A20" s="4024"/>
      <c r="B20" s="4022"/>
      <c r="C20" s="4013"/>
      <c r="D20" s="4013"/>
      <c r="E20" s="2500"/>
      <c r="F20" s="2532"/>
      <c r="G20" s="4017"/>
      <c r="H20" s="4017"/>
    </row>
    <row r="21" spans="1:10" ht="25.5" customHeight="1">
      <c r="A21" s="4024"/>
      <c r="B21" s="4022"/>
      <c r="C21" s="4013"/>
      <c r="D21" s="4013"/>
      <c r="E21" s="2500"/>
      <c r="F21" s="2532"/>
      <c r="G21" s="4017"/>
      <c r="H21" s="4017"/>
    </row>
    <row r="22" spans="1:10" ht="25.5" customHeight="1">
      <c r="A22" s="4024"/>
      <c r="B22" s="4022"/>
      <c r="C22" s="4013"/>
      <c r="D22" s="4013"/>
      <c r="E22" s="2500"/>
      <c r="F22" s="2532"/>
      <c r="G22" s="4017"/>
      <c r="H22" s="4017"/>
    </row>
    <row r="23" spans="1:10" ht="25.5" customHeight="1">
      <c r="A23" s="4024"/>
      <c r="B23" s="4022"/>
      <c r="C23" s="4013"/>
      <c r="D23" s="4013"/>
      <c r="E23" s="2500"/>
      <c r="F23" s="2532"/>
      <c r="G23" s="4017"/>
      <c r="H23" s="4017"/>
    </row>
    <row r="24" spans="1:10" ht="25.5" customHeight="1">
      <c r="A24" s="4024"/>
      <c r="B24" s="4022" t="s">
        <v>7395</v>
      </c>
      <c r="C24" s="4009" t="s">
        <v>7403</v>
      </c>
      <c r="D24" s="4009"/>
      <c r="E24" s="2512" t="s">
        <v>555</v>
      </c>
      <c r="F24" s="2512" t="s">
        <v>557</v>
      </c>
      <c r="G24" s="4024" t="s">
        <v>7402</v>
      </c>
      <c r="H24" s="4024"/>
    </row>
    <row r="25" spans="1:10" ht="25.5" customHeight="1">
      <c r="A25" s="4024"/>
      <c r="B25" s="4022"/>
      <c r="C25" s="4013"/>
      <c r="D25" s="4013"/>
      <c r="E25" s="2500"/>
      <c r="F25" s="2532"/>
      <c r="G25" s="4017"/>
      <c r="H25" s="4017"/>
    </row>
    <row r="26" spans="1:10" ht="25.5" customHeight="1">
      <c r="A26" s="4024"/>
      <c r="B26" s="4022"/>
      <c r="C26" s="4013"/>
      <c r="D26" s="4013"/>
      <c r="E26" s="2500"/>
      <c r="F26" s="2532"/>
      <c r="G26" s="4017"/>
      <c r="H26" s="4017"/>
    </row>
    <row r="27" spans="1:10" ht="25.5" customHeight="1">
      <c r="A27" s="4024"/>
      <c r="B27" s="4022"/>
      <c r="C27" s="4013"/>
      <c r="D27" s="4013"/>
      <c r="E27" s="2519"/>
      <c r="F27" s="2554"/>
      <c r="G27" s="4017"/>
      <c r="H27" s="4017"/>
    </row>
    <row r="28" spans="1:10" ht="25.5" customHeight="1">
      <c r="A28" s="4024"/>
      <c r="B28" s="4022"/>
      <c r="C28" s="4013"/>
      <c r="D28" s="4013"/>
      <c r="E28" s="2500"/>
      <c r="F28" s="2532"/>
      <c r="G28" s="4017"/>
      <c r="H28" s="4017"/>
    </row>
    <row r="29" spans="1:10" s="2478" customFormat="1" ht="25.5" customHeight="1">
      <c r="A29" s="2518" t="s">
        <v>7404</v>
      </c>
      <c r="B29" s="4061">
        <f>基本情况!B12</f>
        <v>0</v>
      </c>
      <c r="C29" s="4061"/>
      <c r="D29" s="2518" t="s">
        <v>7405</v>
      </c>
      <c r="E29" s="4062" t="str">
        <f>基本情况!B21</f>
        <v>2017年3月16日</v>
      </c>
      <c r="F29" s="4061"/>
      <c r="G29" s="4061"/>
      <c r="H29" s="4061"/>
      <c r="J29" s="2472"/>
    </row>
  </sheetData>
  <mergeCells count="5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 ref="A19:A28"/>
    <mergeCell ref="B19:B23"/>
    <mergeCell ref="C19:D19"/>
    <mergeCell ref="G19:H19"/>
    <mergeCell ref="C20:D20"/>
    <mergeCell ref="G20:H20"/>
    <mergeCell ref="C21:D21"/>
    <mergeCell ref="G21:H21"/>
    <mergeCell ref="C22:D22"/>
    <mergeCell ref="G22:H22"/>
    <mergeCell ref="B17:C17"/>
    <mergeCell ref="D17:H17"/>
    <mergeCell ref="B18:C18"/>
    <mergeCell ref="D18:E18"/>
    <mergeCell ref="F18:G18"/>
    <mergeCell ref="E9:H9"/>
    <mergeCell ref="E10:H10"/>
    <mergeCell ref="D11:H11"/>
    <mergeCell ref="D12:D13"/>
    <mergeCell ref="E12:F12"/>
    <mergeCell ref="G12:H1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pageSetUpPr fitToPage="1"/>
  </sheetPr>
  <dimension ref="A1:F116"/>
  <sheetViews>
    <sheetView workbookViewId="0"/>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65" t="s">
        <v>10251</v>
      </c>
      <c r="B2" s="4065"/>
      <c r="C2" s="4065"/>
      <c r="D2" s="4065"/>
    </row>
    <row r="3" spans="1:6">
      <c r="A3" s="2688"/>
      <c r="B3" s="2687"/>
      <c r="C3" s="2687"/>
      <c r="D3" s="2686"/>
    </row>
    <row r="4" spans="1:6" ht="16.2" thickBot="1">
      <c r="A4" s="4066"/>
      <c r="B4" s="4067"/>
      <c r="C4" s="2685"/>
      <c r="D4" s="2684" t="s">
        <v>10250</v>
      </c>
    </row>
    <row r="5" spans="1:6" ht="15" customHeight="1">
      <c r="A5" s="2683" t="s">
        <v>10249</v>
      </c>
      <c r="B5" s="4068" t="s">
        <v>10248</v>
      </c>
      <c r="C5" s="4069"/>
      <c r="D5" s="2682" t="s">
        <v>10247</v>
      </c>
    </row>
    <row r="6" spans="1:6" ht="15" customHeight="1">
      <c r="A6" s="2676">
        <v>1</v>
      </c>
      <c r="B6" s="4070" t="s">
        <v>10246</v>
      </c>
      <c r="C6" s="4071"/>
      <c r="D6" s="2677">
        <f>SUM(D7:D9)</f>
        <v>0</v>
      </c>
      <c r="F6" s="2679"/>
    </row>
    <row r="7" spans="1:6" ht="15" customHeight="1">
      <c r="A7" s="2676">
        <v>1.1000000000000001</v>
      </c>
      <c r="B7" s="4063" t="s">
        <v>10245</v>
      </c>
      <c r="C7" s="2681" t="s">
        <v>10244</v>
      </c>
      <c r="D7" s="2675"/>
      <c r="F7" s="2679"/>
    </row>
    <row r="8" spans="1:6" ht="15" customHeight="1">
      <c r="A8" s="2676">
        <v>1.2</v>
      </c>
      <c r="B8" s="4064"/>
      <c r="C8" s="2681" t="s">
        <v>10243</v>
      </c>
      <c r="D8" s="2675"/>
      <c r="F8" s="2679"/>
    </row>
    <row r="9" spans="1:6" ht="15" customHeight="1">
      <c r="A9" s="2676">
        <v>1.3</v>
      </c>
      <c r="B9" s="4077" t="s">
        <v>10242</v>
      </c>
      <c r="C9" s="4073"/>
      <c r="D9" s="2675"/>
      <c r="F9" s="2679"/>
    </row>
    <row r="10" spans="1:6" ht="15" customHeight="1">
      <c r="A10" s="2676">
        <v>2</v>
      </c>
      <c r="B10" s="4070" t="s">
        <v>10241</v>
      </c>
      <c r="C10" s="4071"/>
      <c r="D10" s="2677">
        <f>SUM(D11:D18)</f>
        <v>0</v>
      </c>
      <c r="F10" s="2679"/>
    </row>
    <row r="11" spans="1:6" ht="15" customHeight="1">
      <c r="A11" s="2676">
        <v>2.1</v>
      </c>
      <c r="B11" s="4063" t="s">
        <v>10240</v>
      </c>
      <c r="C11" s="2680" t="s">
        <v>10239</v>
      </c>
      <c r="D11" s="2675"/>
      <c r="F11" s="2679"/>
    </row>
    <row r="12" spans="1:6" ht="15" customHeight="1">
      <c r="A12" s="2676">
        <v>2.2000000000000002</v>
      </c>
      <c r="B12" s="4080"/>
      <c r="C12" s="2680" t="s">
        <v>10238</v>
      </c>
      <c r="D12" s="2675"/>
      <c r="F12" s="2679"/>
    </row>
    <row r="13" spans="1:6" ht="15" customHeight="1">
      <c r="A13" s="2676">
        <v>2.2999999999999998</v>
      </c>
      <c r="B13" s="4064"/>
      <c r="C13" s="2680" t="s">
        <v>10237</v>
      </c>
      <c r="D13" s="2675"/>
      <c r="F13" s="2679"/>
    </row>
    <row r="14" spans="1:6" ht="15" customHeight="1">
      <c r="A14" s="2676">
        <v>2.4</v>
      </c>
      <c r="B14" s="4078" t="s">
        <v>10236</v>
      </c>
      <c r="C14" s="4079"/>
      <c r="D14" s="2675"/>
      <c r="F14" s="2679"/>
    </row>
    <row r="15" spans="1:6" ht="15" customHeight="1">
      <c r="A15" s="2676">
        <v>2.5</v>
      </c>
      <c r="B15" s="4078" t="s">
        <v>10235</v>
      </c>
      <c r="C15" s="4079"/>
      <c r="D15" s="2675"/>
      <c r="F15" s="2679"/>
    </row>
    <row r="16" spans="1:6" ht="15" customHeight="1">
      <c r="A16" s="2676">
        <v>2.6</v>
      </c>
      <c r="B16" s="4078" t="s">
        <v>10234</v>
      </c>
      <c r="C16" s="4079"/>
      <c r="D16" s="2675"/>
      <c r="F16" s="2679"/>
    </row>
    <row r="17" spans="1:6" ht="15" customHeight="1">
      <c r="A17" s="2676">
        <v>2.7</v>
      </c>
      <c r="B17" s="4078" t="s">
        <v>10233</v>
      </c>
      <c r="C17" s="4079"/>
      <c r="D17" s="2675"/>
      <c r="F17" s="2679"/>
    </row>
    <row r="18" spans="1:6" ht="15" customHeight="1">
      <c r="A18" s="2676">
        <v>2.8</v>
      </c>
      <c r="B18" s="4078" t="s">
        <v>10232</v>
      </c>
      <c r="C18" s="4079"/>
      <c r="D18" s="2675"/>
      <c r="F18" s="2679"/>
    </row>
    <row r="19" spans="1:6" ht="15" customHeight="1">
      <c r="A19" s="2676">
        <v>3</v>
      </c>
      <c r="B19" s="4075" t="s">
        <v>10231</v>
      </c>
      <c r="C19" s="4076"/>
      <c r="D19" s="2677">
        <f>SUM(D20:D21)</f>
        <v>0</v>
      </c>
      <c r="F19" s="2679"/>
    </row>
    <row r="20" spans="1:6" ht="15" customHeight="1">
      <c r="A20" s="2676">
        <v>3.1</v>
      </c>
      <c r="B20" s="4072" t="s">
        <v>10230</v>
      </c>
      <c r="C20" s="4074"/>
      <c r="D20" s="2675"/>
      <c r="F20" s="2679"/>
    </row>
    <row r="21" spans="1:6" ht="15" customHeight="1">
      <c r="A21" s="2676">
        <v>3.2</v>
      </c>
      <c r="B21" s="4072" t="s">
        <v>10229</v>
      </c>
      <c r="C21" s="4074"/>
      <c r="D21" s="2675"/>
      <c r="F21" s="2679"/>
    </row>
    <row r="22" spans="1:6" ht="15" customHeight="1">
      <c r="A22" s="2676">
        <v>4</v>
      </c>
      <c r="B22" s="4075" t="s">
        <v>10228</v>
      </c>
      <c r="C22" s="4076"/>
      <c r="D22" s="2677">
        <f>SUM(D23:D25)</f>
        <v>0</v>
      </c>
      <c r="F22" s="2679"/>
    </row>
    <row r="23" spans="1:6" ht="15" customHeight="1">
      <c r="A23" s="2676">
        <v>4.0999999999999996</v>
      </c>
      <c r="B23" s="4072" t="s">
        <v>10227</v>
      </c>
      <c r="C23" s="4073"/>
      <c r="D23" s="2675"/>
      <c r="F23" s="2679"/>
    </row>
    <row r="24" spans="1:6" ht="15" customHeight="1">
      <c r="A24" s="2676">
        <v>4.2</v>
      </c>
      <c r="B24" s="4072" t="s">
        <v>10226</v>
      </c>
      <c r="C24" s="4073"/>
      <c r="D24" s="2675"/>
      <c r="F24" s="2679"/>
    </row>
    <row r="25" spans="1:6" ht="15" customHeight="1">
      <c r="A25" s="2676">
        <v>4.3</v>
      </c>
      <c r="B25" s="4081" t="s">
        <v>10225</v>
      </c>
      <c r="C25" s="4086"/>
      <c r="D25" s="2675"/>
      <c r="F25" s="2679"/>
    </row>
    <row r="26" spans="1:6" ht="15" customHeight="1">
      <c r="A26" s="2676">
        <v>5</v>
      </c>
      <c r="B26" s="4087" t="s">
        <v>10224</v>
      </c>
      <c r="C26" s="4087"/>
      <c r="D26" s="2677">
        <f>SUM(D27:D30)</f>
        <v>0</v>
      </c>
      <c r="F26" s="2679"/>
    </row>
    <row r="27" spans="1:6" ht="15" customHeight="1">
      <c r="A27" s="2676">
        <v>5.0999999999999996</v>
      </c>
      <c r="B27" s="4081" t="s">
        <v>10223</v>
      </c>
      <c r="C27" s="4081"/>
      <c r="D27" s="2675"/>
      <c r="F27" s="2679"/>
    </row>
    <row r="28" spans="1:6" ht="15" customHeight="1">
      <c r="A28" s="2676">
        <v>5.2</v>
      </c>
      <c r="B28" s="4081" t="s">
        <v>10222</v>
      </c>
      <c r="C28" s="4081"/>
      <c r="D28" s="2675"/>
      <c r="F28" s="2679"/>
    </row>
    <row r="29" spans="1:6" ht="15" customHeight="1">
      <c r="A29" s="2676">
        <v>5.3</v>
      </c>
      <c r="B29" s="4081" t="s">
        <v>10221</v>
      </c>
      <c r="C29" s="4081"/>
      <c r="D29" s="2675"/>
      <c r="F29" s="2679"/>
    </row>
    <row r="30" spans="1:6" ht="15" customHeight="1">
      <c r="A30" s="2676">
        <v>5.4</v>
      </c>
      <c r="B30" s="4081" t="s">
        <v>10220</v>
      </c>
      <c r="C30" s="4081"/>
      <c r="D30" s="2675"/>
      <c r="F30" s="2679"/>
    </row>
    <row r="31" spans="1:6" ht="15" customHeight="1">
      <c r="A31" s="2676">
        <v>6</v>
      </c>
      <c r="B31" s="4084" t="s">
        <v>10219</v>
      </c>
      <c r="C31" s="4085"/>
      <c r="D31" s="2677">
        <f>SUM(D32:D71)</f>
        <v>0</v>
      </c>
    </row>
    <row r="32" spans="1:6" ht="15" customHeight="1">
      <c r="A32" s="2678" t="s">
        <v>10218</v>
      </c>
      <c r="B32" s="4082"/>
      <c r="C32" s="4083"/>
      <c r="D32" s="2675"/>
    </row>
    <row r="33" spans="1:4" ht="15" customHeight="1">
      <c r="A33" s="2678" t="s">
        <v>10217</v>
      </c>
      <c r="B33" s="4082"/>
      <c r="C33" s="4083"/>
      <c r="D33" s="2675"/>
    </row>
    <row r="34" spans="1:4" ht="15" customHeight="1">
      <c r="A34" s="2678" t="s">
        <v>10216</v>
      </c>
      <c r="B34" s="4082"/>
      <c r="C34" s="4083"/>
      <c r="D34" s="2675"/>
    </row>
    <row r="35" spans="1:4" ht="15" hidden="1" customHeight="1">
      <c r="A35" s="2678" t="s">
        <v>10215</v>
      </c>
      <c r="B35" s="4082"/>
      <c r="C35" s="4083"/>
      <c r="D35" s="2675"/>
    </row>
    <row r="36" spans="1:4" ht="15" hidden="1" customHeight="1">
      <c r="A36" s="2678" t="s">
        <v>10214</v>
      </c>
      <c r="B36" s="4082"/>
      <c r="C36" s="4083"/>
      <c r="D36" s="2675"/>
    </row>
    <row r="37" spans="1:4" ht="15" hidden="1" customHeight="1">
      <c r="A37" s="2678" t="s">
        <v>10213</v>
      </c>
      <c r="B37" s="4082"/>
      <c r="C37" s="4083"/>
      <c r="D37" s="2675"/>
    </row>
    <row r="38" spans="1:4" ht="15" hidden="1" customHeight="1">
      <c r="A38" s="2678" t="s">
        <v>10212</v>
      </c>
      <c r="B38" s="4082"/>
      <c r="C38" s="4083"/>
      <c r="D38" s="2675"/>
    </row>
    <row r="39" spans="1:4" ht="15" hidden="1" customHeight="1">
      <c r="A39" s="2678" t="s">
        <v>10211</v>
      </c>
      <c r="B39" s="4082"/>
      <c r="C39" s="4083"/>
      <c r="D39" s="2675"/>
    </row>
    <row r="40" spans="1:4" ht="15" hidden="1" customHeight="1">
      <c r="A40" s="2678" t="s">
        <v>10210</v>
      </c>
      <c r="B40" s="4082"/>
      <c r="C40" s="4083"/>
      <c r="D40" s="2675"/>
    </row>
    <row r="41" spans="1:4" ht="15" hidden="1" customHeight="1">
      <c r="A41" s="2678" t="s">
        <v>10209</v>
      </c>
      <c r="B41" s="4082"/>
      <c r="C41" s="4083"/>
      <c r="D41" s="2675"/>
    </row>
    <row r="42" spans="1:4" ht="15" hidden="1" customHeight="1">
      <c r="A42" s="2678" t="s">
        <v>10208</v>
      </c>
      <c r="B42" s="4082"/>
      <c r="C42" s="4083"/>
      <c r="D42" s="2675"/>
    </row>
    <row r="43" spans="1:4" ht="15" hidden="1" customHeight="1">
      <c r="A43" s="2678" t="s">
        <v>10207</v>
      </c>
      <c r="B43" s="4082"/>
      <c r="C43" s="4083"/>
      <c r="D43" s="2675"/>
    </row>
    <row r="44" spans="1:4" ht="15" hidden="1" customHeight="1">
      <c r="A44" s="2678" t="s">
        <v>10206</v>
      </c>
      <c r="B44" s="4082"/>
      <c r="C44" s="4083"/>
      <c r="D44" s="2675"/>
    </row>
    <row r="45" spans="1:4" ht="15" hidden="1" customHeight="1">
      <c r="A45" s="2678" t="s">
        <v>10205</v>
      </c>
      <c r="B45" s="4082"/>
      <c r="C45" s="4083"/>
      <c r="D45" s="2675"/>
    </row>
    <row r="46" spans="1:4" ht="15" hidden="1" customHeight="1">
      <c r="A46" s="2678" t="s">
        <v>10204</v>
      </c>
      <c r="B46" s="4082"/>
      <c r="C46" s="4083"/>
      <c r="D46" s="2675"/>
    </row>
    <row r="47" spans="1:4" ht="15" hidden="1" customHeight="1">
      <c r="A47" s="2678" t="s">
        <v>10203</v>
      </c>
      <c r="B47" s="4082"/>
      <c r="C47" s="4083"/>
      <c r="D47" s="2675"/>
    </row>
    <row r="48" spans="1:4" ht="15" hidden="1" customHeight="1">
      <c r="A48" s="2678" t="s">
        <v>10202</v>
      </c>
      <c r="B48" s="4082"/>
      <c r="C48" s="4083"/>
      <c r="D48" s="2675"/>
    </row>
    <row r="49" spans="1:4" ht="15" hidden="1" customHeight="1">
      <c r="A49" s="2678" t="s">
        <v>10201</v>
      </c>
      <c r="B49" s="4082"/>
      <c r="C49" s="4083"/>
      <c r="D49" s="2675"/>
    </row>
    <row r="50" spans="1:4" ht="15" hidden="1" customHeight="1">
      <c r="A50" s="2678" t="s">
        <v>10200</v>
      </c>
      <c r="B50" s="4082"/>
      <c r="C50" s="4083"/>
      <c r="D50" s="2675"/>
    </row>
    <row r="51" spans="1:4" ht="15" hidden="1" customHeight="1">
      <c r="A51" s="2678" t="s">
        <v>10199</v>
      </c>
      <c r="B51" s="4082"/>
      <c r="C51" s="4083"/>
      <c r="D51" s="2675"/>
    </row>
    <row r="52" spans="1:4" ht="15" hidden="1" customHeight="1">
      <c r="A52" s="2678" t="s">
        <v>10198</v>
      </c>
      <c r="B52" s="4082"/>
      <c r="C52" s="4083"/>
      <c r="D52" s="2675"/>
    </row>
    <row r="53" spans="1:4" ht="15" hidden="1" customHeight="1">
      <c r="A53" s="2678" t="s">
        <v>10197</v>
      </c>
      <c r="B53" s="4082"/>
      <c r="C53" s="4083"/>
      <c r="D53" s="2675"/>
    </row>
    <row r="54" spans="1:4" ht="15" hidden="1" customHeight="1">
      <c r="A54" s="2678" t="s">
        <v>10196</v>
      </c>
      <c r="B54" s="4082"/>
      <c r="C54" s="4083"/>
      <c r="D54" s="2675"/>
    </row>
    <row r="55" spans="1:4" ht="15" hidden="1" customHeight="1">
      <c r="A55" s="2678" t="s">
        <v>10195</v>
      </c>
      <c r="B55" s="4082"/>
      <c r="C55" s="4083"/>
      <c r="D55" s="2675"/>
    </row>
    <row r="56" spans="1:4" ht="15" hidden="1" customHeight="1">
      <c r="A56" s="2678" t="s">
        <v>10194</v>
      </c>
      <c r="B56" s="4082"/>
      <c r="C56" s="4083"/>
      <c r="D56" s="2675"/>
    </row>
    <row r="57" spans="1:4" ht="15" hidden="1" customHeight="1">
      <c r="A57" s="2678" t="s">
        <v>10193</v>
      </c>
      <c r="B57" s="4082"/>
      <c r="C57" s="4083"/>
      <c r="D57" s="2675"/>
    </row>
    <row r="58" spans="1:4" ht="15" hidden="1" customHeight="1">
      <c r="A58" s="2678" t="s">
        <v>10192</v>
      </c>
      <c r="B58" s="4082"/>
      <c r="C58" s="4083"/>
      <c r="D58" s="2675"/>
    </row>
    <row r="59" spans="1:4" ht="15" hidden="1" customHeight="1">
      <c r="A59" s="2678" t="s">
        <v>10191</v>
      </c>
      <c r="B59" s="4082"/>
      <c r="C59" s="4083"/>
      <c r="D59" s="2675"/>
    </row>
    <row r="60" spans="1:4" ht="15" hidden="1" customHeight="1">
      <c r="A60" s="2678" t="s">
        <v>10190</v>
      </c>
      <c r="B60" s="4082"/>
      <c r="C60" s="4083"/>
      <c r="D60" s="2675"/>
    </row>
    <row r="61" spans="1:4" ht="15" hidden="1" customHeight="1">
      <c r="A61" s="2678" t="s">
        <v>10189</v>
      </c>
      <c r="B61" s="4082"/>
      <c r="C61" s="4083"/>
      <c r="D61" s="2675"/>
    </row>
    <row r="62" spans="1:4" ht="15" hidden="1" customHeight="1">
      <c r="A62" s="2678" t="s">
        <v>10188</v>
      </c>
      <c r="B62" s="4082"/>
      <c r="C62" s="4083"/>
      <c r="D62" s="2675"/>
    </row>
    <row r="63" spans="1:4" ht="15" hidden="1" customHeight="1">
      <c r="A63" s="2678" t="s">
        <v>10187</v>
      </c>
      <c r="B63" s="4082"/>
      <c r="C63" s="4083"/>
      <c r="D63" s="2675"/>
    </row>
    <row r="64" spans="1:4" ht="15" hidden="1" customHeight="1">
      <c r="A64" s="2678" t="s">
        <v>10186</v>
      </c>
      <c r="B64" s="4082"/>
      <c r="C64" s="4083"/>
      <c r="D64" s="2675"/>
    </row>
    <row r="65" spans="1:4" ht="15" hidden="1" customHeight="1">
      <c r="A65" s="2678" t="s">
        <v>10185</v>
      </c>
      <c r="B65" s="4082"/>
      <c r="C65" s="4083"/>
      <c r="D65" s="2675"/>
    </row>
    <row r="66" spans="1:4" ht="15" hidden="1" customHeight="1">
      <c r="A66" s="2678" t="s">
        <v>10184</v>
      </c>
      <c r="B66" s="4082"/>
      <c r="C66" s="4083"/>
      <c r="D66" s="2675"/>
    </row>
    <row r="67" spans="1:4" ht="15" hidden="1" customHeight="1">
      <c r="A67" s="2678" t="s">
        <v>10183</v>
      </c>
      <c r="B67" s="4082"/>
      <c r="C67" s="4083"/>
      <c r="D67" s="2675"/>
    </row>
    <row r="68" spans="1:4" ht="15" hidden="1" customHeight="1">
      <c r="A68" s="2678" t="s">
        <v>10182</v>
      </c>
      <c r="B68" s="4082"/>
      <c r="C68" s="4083"/>
      <c r="D68" s="2675"/>
    </row>
    <row r="69" spans="1:4" ht="15" hidden="1" customHeight="1">
      <c r="A69" s="2678" t="s">
        <v>10181</v>
      </c>
      <c r="B69" s="4082"/>
      <c r="C69" s="4083"/>
      <c r="D69" s="2675"/>
    </row>
    <row r="70" spans="1:4" ht="15" hidden="1" customHeight="1">
      <c r="A70" s="2678" t="s">
        <v>10180</v>
      </c>
      <c r="B70" s="4082"/>
      <c r="C70" s="4083"/>
      <c r="D70" s="2675"/>
    </row>
    <row r="71" spans="1:4" ht="15" hidden="1" customHeight="1">
      <c r="A71" s="2678" t="s">
        <v>10179</v>
      </c>
      <c r="B71" s="4082"/>
      <c r="C71" s="4083"/>
      <c r="D71" s="2675"/>
    </row>
    <row r="72" spans="1:4" ht="15" customHeight="1">
      <c r="A72" s="2676">
        <v>7</v>
      </c>
      <c r="B72" s="4070" t="s">
        <v>10178</v>
      </c>
      <c r="C72" s="4071"/>
      <c r="D72" s="2675"/>
    </row>
    <row r="73" spans="1:4" ht="15" customHeight="1">
      <c r="A73" s="2676">
        <v>7.1</v>
      </c>
      <c r="B73" s="4077" t="s">
        <v>10177</v>
      </c>
      <c r="C73" s="4073"/>
      <c r="D73" s="2675"/>
    </row>
    <row r="74" spans="1:4" ht="15" customHeight="1">
      <c r="A74" s="2676">
        <v>8</v>
      </c>
      <c r="B74" s="4070" t="s">
        <v>10176</v>
      </c>
      <c r="C74" s="4071"/>
      <c r="D74" s="2677">
        <f>D6+D10+D19+D22+D26</f>
        <v>0</v>
      </c>
    </row>
    <row r="75" spans="1:4" ht="15" customHeight="1">
      <c r="A75" s="2676">
        <v>8.1</v>
      </c>
      <c r="B75" s="4072" t="s">
        <v>10175</v>
      </c>
      <c r="C75" s="4074"/>
      <c r="D75" s="2677">
        <f>ROUND(D74*0.1/0.9,2)</f>
        <v>0</v>
      </c>
    </row>
    <row r="76" spans="1:4" ht="15" customHeight="1">
      <c r="A76" s="2676">
        <v>9</v>
      </c>
      <c r="B76" s="4070" t="s">
        <v>10174</v>
      </c>
      <c r="C76" s="4071"/>
      <c r="D76" s="2675"/>
    </row>
    <row r="77" spans="1:4" ht="15" customHeight="1">
      <c r="A77" s="2676">
        <v>10</v>
      </c>
      <c r="B77" s="4070" t="s">
        <v>10173</v>
      </c>
      <c r="C77" s="4071"/>
      <c r="D77" s="2675"/>
    </row>
    <row r="78" spans="1:4" ht="15" customHeight="1">
      <c r="A78" s="2676">
        <v>10.1</v>
      </c>
      <c r="B78" s="4077" t="s">
        <v>10172</v>
      </c>
      <c r="C78" s="4073"/>
      <c r="D78" s="2675"/>
    </row>
    <row r="79" spans="1:4" ht="15" customHeight="1" thickBot="1">
      <c r="A79" s="2674">
        <v>11</v>
      </c>
      <c r="B79" s="4090" t="s">
        <v>10171</v>
      </c>
      <c r="C79" s="4091"/>
      <c r="D79" s="2673">
        <f>ROUND((D76+D78)*0.5,2)</f>
        <v>0</v>
      </c>
    </row>
    <row r="80" spans="1:4" ht="15" customHeight="1">
      <c r="A80" s="4089" t="s">
        <v>10170</v>
      </c>
      <c r="B80" s="4089"/>
      <c r="C80" s="4089"/>
      <c r="D80" s="4089"/>
    </row>
    <row r="81" spans="1:4" ht="15" customHeight="1">
      <c r="A81" s="4088" t="s">
        <v>10169</v>
      </c>
      <c r="B81" s="4088"/>
      <c r="C81" s="4088"/>
      <c r="D81" s="4088"/>
    </row>
    <row r="82" spans="1:4" ht="15" customHeight="1">
      <c r="A82" s="4088" t="s">
        <v>10168</v>
      </c>
      <c r="B82" s="4088"/>
      <c r="C82" s="4088"/>
      <c r="D82" s="4088"/>
    </row>
    <row r="83" spans="1:4" ht="15" customHeight="1">
      <c r="A83" s="4088" t="s">
        <v>10167</v>
      </c>
      <c r="B83" s="4088"/>
      <c r="C83" s="4088"/>
      <c r="D83" s="4088"/>
    </row>
    <row r="84" spans="1:4" ht="15" customHeight="1">
      <c r="A84" s="4088" t="s">
        <v>10166</v>
      </c>
      <c r="B84" s="4088"/>
      <c r="C84" s="4088"/>
      <c r="D84" s="4088"/>
    </row>
    <row r="85" spans="1:4" ht="15" customHeight="1">
      <c r="A85" s="4088" t="s">
        <v>10165</v>
      </c>
      <c r="B85" s="4088"/>
      <c r="C85" s="4088"/>
      <c r="D85" s="4088"/>
    </row>
    <row r="86" spans="1:4" ht="15" customHeight="1">
      <c r="A86" s="4088" t="s">
        <v>10164</v>
      </c>
      <c r="B86" s="4088"/>
      <c r="C86" s="4088"/>
      <c r="D86" s="4088"/>
    </row>
    <row r="87" spans="1:4" ht="15" customHeight="1">
      <c r="A87" s="4088" t="s">
        <v>10163</v>
      </c>
      <c r="B87" s="4088"/>
      <c r="C87" s="4088"/>
      <c r="D87" s="4088"/>
    </row>
    <row r="88" spans="1:4" ht="15" customHeight="1">
      <c r="A88" s="4088" t="s">
        <v>10162</v>
      </c>
      <c r="B88" s="4088"/>
      <c r="C88" s="4088"/>
      <c r="D88" s="4088"/>
    </row>
    <row r="89" spans="1:4" ht="15" customHeight="1">
      <c r="A89" s="4088" t="s">
        <v>10161</v>
      </c>
      <c r="B89" s="4088"/>
      <c r="C89" s="4088"/>
      <c r="D89" s="4088"/>
    </row>
    <row r="90" spans="1:4" ht="15" customHeight="1">
      <c r="A90" s="4088" t="s">
        <v>10160</v>
      </c>
      <c r="B90" s="4088"/>
      <c r="C90" s="4088"/>
      <c r="D90" s="4088"/>
    </row>
    <row r="91" spans="1:4" ht="30" customHeight="1">
      <c r="A91" s="4088" t="s">
        <v>10159</v>
      </c>
      <c r="B91" s="4088"/>
      <c r="C91" s="4088"/>
      <c r="D91" s="4088"/>
    </row>
    <row r="92" spans="1:4" ht="30" customHeight="1">
      <c r="A92" s="4088" t="s">
        <v>10158</v>
      </c>
      <c r="B92" s="4088"/>
      <c r="C92" s="4088"/>
      <c r="D92" s="4088"/>
    </row>
    <row r="93" spans="1:4" ht="15" customHeight="1">
      <c r="A93" s="4088" t="s">
        <v>10157</v>
      </c>
      <c r="B93" s="4088"/>
      <c r="C93" s="4088"/>
      <c r="D93" s="4088"/>
    </row>
    <row r="94" spans="1:4" ht="30" customHeight="1">
      <c r="A94" s="4088" t="s">
        <v>10156</v>
      </c>
      <c r="B94" s="4088"/>
      <c r="C94" s="4088"/>
      <c r="D94" s="4088"/>
    </row>
    <row r="95" spans="1:4" ht="26.25" customHeight="1">
      <c r="A95" s="4088" t="s">
        <v>10155</v>
      </c>
      <c r="B95" s="4088"/>
      <c r="C95" s="4088"/>
      <c r="D95" s="4088"/>
    </row>
    <row r="96" spans="1:4" ht="15" customHeight="1">
      <c r="A96" s="4088" t="s">
        <v>10154</v>
      </c>
      <c r="B96" s="4088"/>
      <c r="C96" s="4088"/>
      <c r="D96" s="4088"/>
    </row>
    <row r="97" spans="1:4" ht="15" customHeight="1">
      <c r="A97" s="4088" t="s">
        <v>10153</v>
      </c>
      <c r="B97" s="4088"/>
      <c r="C97" s="4088"/>
      <c r="D97" s="4088"/>
    </row>
    <row r="98" spans="1:4" ht="15" customHeight="1">
      <c r="A98" s="4088" t="s">
        <v>10152</v>
      </c>
      <c r="B98" s="4088"/>
      <c r="C98" s="4088"/>
      <c r="D98" s="4088"/>
    </row>
    <row r="99" spans="1:4" ht="15" customHeight="1">
      <c r="A99" s="4088" t="s">
        <v>10151</v>
      </c>
      <c r="B99" s="4088"/>
      <c r="C99" s="4088"/>
      <c r="D99" s="4088"/>
    </row>
    <row r="100" spans="1:4" ht="15" customHeight="1">
      <c r="A100" s="4088" t="s">
        <v>10150</v>
      </c>
      <c r="B100" s="4088"/>
      <c r="C100" s="4088"/>
      <c r="D100" s="4088"/>
    </row>
    <row r="101" spans="1:4" ht="16.5" customHeight="1">
      <c r="A101" s="4088" t="s">
        <v>10149</v>
      </c>
      <c r="B101" s="4088"/>
      <c r="C101" s="4088"/>
      <c r="D101" s="4088"/>
    </row>
    <row r="102" spans="1:4" ht="30" customHeight="1">
      <c r="A102" s="4088" t="s">
        <v>10148</v>
      </c>
      <c r="B102" s="4088"/>
      <c r="C102" s="4088"/>
      <c r="D102" s="4088"/>
    </row>
    <row r="103" spans="1:4" ht="15" customHeight="1">
      <c r="A103" s="4088" t="s">
        <v>10147</v>
      </c>
      <c r="B103" s="4088"/>
      <c r="C103" s="4088"/>
      <c r="D103" s="4088"/>
    </row>
    <row r="104" spans="1:4" ht="15" customHeight="1">
      <c r="A104" s="4088" t="s">
        <v>10146</v>
      </c>
      <c r="B104" s="4088"/>
      <c r="C104" s="4088"/>
      <c r="D104" s="4088"/>
    </row>
    <row r="105" spans="1:4" ht="15" customHeight="1">
      <c r="A105" s="4088" t="s">
        <v>10145</v>
      </c>
      <c r="B105" s="4088"/>
      <c r="C105" s="4088"/>
      <c r="D105" s="4088"/>
    </row>
    <row r="106" spans="1:4" ht="15" customHeight="1">
      <c r="A106" s="4088" t="s">
        <v>10144</v>
      </c>
      <c r="B106" s="4088"/>
      <c r="C106" s="4088"/>
      <c r="D106" s="4088"/>
    </row>
    <row r="107" spans="1:4" ht="15" customHeight="1">
      <c r="A107" s="4088" t="s">
        <v>10143</v>
      </c>
      <c r="B107" s="4088"/>
      <c r="C107" s="4088"/>
      <c r="D107" s="4088"/>
    </row>
    <row r="108" spans="1:4" ht="15" customHeight="1">
      <c r="A108" s="4088" t="s">
        <v>10142</v>
      </c>
      <c r="B108" s="4088"/>
      <c r="C108" s="4088"/>
      <c r="D108" s="4088"/>
    </row>
    <row r="109" spans="1:4" ht="15" customHeight="1">
      <c r="A109" s="4088" t="s">
        <v>10141</v>
      </c>
      <c r="B109" s="4088"/>
      <c r="C109" s="4088"/>
      <c r="D109" s="4088"/>
    </row>
    <row r="110" spans="1:4" ht="27.75" customHeight="1">
      <c r="A110" s="4088" t="s">
        <v>10140</v>
      </c>
      <c r="B110" s="4088"/>
      <c r="C110" s="4088"/>
      <c r="D110" s="4088"/>
    </row>
    <row r="111" spans="1:4" ht="26.25" customHeight="1">
      <c r="A111" s="4088" t="s">
        <v>10139</v>
      </c>
      <c r="B111" s="4088"/>
      <c r="C111" s="4088"/>
      <c r="D111" s="4088"/>
    </row>
    <row r="112" spans="1:4" ht="24.75" customHeight="1">
      <c r="A112" s="4088" t="s">
        <v>10138</v>
      </c>
      <c r="B112" s="4088"/>
      <c r="C112" s="4088"/>
      <c r="D112" s="4088"/>
    </row>
    <row r="113" spans="1:4" ht="17.25" customHeight="1">
      <c r="A113" s="4088" t="s">
        <v>10137</v>
      </c>
      <c r="B113" s="4088"/>
      <c r="C113" s="4088"/>
      <c r="D113" s="4088"/>
    </row>
    <row r="114" spans="1:4" ht="16.5" customHeight="1">
      <c r="A114" s="4088" t="s">
        <v>10136</v>
      </c>
      <c r="B114" s="4088"/>
      <c r="C114" s="4088"/>
      <c r="D114" s="4088"/>
    </row>
    <row r="115" spans="1:4" ht="24.75" customHeight="1">
      <c r="A115" s="4088" t="s">
        <v>10135</v>
      </c>
      <c r="B115" s="4088"/>
      <c r="C115" s="4088"/>
      <c r="D115" s="4088"/>
    </row>
    <row r="116" spans="1:4">
      <c r="A116" s="2672"/>
      <c r="D116" s="2672"/>
    </row>
  </sheetData>
  <mergeCells count="110">
    <mergeCell ref="B48:C48"/>
    <mergeCell ref="A82:D82"/>
    <mergeCell ref="A83:D83"/>
    <mergeCell ref="A96:D96"/>
    <mergeCell ref="B68:C68"/>
    <mergeCell ref="B69:C69"/>
    <mergeCell ref="B70:C70"/>
    <mergeCell ref="B71:C71"/>
    <mergeCell ref="B63:C63"/>
    <mergeCell ref="B64:C64"/>
    <mergeCell ref="B79:C79"/>
    <mergeCell ref="A91:D91"/>
    <mergeCell ref="B59:C59"/>
    <mergeCell ref="B72:C72"/>
    <mergeCell ref="B73:C73"/>
    <mergeCell ref="B74:C74"/>
    <mergeCell ref="B75:C75"/>
    <mergeCell ref="B76:C76"/>
    <mergeCell ref="B77:C77"/>
    <mergeCell ref="A84:D84"/>
    <mergeCell ref="A85:D85"/>
    <mergeCell ref="B53:C53"/>
    <mergeCell ref="B60:C60"/>
    <mergeCell ref="B61:C61"/>
    <mergeCell ref="A109:D109"/>
    <mergeCell ref="A100:D100"/>
    <mergeCell ref="A103:D103"/>
    <mergeCell ref="A88:D88"/>
    <mergeCell ref="A89:D89"/>
    <mergeCell ref="A90:D90"/>
    <mergeCell ref="A86:D86"/>
    <mergeCell ref="A87:D87"/>
    <mergeCell ref="A80:D80"/>
    <mergeCell ref="A81:D81"/>
    <mergeCell ref="B62:C62"/>
    <mergeCell ref="A105:D105"/>
    <mergeCell ref="A106:D106"/>
    <mergeCell ref="B65:C65"/>
    <mergeCell ref="A99:D99"/>
    <mergeCell ref="A107:D107"/>
    <mergeCell ref="A108:D108"/>
    <mergeCell ref="B78:C78"/>
    <mergeCell ref="B66:C66"/>
    <mergeCell ref="B67:C67"/>
    <mergeCell ref="B24:C24"/>
    <mergeCell ref="B25:C25"/>
    <mergeCell ref="B26:C26"/>
    <mergeCell ref="B27:C27"/>
    <mergeCell ref="B28:C28"/>
    <mergeCell ref="B29:C29"/>
    <mergeCell ref="B52:C52"/>
    <mergeCell ref="A115:D115"/>
    <mergeCell ref="A92:D92"/>
    <mergeCell ref="A94:D94"/>
    <mergeCell ref="A95:D95"/>
    <mergeCell ref="A101:D101"/>
    <mergeCell ref="A102:D102"/>
    <mergeCell ref="A104:D104"/>
    <mergeCell ref="A110:D110"/>
    <mergeCell ref="A111:D111"/>
    <mergeCell ref="A112:D112"/>
    <mergeCell ref="A97:D97"/>
    <mergeCell ref="A98:D98"/>
    <mergeCell ref="A93:D93"/>
    <mergeCell ref="A113:D113"/>
    <mergeCell ref="A114:D114"/>
    <mergeCell ref="B57:C57"/>
    <mergeCell ref="B58:C58"/>
    <mergeCell ref="B30:C30"/>
    <mergeCell ref="B54:C54"/>
    <mergeCell ref="B55:C55"/>
    <mergeCell ref="B56:C56"/>
    <mergeCell ref="B33:C33"/>
    <mergeCell ref="B49:C49"/>
    <mergeCell ref="B50:C50"/>
    <mergeCell ref="B51:C51"/>
    <mergeCell ref="B35:C35"/>
    <mergeCell ref="B32:C32"/>
    <mergeCell ref="B31:C31"/>
    <mergeCell ref="B34:C34"/>
    <mergeCell ref="B42:C42"/>
    <mergeCell ref="B43:C43"/>
    <mergeCell ref="B44:C44"/>
    <mergeCell ref="B45:C45"/>
    <mergeCell ref="B46:C46"/>
    <mergeCell ref="B47:C47"/>
    <mergeCell ref="B36:C36"/>
    <mergeCell ref="B37:C37"/>
    <mergeCell ref="B38:C38"/>
    <mergeCell ref="B39:C39"/>
    <mergeCell ref="B40:C40"/>
    <mergeCell ref="B41:C41"/>
    <mergeCell ref="B7:B8"/>
    <mergeCell ref="A2:D2"/>
    <mergeCell ref="A4:B4"/>
    <mergeCell ref="B5:C5"/>
    <mergeCell ref="B6:C6"/>
    <mergeCell ref="B23:C23"/>
    <mergeCell ref="B20:C20"/>
    <mergeCell ref="B21:C21"/>
    <mergeCell ref="B22:C22"/>
    <mergeCell ref="B19:C19"/>
    <mergeCell ref="B9:C9"/>
    <mergeCell ref="B16:C16"/>
    <mergeCell ref="B17:C17"/>
    <mergeCell ref="B18:C18"/>
    <mergeCell ref="B10:C10"/>
    <mergeCell ref="B11:B13"/>
    <mergeCell ref="B14:C14"/>
    <mergeCell ref="B15:C15"/>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pageSetUpPr fitToPage="1"/>
  </sheetPr>
  <dimension ref="A1:F79"/>
  <sheetViews>
    <sheetView workbookViewId="0">
      <selection activeCell="E8" sqref="E8"/>
    </sheetView>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65" t="s">
        <v>10286</v>
      </c>
      <c r="B2" s="4065"/>
      <c r="C2" s="4065"/>
      <c r="D2" s="4065"/>
    </row>
    <row r="3" spans="1:6">
      <c r="A3" s="2688"/>
      <c r="B3" s="2687"/>
      <c r="C3" s="2687"/>
      <c r="D3" s="2686"/>
    </row>
    <row r="4" spans="1:6" ht="16.2" thickBot="1">
      <c r="A4" s="4066"/>
      <c r="B4" s="4067"/>
      <c r="C4" s="2685"/>
      <c r="D4" s="2684" t="s">
        <v>10285</v>
      </c>
    </row>
    <row r="5" spans="1:6" ht="15" customHeight="1">
      <c r="A5" s="2683" t="s">
        <v>6715</v>
      </c>
      <c r="B5" s="4068" t="s">
        <v>10284</v>
      </c>
      <c r="C5" s="4069"/>
      <c r="D5" s="2682" t="s">
        <v>10283</v>
      </c>
    </row>
    <row r="6" spans="1:6" ht="15" customHeight="1">
      <c r="A6" s="2676">
        <v>1</v>
      </c>
      <c r="B6" s="4070" t="s">
        <v>10246</v>
      </c>
      <c r="C6" s="4071"/>
      <c r="D6" s="2677">
        <f>SUM(D7:D9)</f>
        <v>0</v>
      </c>
      <c r="F6" s="2679"/>
    </row>
    <row r="7" spans="1:6" ht="15" customHeight="1">
      <c r="A7" s="2676">
        <v>1.1000000000000001</v>
      </c>
      <c r="B7" s="4063" t="s">
        <v>10282</v>
      </c>
      <c r="C7" s="2681" t="s">
        <v>10281</v>
      </c>
      <c r="D7" s="2690">
        <f>研发加计扣除归集审核表!D7</f>
        <v>0</v>
      </c>
      <c r="F7" s="2679"/>
    </row>
    <row r="8" spans="1:6" ht="15" customHeight="1">
      <c r="A8" s="2676">
        <v>1.2</v>
      </c>
      <c r="B8" s="4064"/>
      <c r="C8" s="2681" t="s">
        <v>10280</v>
      </c>
      <c r="D8" s="2690">
        <f>研发加计扣除归集审核表!D8</f>
        <v>0</v>
      </c>
      <c r="F8" s="2679"/>
    </row>
    <row r="9" spans="1:6" ht="15" customHeight="1">
      <c r="A9" s="2676">
        <v>1.3</v>
      </c>
      <c r="B9" s="4077" t="s">
        <v>10279</v>
      </c>
      <c r="C9" s="4073"/>
      <c r="D9" s="2690">
        <f>研发加计扣除归集审核表!D9</f>
        <v>0</v>
      </c>
      <c r="F9" s="2679"/>
    </row>
    <row r="10" spans="1:6" ht="15" customHeight="1">
      <c r="A10" s="2676">
        <v>2</v>
      </c>
      <c r="B10" s="4070" t="s">
        <v>10278</v>
      </c>
      <c r="C10" s="4071"/>
      <c r="D10" s="2677">
        <f>SUM(D11:D18)</f>
        <v>0</v>
      </c>
      <c r="F10" s="2679"/>
    </row>
    <row r="11" spans="1:6" ht="15" customHeight="1">
      <c r="A11" s="2676">
        <v>2.1</v>
      </c>
      <c r="B11" s="4063" t="s">
        <v>10277</v>
      </c>
      <c r="C11" s="2680" t="s">
        <v>10276</v>
      </c>
      <c r="D11" s="2690">
        <f>研发加计扣除归集审核表!D11</f>
        <v>0</v>
      </c>
      <c r="F11" s="2679"/>
    </row>
    <row r="12" spans="1:6" ht="15" customHeight="1">
      <c r="A12" s="2676">
        <v>2.2000000000000002</v>
      </c>
      <c r="B12" s="4080"/>
      <c r="C12" s="2680" t="s">
        <v>10275</v>
      </c>
      <c r="D12" s="2690">
        <f>研发加计扣除归集审核表!D12</f>
        <v>0</v>
      </c>
      <c r="F12" s="2679"/>
    </row>
    <row r="13" spans="1:6" ht="15" customHeight="1">
      <c r="A13" s="2676">
        <v>2.2999999999999998</v>
      </c>
      <c r="B13" s="4064"/>
      <c r="C13" s="2680" t="s">
        <v>10237</v>
      </c>
      <c r="D13" s="2690">
        <f>研发加计扣除归集审核表!D13</f>
        <v>0</v>
      </c>
      <c r="F13" s="2679"/>
    </row>
    <row r="14" spans="1:6" ht="15" customHeight="1">
      <c r="A14" s="2676">
        <v>2.4</v>
      </c>
      <c r="B14" s="4078" t="s">
        <v>10274</v>
      </c>
      <c r="C14" s="4079"/>
      <c r="D14" s="2690">
        <f>研发加计扣除归集审核表!D14</f>
        <v>0</v>
      </c>
      <c r="F14" s="2679"/>
    </row>
    <row r="15" spans="1:6" ht="15" customHeight="1">
      <c r="A15" s="2676">
        <v>2.5</v>
      </c>
      <c r="B15" s="4078" t="s">
        <v>10273</v>
      </c>
      <c r="C15" s="4079"/>
      <c r="D15" s="2690">
        <f>研发加计扣除归集审核表!D15</f>
        <v>0</v>
      </c>
      <c r="F15" s="2679"/>
    </row>
    <row r="16" spans="1:6" ht="15" customHeight="1">
      <c r="A16" s="2676">
        <v>2.6</v>
      </c>
      <c r="B16" s="4078" t="s">
        <v>10272</v>
      </c>
      <c r="C16" s="4079"/>
      <c r="D16" s="2690">
        <f>研发加计扣除归集审核表!D16</f>
        <v>0</v>
      </c>
      <c r="F16" s="2679"/>
    </row>
    <row r="17" spans="1:6" ht="15" customHeight="1">
      <c r="A17" s="2676">
        <v>2.7</v>
      </c>
      <c r="B17" s="4078" t="s">
        <v>10271</v>
      </c>
      <c r="C17" s="4079"/>
      <c r="D17" s="2690">
        <f>研发加计扣除归集审核表!D17</f>
        <v>0</v>
      </c>
      <c r="F17" s="2679"/>
    </row>
    <row r="18" spans="1:6" ht="15" customHeight="1">
      <c r="A18" s="2676">
        <v>2.8</v>
      </c>
      <c r="B18" s="4078" t="s">
        <v>10270</v>
      </c>
      <c r="C18" s="4079"/>
      <c r="D18" s="2690">
        <f>研发加计扣除归集审核表!D18</f>
        <v>0</v>
      </c>
      <c r="F18" s="2679"/>
    </row>
    <row r="19" spans="1:6" ht="15" customHeight="1">
      <c r="A19" s="2676">
        <v>3</v>
      </c>
      <c r="B19" s="4075" t="s">
        <v>10231</v>
      </c>
      <c r="C19" s="4076"/>
      <c r="D19" s="2677">
        <f>SUM(D20:D21)</f>
        <v>0</v>
      </c>
      <c r="F19" s="2679"/>
    </row>
    <row r="20" spans="1:6" ht="15" customHeight="1">
      <c r="A20" s="2676">
        <v>3.1</v>
      </c>
      <c r="B20" s="4072" t="s">
        <v>10269</v>
      </c>
      <c r="C20" s="4074"/>
      <c r="D20" s="2690">
        <f>研发加计扣除归集审核表!D20</f>
        <v>0</v>
      </c>
      <c r="F20" s="2679"/>
    </row>
    <row r="21" spans="1:6" ht="15" customHeight="1">
      <c r="A21" s="2676">
        <v>3.2</v>
      </c>
      <c r="B21" s="4072" t="s">
        <v>10268</v>
      </c>
      <c r="C21" s="4074"/>
      <c r="D21" s="2690">
        <f>研发加计扣除归集审核表!D21</f>
        <v>0</v>
      </c>
      <c r="F21" s="2679"/>
    </row>
    <row r="22" spans="1:6" ht="15" customHeight="1">
      <c r="A22" s="2676">
        <v>4</v>
      </c>
      <c r="B22" s="4075" t="s">
        <v>10267</v>
      </c>
      <c r="C22" s="4076"/>
      <c r="D22" s="2677">
        <f>SUM(D23:D25)</f>
        <v>0</v>
      </c>
      <c r="F22" s="2679"/>
    </row>
    <row r="23" spans="1:6" ht="15" customHeight="1">
      <c r="A23" s="2676">
        <v>4.0999999999999996</v>
      </c>
      <c r="B23" s="4072" t="s">
        <v>10266</v>
      </c>
      <c r="C23" s="4073"/>
      <c r="D23" s="2690">
        <f>研发加计扣除归集审核表!D23</f>
        <v>0</v>
      </c>
      <c r="F23" s="2679"/>
    </row>
    <row r="24" spans="1:6" ht="15" customHeight="1">
      <c r="A24" s="2676">
        <v>4.2</v>
      </c>
      <c r="B24" s="4072" t="s">
        <v>10226</v>
      </c>
      <c r="C24" s="4073"/>
      <c r="D24" s="2690">
        <f>研发加计扣除归集审核表!D24</f>
        <v>0</v>
      </c>
      <c r="F24" s="2679"/>
    </row>
    <row r="25" spans="1:6" ht="15" customHeight="1">
      <c r="A25" s="2676">
        <v>4.3</v>
      </c>
      <c r="B25" s="4081" t="s">
        <v>10265</v>
      </c>
      <c r="C25" s="4086"/>
      <c r="D25" s="2690">
        <f>研发加计扣除归集审核表!D25</f>
        <v>0</v>
      </c>
      <c r="F25" s="2679"/>
    </row>
    <row r="26" spans="1:6" ht="15" customHeight="1">
      <c r="A26" s="2676">
        <v>5</v>
      </c>
      <c r="B26" s="4087" t="s">
        <v>10264</v>
      </c>
      <c r="C26" s="4087"/>
      <c r="D26" s="2677">
        <f>SUM(D27:D30)</f>
        <v>0</v>
      </c>
      <c r="F26" s="2679"/>
    </row>
    <row r="27" spans="1:6" ht="15" customHeight="1">
      <c r="A27" s="2676">
        <v>5.0999999999999996</v>
      </c>
      <c r="B27" s="4081" t="s">
        <v>10263</v>
      </c>
      <c r="C27" s="4081"/>
      <c r="D27" s="2690">
        <f>研发加计扣除归集审核表!D27</f>
        <v>0</v>
      </c>
      <c r="F27" s="2679"/>
    </row>
    <row r="28" spans="1:6" ht="15" customHeight="1">
      <c r="A28" s="2676">
        <v>5.2</v>
      </c>
      <c r="B28" s="4081" t="s">
        <v>10262</v>
      </c>
      <c r="C28" s="4081"/>
      <c r="D28" s="2690">
        <f>研发加计扣除归集审核表!D28</f>
        <v>0</v>
      </c>
      <c r="F28" s="2679"/>
    </row>
    <row r="29" spans="1:6" ht="15" customHeight="1">
      <c r="A29" s="2676">
        <v>5.3</v>
      </c>
      <c r="B29" s="4081" t="s">
        <v>10261</v>
      </c>
      <c r="C29" s="4081"/>
      <c r="D29" s="2690">
        <f>研发加计扣除归集审核表!D29</f>
        <v>0</v>
      </c>
      <c r="F29" s="2679"/>
    </row>
    <row r="30" spans="1:6" ht="15" customHeight="1">
      <c r="A30" s="2676">
        <v>5.4</v>
      </c>
      <c r="B30" s="4081" t="s">
        <v>10260</v>
      </c>
      <c r="C30" s="4081"/>
      <c r="D30" s="2690">
        <f>研发加计扣除归集审核表!D30</f>
        <v>0</v>
      </c>
      <c r="F30" s="2679"/>
    </row>
    <row r="31" spans="1:6" ht="15" customHeight="1">
      <c r="A31" s="2676">
        <v>6</v>
      </c>
      <c r="B31" s="4084" t="s">
        <v>10259</v>
      </c>
      <c r="C31" s="4085"/>
      <c r="D31" s="2677">
        <f>SUM(D32:D71)</f>
        <v>0</v>
      </c>
    </row>
    <row r="32" spans="1:6" ht="15" customHeight="1">
      <c r="A32" s="2678" t="s">
        <v>10258</v>
      </c>
      <c r="B32" s="4092" t="str">
        <f>研发加计扣除归集审核表!B32&amp;""</f>
        <v/>
      </c>
      <c r="C32" s="4093"/>
      <c r="D32" s="2690">
        <f>研发加计扣除归集审核表!D32</f>
        <v>0</v>
      </c>
    </row>
    <row r="33" spans="1:4" ht="15" customHeight="1">
      <c r="A33" s="2678" t="s">
        <v>10217</v>
      </c>
      <c r="B33" s="4092" t="str">
        <f>研发加计扣除归集审核表!B33&amp;""</f>
        <v/>
      </c>
      <c r="C33" s="4093"/>
      <c r="D33" s="2690">
        <f>研发加计扣除归集审核表!D33</f>
        <v>0</v>
      </c>
    </row>
    <row r="34" spans="1:4" ht="15" customHeight="1">
      <c r="A34" s="2678" t="s">
        <v>10216</v>
      </c>
      <c r="B34" s="4092" t="str">
        <f>研发加计扣除归集审核表!B34&amp;""</f>
        <v/>
      </c>
      <c r="C34" s="4093"/>
      <c r="D34" s="2690">
        <f>研发加计扣除归集审核表!D34</f>
        <v>0</v>
      </c>
    </row>
    <row r="35" spans="1:4" ht="15" customHeight="1">
      <c r="A35" s="2678" t="s">
        <v>10215</v>
      </c>
      <c r="B35" s="4092" t="str">
        <f>研发加计扣除归集审核表!B35&amp;""</f>
        <v/>
      </c>
      <c r="C35" s="4093"/>
      <c r="D35" s="2690">
        <f>研发加计扣除归集审核表!D35</f>
        <v>0</v>
      </c>
    </row>
    <row r="36" spans="1:4" ht="15" customHeight="1">
      <c r="A36" s="2678" t="s">
        <v>10214</v>
      </c>
      <c r="B36" s="4092" t="str">
        <f>研发加计扣除归集审核表!B36&amp;""</f>
        <v/>
      </c>
      <c r="C36" s="4093"/>
      <c r="D36" s="2690">
        <f>研发加计扣除归集审核表!D36</f>
        <v>0</v>
      </c>
    </row>
    <row r="37" spans="1:4" ht="15" customHeight="1">
      <c r="A37" s="2678" t="s">
        <v>10213</v>
      </c>
      <c r="B37" s="4092" t="str">
        <f>研发加计扣除归集审核表!B37&amp;""</f>
        <v/>
      </c>
      <c r="C37" s="4093"/>
      <c r="D37" s="2690">
        <f>研发加计扣除归集审核表!D37</f>
        <v>0</v>
      </c>
    </row>
    <row r="38" spans="1:4" ht="15" customHeight="1">
      <c r="A38" s="2678" t="s">
        <v>10212</v>
      </c>
      <c r="B38" s="4092" t="str">
        <f>研发加计扣除归集审核表!B38&amp;""</f>
        <v/>
      </c>
      <c r="C38" s="4093"/>
      <c r="D38" s="2690">
        <f>研发加计扣除归集审核表!D38</f>
        <v>0</v>
      </c>
    </row>
    <row r="39" spans="1:4" ht="15" customHeight="1">
      <c r="A39" s="2678" t="s">
        <v>10211</v>
      </c>
      <c r="B39" s="4092" t="str">
        <f>研发加计扣除归集审核表!B39&amp;""</f>
        <v/>
      </c>
      <c r="C39" s="4093"/>
      <c r="D39" s="2690">
        <f>研发加计扣除归集审核表!D39</f>
        <v>0</v>
      </c>
    </row>
    <row r="40" spans="1:4" ht="15" customHeight="1">
      <c r="A40" s="2678" t="s">
        <v>10210</v>
      </c>
      <c r="B40" s="4092" t="str">
        <f>研发加计扣除归集审核表!B40&amp;""</f>
        <v/>
      </c>
      <c r="C40" s="4093"/>
      <c r="D40" s="2690">
        <f>研发加计扣除归集审核表!D40</f>
        <v>0</v>
      </c>
    </row>
    <row r="41" spans="1:4" ht="15" customHeight="1">
      <c r="A41" s="2678" t="s">
        <v>10209</v>
      </c>
      <c r="B41" s="4092" t="str">
        <f>研发加计扣除归集审核表!B41&amp;""</f>
        <v/>
      </c>
      <c r="C41" s="4093"/>
      <c r="D41" s="2690">
        <f>研发加计扣除归集审核表!D41</f>
        <v>0</v>
      </c>
    </row>
    <row r="42" spans="1:4" ht="15" customHeight="1">
      <c r="A42" s="2678" t="s">
        <v>10208</v>
      </c>
      <c r="B42" s="4092" t="str">
        <f>研发加计扣除归集审核表!B42&amp;""</f>
        <v/>
      </c>
      <c r="C42" s="4093"/>
      <c r="D42" s="2690">
        <f>研发加计扣除归集审核表!D42</f>
        <v>0</v>
      </c>
    </row>
    <row r="43" spans="1:4" ht="15" customHeight="1">
      <c r="A43" s="2678" t="s">
        <v>10207</v>
      </c>
      <c r="B43" s="4092" t="str">
        <f>研发加计扣除归集审核表!B43&amp;""</f>
        <v/>
      </c>
      <c r="C43" s="4093"/>
      <c r="D43" s="2690">
        <f>研发加计扣除归集审核表!D43</f>
        <v>0</v>
      </c>
    </row>
    <row r="44" spans="1:4" ht="15" customHeight="1">
      <c r="A44" s="2678" t="s">
        <v>10206</v>
      </c>
      <c r="B44" s="4092" t="str">
        <f>研发加计扣除归集审核表!B44&amp;""</f>
        <v/>
      </c>
      <c r="C44" s="4093"/>
      <c r="D44" s="2690">
        <f>研发加计扣除归集审核表!D44</f>
        <v>0</v>
      </c>
    </row>
    <row r="45" spans="1:4" ht="15" customHeight="1">
      <c r="A45" s="2678" t="s">
        <v>10205</v>
      </c>
      <c r="B45" s="4092" t="str">
        <f>研发加计扣除归集审核表!B45&amp;""</f>
        <v/>
      </c>
      <c r="C45" s="4093"/>
      <c r="D45" s="2690">
        <f>研发加计扣除归集审核表!D45</f>
        <v>0</v>
      </c>
    </row>
    <row r="46" spans="1:4" ht="15" customHeight="1">
      <c r="A46" s="2678" t="s">
        <v>10204</v>
      </c>
      <c r="B46" s="4092" t="str">
        <f>研发加计扣除归集审核表!B46&amp;""</f>
        <v/>
      </c>
      <c r="C46" s="4093"/>
      <c r="D46" s="2690">
        <f>研发加计扣除归集审核表!D46</f>
        <v>0</v>
      </c>
    </row>
    <row r="47" spans="1:4" ht="15" customHeight="1">
      <c r="A47" s="2678" t="s">
        <v>10203</v>
      </c>
      <c r="B47" s="4092" t="str">
        <f>研发加计扣除归集审核表!B47&amp;""</f>
        <v/>
      </c>
      <c r="C47" s="4093"/>
      <c r="D47" s="2690">
        <f>研发加计扣除归集审核表!D47</f>
        <v>0</v>
      </c>
    </row>
    <row r="48" spans="1:4" ht="15" customHeight="1">
      <c r="A48" s="2678" t="s">
        <v>10202</v>
      </c>
      <c r="B48" s="4092" t="str">
        <f>研发加计扣除归集审核表!B48&amp;""</f>
        <v/>
      </c>
      <c r="C48" s="4093"/>
      <c r="D48" s="2690">
        <f>研发加计扣除归集审核表!D48</f>
        <v>0</v>
      </c>
    </row>
    <row r="49" spans="1:4" ht="15" customHeight="1">
      <c r="A49" s="2678" t="s">
        <v>10201</v>
      </c>
      <c r="B49" s="4092" t="str">
        <f>研发加计扣除归集审核表!B49&amp;""</f>
        <v/>
      </c>
      <c r="C49" s="4093"/>
      <c r="D49" s="2690">
        <f>研发加计扣除归集审核表!D49</f>
        <v>0</v>
      </c>
    </row>
    <row r="50" spans="1:4" ht="15" customHeight="1">
      <c r="A50" s="2678" t="s">
        <v>10200</v>
      </c>
      <c r="B50" s="4092" t="str">
        <f>研发加计扣除归集审核表!B50&amp;""</f>
        <v/>
      </c>
      <c r="C50" s="4093"/>
      <c r="D50" s="2690">
        <f>研发加计扣除归集审核表!D50</f>
        <v>0</v>
      </c>
    </row>
    <row r="51" spans="1:4" ht="15" customHeight="1">
      <c r="A51" s="2678" t="s">
        <v>10199</v>
      </c>
      <c r="B51" s="4092" t="str">
        <f>研发加计扣除归集审核表!B51&amp;""</f>
        <v/>
      </c>
      <c r="C51" s="4093"/>
      <c r="D51" s="2690">
        <f>研发加计扣除归集审核表!D51</f>
        <v>0</v>
      </c>
    </row>
    <row r="52" spans="1:4" ht="15" customHeight="1">
      <c r="A52" s="2678" t="s">
        <v>10198</v>
      </c>
      <c r="B52" s="4092" t="str">
        <f>研发加计扣除归集审核表!B52&amp;""</f>
        <v/>
      </c>
      <c r="C52" s="4093"/>
      <c r="D52" s="2690">
        <f>研发加计扣除归集审核表!D52</f>
        <v>0</v>
      </c>
    </row>
    <row r="53" spans="1:4" ht="15" customHeight="1">
      <c r="A53" s="2678" t="s">
        <v>10197</v>
      </c>
      <c r="B53" s="4092" t="str">
        <f>研发加计扣除归集审核表!B53&amp;""</f>
        <v/>
      </c>
      <c r="C53" s="4093"/>
      <c r="D53" s="2690">
        <f>研发加计扣除归集审核表!D53</f>
        <v>0</v>
      </c>
    </row>
    <row r="54" spans="1:4" ht="15" customHeight="1">
      <c r="A54" s="2678" t="s">
        <v>10196</v>
      </c>
      <c r="B54" s="4092" t="str">
        <f>研发加计扣除归集审核表!B54&amp;""</f>
        <v/>
      </c>
      <c r="C54" s="4093"/>
      <c r="D54" s="2690">
        <f>研发加计扣除归集审核表!D54</f>
        <v>0</v>
      </c>
    </row>
    <row r="55" spans="1:4" ht="15" customHeight="1">
      <c r="A55" s="2678" t="s">
        <v>10195</v>
      </c>
      <c r="B55" s="4092" t="str">
        <f>研发加计扣除归集审核表!B55&amp;""</f>
        <v/>
      </c>
      <c r="C55" s="4093"/>
      <c r="D55" s="2690">
        <f>研发加计扣除归集审核表!D55</f>
        <v>0</v>
      </c>
    </row>
    <row r="56" spans="1:4" ht="15" customHeight="1">
      <c r="A56" s="2678" t="s">
        <v>10194</v>
      </c>
      <c r="B56" s="4092" t="str">
        <f>研发加计扣除归集审核表!B56&amp;""</f>
        <v/>
      </c>
      <c r="C56" s="4093"/>
      <c r="D56" s="2690">
        <f>研发加计扣除归集审核表!D56</f>
        <v>0</v>
      </c>
    </row>
    <row r="57" spans="1:4" ht="15" customHeight="1">
      <c r="A57" s="2678" t="s">
        <v>10193</v>
      </c>
      <c r="B57" s="4092" t="str">
        <f>研发加计扣除归集审核表!B57&amp;""</f>
        <v/>
      </c>
      <c r="C57" s="4093"/>
      <c r="D57" s="2690">
        <f>研发加计扣除归集审核表!D57</f>
        <v>0</v>
      </c>
    </row>
    <row r="58" spans="1:4" ht="15" customHeight="1">
      <c r="A58" s="2678" t="s">
        <v>10192</v>
      </c>
      <c r="B58" s="4092" t="str">
        <f>研发加计扣除归集审核表!B58&amp;""</f>
        <v/>
      </c>
      <c r="C58" s="4093"/>
      <c r="D58" s="2690">
        <f>研发加计扣除归集审核表!D58</f>
        <v>0</v>
      </c>
    </row>
    <row r="59" spans="1:4" ht="15" customHeight="1">
      <c r="A59" s="2678" t="s">
        <v>10191</v>
      </c>
      <c r="B59" s="4092" t="str">
        <f>研发加计扣除归集审核表!B59&amp;""</f>
        <v/>
      </c>
      <c r="C59" s="4093"/>
      <c r="D59" s="2690">
        <f>研发加计扣除归集审核表!D59</f>
        <v>0</v>
      </c>
    </row>
    <row r="60" spans="1:4" ht="15" customHeight="1">
      <c r="A60" s="2678" t="s">
        <v>10190</v>
      </c>
      <c r="B60" s="4092" t="str">
        <f>研发加计扣除归集审核表!B60&amp;""</f>
        <v/>
      </c>
      <c r="C60" s="4093"/>
      <c r="D60" s="2690">
        <f>研发加计扣除归集审核表!D60</f>
        <v>0</v>
      </c>
    </row>
    <row r="61" spans="1:4" ht="15" customHeight="1">
      <c r="A61" s="2678" t="s">
        <v>10189</v>
      </c>
      <c r="B61" s="4092" t="str">
        <f>研发加计扣除归集审核表!B61&amp;""</f>
        <v/>
      </c>
      <c r="C61" s="4093"/>
      <c r="D61" s="2690">
        <f>研发加计扣除归集审核表!D61</f>
        <v>0</v>
      </c>
    </row>
    <row r="62" spans="1:4" ht="15" customHeight="1">
      <c r="A62" s="2678" t="s">
        <v>10188</v>
      </c>
      <c r="B62" s="4092" t="str">
        <f>研发加计扣除归集审核表!B62&amp;""</f>
        <v/>
      </c>
      <c r="C62" s="4093"/>
      <c r="D62" s="2690">
        <f>研发加计扣除归集审核表!D62</f>
        <v>0</v>
      </c>
    </row>
    <row r="63" spans="1:4" ht="15" customHeight="1">
      <c r="A63" s="2678" t="s">
        <v>10187</v>
      </c>
      <c r="B63" s="4092" t="str">
        <f>研发加计扣除归集审核表!B63&amp;""</f>
        <v/>
      </c>
      <c r="C63" s="4093"/>
      <c r="D63" s="2690">
        <f>研发加计扣除归集审核表!D63</f>
        <v>0</v>
      </c>
    </row>
    <row r="64" spans="1:4" ht="15" customHeight="1">
      <c r="A64" s="2678" t="s">
        <v>10186</v>
      </c>
      <c r="B64" s="4092" t="str">
        <f>研发加计扣除归集审核表!B64&amp;""</f>
        <v/>
      </c>
      <c r="C64" s="4093"/>
      <c r="D64" s="2690">
        <f>研发加计扣除归集审核表!D64</f>
        <v>0</v>
      </c>
    </row>
    <row r="65" spans="1:4" ht="15" customHeight="1">
      <c r="A65" s="2678" t="s">
        <v>10185</v>
      </c>
      <c r="B65" s="4092" t="str">
        <f>研发加计扣除归集审核表!B65&amp;""</f>
        <v/>
      </c>
      <c r="C65" s="4093"/>
      <c r="D65" s="2690">
        <f>研发加计扣除归集审核表!D65</f>
        <v>0</v>
      </c>
    </row>
    <row r="66" spans="1:4" ht="15" customHeight="1">
      <c r="A66" s="2678" t="s">
        <v>10184</v>
      </c>
      <c r="B66" s="4092" t="str">
        <f>研发加计扣除归集审核表!B66&amp;""</f>
        <v/>
      </c>
      <c r="C66" s="4093"/>
      <c r="D66" s="2690">
        <f>研发加计扣除归集审核表!D66</f>
        <v>0</v>
      </c>
    </row>
    <row r="67" spans="1:4" ht="15" customHeight="1">
      <c r="A67" s="2678" t="s">
        <v>10183</v>
      </c>
      <c r="B67" s="4092" t="str">
        <f>研发加计扣除归集审核表!B67&amp;""</f>
        <v/>
      </c>
      <c r="C67" s="4093"/>
      <c r="D67" s="2690">
        <f>研发加计扣除归集审核表!D67</f>
        <v>0</v>
      </c>
    </row>
    <row r="68" spans="1:4" ht="15" customHeight="1">
      <c r="A68" s="2678" t="s">
        <v>10182</v>
      </c>
      <c r="B68" s="4092" t="str">
        <f>研发加计扣除归集审核表!B68&amp;""</f>
        <v/>
      </c>
      <c r="C68" s="4093"/>
      <c r="D68" s="2690">
        <f>研发加计扣除归集审核表!D68</f>
        <v>0</v>
      </c>
    </row>
    <row r="69" spans="1:4" ht="15" customHeight="1">
      <c r="A69" s="2678" t="s">
        <v>10181</v>
      </c>
      <c r="B69" s="4092" t="str">
        <f>研发加计扣除归集审核表!B69&amp;""</f>
        <v/>
      </c>
      <c r="C69" s="4093"/>
      <c r="D69" s="2690">
        <f>研发加计扣除归集审核表!D69</f>
        <v>0</v>
      </c>
    </row>
    <row r="70" spans="1:4" ht="15" customHeight="1">
      <c r="A70" s="2678" t="s">
        <v>10180</v>
      </c>
      <c r="B70" s="4092" t="str">
        <f>研发加计扣除归集审核表!B70&amp;""</f>
        <v/>
      </c>
      <c r="C70" s="4093"/>
      <c r="D70" s="2690">
        <f>研发加计扣除归集审核表!D70</f>
        <v>0</v>
      </c>
    </row>
    <row r="71" spans="1:4" ht="15" customHeight="1">
      <c r="A71" s="2678" t="s">
        <v>10179</v>
      </c>
      <c r="B71" s="4092" t="str">
        <f>研发加计扣除归集审核表!B71&amp;""</f>
        <v/>
      </c>
      <c r="C71" s="4093"/>
      <c r="D71" s="2690">
        <f>研发加计扣除归集审核表!D71</f>
        <v>0</v>
      </c>
    </row>
    <row r="72" spans="1:4" ht="15" customHeight="1">
      <c r="A72" s="2676">
        <v>7</v>
      </c>
      <c r="B72" s="4070" t="s">
        <v>10178</v>
      </c>
      <c r="C72" s="4071"/>
      <c r="D72" s="2690">
        <f>研发加计扣除归集审核表!D72</f>
        <v>0</v>
      </c>
    </row>
    <row r="73" spans="1:4" ht="15" customHeight="1">
      <c r="A73" s="2676">
        <v>7.1</v>
      </c>
      <c r="B73" s="4077" t="s">
        <v>10257</v>
      </c>
      <c r="C73" s="4073"/>
      <c r="D73" s="2690">
        <f>研发加计扣除归集审核表!D73</f>
        <v>0</v>
      </c>
    </row>
    <row r="74" spans="1:4" ht="15" customHeight="1">
      <c r="A74" s="2676">
        <v>8</v>
      </c>
      <c r="B74" s="4070" t="s">
        <v>10256</v>
      </c>
      <c r="C74" s="4071"/>
      <c r="D74" s="2677">
        <f>D6+D10+D19+D22+D26</f>
        <v>0</v>
      </c>
    </row>
    <row r="75" spans="1:4" ht="15" customHeight="1">
      <c r="A75" s="2676">
        <v>8.1</v>
      </c>
      <c r="B75" s="4072" t="s">
        <v>10175</v>
      </c>
      <c r="C75" s="4074"/>
      <c r="D75" s="2677">
        <f>ROUND(D74*0.1/0.9,2)</f>
        <v>0</v>
      </c>
    </row>
    <row r="76" spans="1:4" ht="15" customHeight="1">
      <c r="A76" s="2676">
        <v>9</v>
      </c>
      <c r="B76" s="4070" t="s">
        <v>10255</v>
      </c>
      <c r="C76" s="4071"/>
      <c r="D76" s="2690">
        <f>研发加计扣除归集审核表!D76</f>
        <v>0</v>
      </c>
    </row>
    <row r="77" spans="1:4" ht="15" customHeight="1">
      <c r="A77" s="2676">
        <v>10</v>
      </c>
      <c r="B77" s="4070" t="s">
        <v>10254</v>
      </c>
      <c r="C77" s="4071"/>
      <c r="D77" s="2690">
        <f>研发加计扣除归集审核表!D77</f>
        <v>0</v>
      </c>
    </row>
    <row r="78" spans="1:4" ht="15" customHeight="1">
      <c r="A78" s="2676">
        <v>10.1</v>
      </c>
      <c r="B78" s="4077" t="s">
        <v>10253</v>
      </c>
      <c r="C78" s="4073"/>
      <c r="D78" s="2690">
        <f>研发加计扣除归集审核表!D78</f>
        <v>0</v>
      </c>
    </row>
    <row r="79" spans="1:4" ht="15" customHeight="1" thickBot="1">
      <c r="A79" s="2674">
        <v>11</v>
      </c>
      <c r="B79" s="4090" t="s">
        <v>10252</v>
      </c>
      <c r="C79" s="4091"/>
      <c r="D79" s="2673">
        <f>ROUND((D76+D78)*0.5,2)</f>
        <v>0</v>
      </c>
    </row>
  </sheetData>
  <mergeCells count="74">
    <mergeCell ref="B78:C78"/>
    <mergeCell ref="B79:C79"/>
    <mergeCell ref="B72:C72"/>
    <mergeCell ref="B73:C73"/>
    <mergeCell ref="B74:C74"/>
    <mergeCell ref="B75:C75"/>
    <mergeCell ref="B76:C76"/>
    <mergeCell ref="B77:C77"/>
    <mergeCell ref="B57:C57"/>
    <mergeCell ref="B58:C58"/>
    <mergeCell ref="B71:C71"/>
    <mergeCell ref="B60:C60"/>
    <mergeCell ref="B61:C61"/>
    <mergeCell ref="B62:C62"/>
    <mergeCell ref="B63:C63"/>
    <mergeCell ref="B64:C64"/>
    <mergeCell ref="B65:C65"/>
    <mergeCell ref="B66:C66"/>
    <mergeCell ref="B59:C59"/>
    <mergeCell ref="B67:C67"/>
    <mergeCell ref="B68:C68"/>
    <mergeCell ref="B69:C69"/>
    <mergeCell ref="B70:C70"/>
    <mergeCell ref="B53:C53"/>
    <mergeCell ref="B54:C54"/>
    <mergeCell ref="B55:C55"/>
    <mergeCell ref="B56:C56"/>
    <mergeCell ref="B41:C41"/>
    <mergeCell ref="B42:C42"/>
    <mergeCell ref="B43:C43"/>
    <mergeCell ref="B44:C44"/>
    <mergeCell ref="B45:C45"/>
    <mergeCell ref="B46:C46"/>
    <mergeCell ref="B48:C48"/>
    <mergeCell ref="B49:C49"/>
    <mergeCell ref="B50:C50"/>
    <mergeCell ref="B51:C51"/>
    <mergeCell ref="B52:C52"/>
    <mergeCell ref="B47:C47"/>
    <mergeCell ref="B36:C36"/>
    <mergeCell ref="B37:C37"/>
    <mergeCell ref="B38:C38"/>
    <mergeCell ref="B39:C39"/>
    <mergeCell ref="B40:C40"/>
    <mergeCell ref="B21:C21"/>
    <mergeCell ref="B22:C22"/>
    <mergeCell ref="B35:C35"/>
    <mergeCell ref="B24:C24"/>
    <mergeCell ref="B25:C25"/>
    <mergeCell ref="B26:C26"/>
    <mergeCell ref="B27:C27"/>
    <mergeCell ref="B28:C28"/>
    <mergeCell ref="B29:C29"/>
    <mergeCell ref="B30:C30"/>
    <mergeCell ref="B23:C23"/>
    <mergeCell ref="B31:C31"/>
    <mergeCell ref="B32:C32"/>
    <mergeCell ref="B33:C33"/>
    <mergeCell ref="B34:C34"/>
    <mergeCell ref="B17:C17"/>
    <mergeCell ref="B18:C18"/>
    <mergeCell ref="B19:C19"/>
    <mergeCell ref="B20:C20"/>
    <mergeCell ref="B9:C9"/>
    <mergeCell ref="B10:C10"/>
    <mergeCell ref="B11:B13"/>
    <mergeCell ref="B14:C14"/>
    <mergeCell ref="B15:C15"/>
    <mergeCell ref="B16:C16"/>
    <mergeCell ref="A2:D2"/>
    <mergeCell ref="A4:B4"/>
    <mergeCell ref="B5:C5"/>
    <mergeCell ref="B6:C6"/>
    <mergeCell ref="B7:B8"/>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5.6"/>
  <cols>
    <col min="1" max="1" width="5.5" style="1498" bestFit="1" customWidth="1"/>
    <col min="2" max="2" width="7.3984375" style="1498" customWidth="1"/>
    <col min="3" max="4" width="13.59765625" style="1498" customWidth="1"/>
    <col min="5" max="5" width="32" style="1498" customWidth="1"/>
    <col min="6" max="6" width="21.3984375" style="1510" customWidth="1"/>
    <col min="7" max="7" width="12.59765625" style="1498" customWidth="1"/>
    <col min="8" max="256" width="9" style="1498"/>
    <col min="257" max="257" width="5.5" style="1498" bestFit="1" customWidth="1"/>
    <col min="258" max="258" width="7.3984375" style="1498" customWidth="1"/>
    <col min="259" max="260" width="13.59765625" style="1498" customWidth="1"/>
    <col min="261" max="261" width="32" style="1498" customWidth="1"/>
    <col min="262" max="262" width="21.3984375" style="1498" customWidth="1"/>
    <col min="263" max="263" width="12.59765625" style="1498" customWidth="1"/>
    <col min="264" max="512" width="9" style="1498"/>
    <col min="513" max="513" width="5.5" style="1498" bestFit="1" customWidth="1"/>
    <col min="514" max="514" width="7.3984375" style="1498" customWidth="1"/>
    <col min="515" max="516" width="13.59765625" style="1498" customWidth="1"/>
    <col min="517" max="517" width="32" style="1498" customWidth="1"/>
    <col min="518" max="518" width="21.3984375" style="1498" customWidth="1"/>
    <col min="519" max="519" width="12.59765625" style="1498" customWidth="1"/>
    <col min="520" max="768" width="9" style="1498"/>
    <col min="769" max="769" width="5.5" style="1498" bestFit="1" customWidth="1"/>
    <col min="770" max="770" width="7.3984375" style="1498" customWidth="1"/>
    <col min="771" max="772" width="13.59765625" style="1498" customWidth="1"/>
    <col min="773" max="773" width="32" style="1498" customWidth="1"/>
    <col min="774" max="774" width="21.3984375" style="1498" customWidth="1"/>
    <col min="775" max="775" width="12.59765625" style="1498" customWidth="1"/>
    <col min="776" max="1024" width="9" style="1498"/>
    <col min="1025" max="1025" width="5.5" style="1498" bestFit="1" customWidth="1"/>
    <col min="1026" max="1026" width="7.3984375" style="1498" customWidth="1"/>
    <col min="1027" max="1028" width="13.59765625" style="1498" customWidth="1"/>
    <col min="1029" max="1029" width="32" style="1498" customWidth="1"/>
    <col min="1030" max="1030" width="21.3984375" style="1498" customWidth="1"/>
    <col min="1031" max="1031" width="12.59765625" style="1498" customWidth="1"/>
    <col min="1032" max="1280" width="9" style="1498"/>
    <col min="1281" max="1281" width="5.5" style="1498" bestFit="1" customWidth="1"/>
    <col min="1282" max="1282" width="7.3984375" style="1498" customWidth="1"/>
    <col min="1283" max="1284" width="13.59765625" style="1498" customWidth="1"/>
    <col min="1285" max="1285" width="32" style="1498" customWidth="1"/>
    <col min="1286" max="1286" width="21.3984375" style="1498" customWidth="1"/>
    <col min="1287" max="1287" width="12.59765625" style="1498" customWidth="1"/>
    <col min="1288" max="1536" width="9" style="1498"/>
    <col min="1537" max="1537" width="5.5" style="1498" bestFit="1" customWidth="1"/>
    <col min="1538" max="1538" width="7.3984375" style="1498" customWidth="1"/>
    <col min="1539" max="1540" width="13.59765625" style="1498" customWidth="1"/>
    <col min="1541" max="1541" width="32" style="1498" customWidth="1"/>
    <col min="1542" max="1542" width="21.3984375" style="1498" customWidth="1"/>
    <col min="1543" max="1543" width="12.59765625" style="1498" customWidth="1"/>
    <col min="1544" max="1792" width="9" style="1498"/>
    <col min="1793" max="1793" width="5.5" style="1498" bestFit="1" customWidth="1"/>
    <col min="1794" max="1794" width="7.3984375" style="1498" customWidth="1"/>
    <col min="1795" max="1796" width="13.59765625" style="1498" customWidth="1"/>
    <col min="1797" max="1797" width="32" style="1498" customWidth="1"/>
    <col min="1798" max="1798" width="21.3984375" style="1498" customWidth="1"/>
    <col min="1799" max="1799" width="12.59765625" style="1498" customWidth="1"/>
    <col min="1800" max="2048" width="9" style="1498"/>
    <col min="2049" max="2049" width="5.5" style="1498" bestFit="1" customWidth="1"/>
    <col min="2050" max="2050" width="7.3984375" style="1498" customWidth="1"/>
    <col min="2051" max="2052" width="13.59765625" style="1498" customWidth="1"/>
    <col min="2053" max="2053" width="32" style="1498" customWidth="1"/>
    <col min="2054" max="2054" width="21.3984375" style="1498" customWidth="1"/>
    <col min="2055" max="2055" width="12.59765625" style="1498" customWidth="1"/>
    <col min="2056" max="2304" width="9" style="1498"/>
    <col min="2305" max="2305" width="5.5" style="1498" bestFit="1" customWidth="1"/>
    <col min="2306" max="2306" width="7.3984375" style="1498" customWidth="1"/>
    <col min="2307" max="2308" width="13.59765625" style="1498" customWidth="1"/>
    <col min="2309" max="2309" width="32" style="1498" customWidth="1"/>
    <col min="2310" max="2310" width="21.3984375" style="1498" customWidth="1"/>
    <col min="2311" max="2311" width="12.59765625" style="1498" customWidth="1"/>
    <col min="2312" max="2560" width="9" style="1498"/>
    <col min="2561" max="2561" width="5.5" style="1498" bestFit="1" customWidth="1"/>
    <col min="2562" max="2562" width="7.3984375" style="1498" customWidth="1"/>
    <col min="2563" max="2564" width="13.59765625" style="1498" customWidth="1"/>
    <col min="2565" max="2565" width="32" style="1498" customWidth="1"/>
    <col min="2566" max="2566" width="21.3984375" style="1498" customWidth="1"/>
    <col min="2567" max="2567" width="12.59765625" style="1498" customWidth="1"/>
    <col min="2568" max="2816" width="9" style="1498"/>
    <col min="2817" max="2817" width="5.5" style="1498" bestFit="1" customWidth="1"/>
    <col min="2818" max="2818" width="7.3984375" style="1498" customWidth="1"/>
    <col min="2819" max="2820" width="13.59765625" style="1498" customWidth="1"/>
    <col min="2821" max="2821" width="32" style="1498" customWidth="1"/>
    <col min="2822" max="2822" width="21.3984375" style="1498" customWidth="1"/>
    <col min="2823" max="2823" width="12.59765625" style="1498" customWidth="1"/>
    <col min="2824" max="3072" width="9" style="1498"/>
    <col min="3073" max="3073" width="5.5" style="1498" bestFit="1" customWidth="1"/>
    <col min="3074" max="3074" width="7.3984375" style="1498" customWidth="1"/>
    <col min="3075" max="3076" width="13.59765625" style="1498" customWidth="1"/>
    <col min="3077" max="3077" width="32" style="1498" customWidth="1"/>
    <col min="3078" max="3078" width="21.3984375" style="1498" customWidth="1"/>
    <col min="3079" max="3079" width="12.59765625" style="1498" customWidth="1"/>
    <col min="3080" max="3328" width="9" style="1498"/>
    <col min="3329" max="3329" width="5.5" style="1498" bestFit="1" customWidth="1"/>
    <col min="3330" max="3330" width="7.3984375" style="1498" customWidth="1"/>
    <col min="3331" max="3332" width="13.59765625" style="1498" customWidth="1"/>
    <col min="3333" max="3333" width="32" style="1498" customWidth="1"/>
    <col min="3334" max="3334" width="21.3984375" style="1498" customWidth="1"/>
    <col min="3335" max="3335" width="12.59765625" style="1498" customWidth="1"/>
    <col min="3336" max="3584" width="9" style="1498"/>
    <col min="3585" max="3585" width="5.5" style="1498" bestFit="1" customWidth="1"/>
    <col min="3586" max="3586" width="7.3984375" style="1498" customWidth="1"/>
    <col min="3587" max="3588" width="13.59765625" style="1498" customWidth="1"/>
    <col min="3589" max="3589" width="32" style="1498" customWidth="1"/>
    <col min="3590" max="3590" width="21.3984375" style="1498" customWidth="1"/>
    <col min="3591" max="3591" width="12.59765625" style="1498" customWidth="1"/>
    <col min="3592" max="3840" width="9" style="1498"/>
    <col min="3841" max="3841" width="5.5" style="1498" bestFit="1" customWidth="1"/>
    <col min="3842" max="3842" width="7.3984375" style="1498" customWidth="1"/>
    <col min="3843" max="3844" width="13.59765625" style="1498" customWidth="1"/>
    <col min="3845" max="3845" width="32" style="1498" customWidth="1"/>
    <col min="3846" max="3846" width="21.3984375" style="1498" customWidth="1"/>
    <col min="3847" max="3847" width="12.59765625" style="1498" customWidth="1"/>
    <col min="3848" max="4096" width="9" style="1498"/>
    <col min="4097" max="4097" width="5.5" style="1498" bestFit="1" customWidth="1"/>
    <col min="4098" max="4098" width="7.3984375" style="1498" customWidth="1"/>
    <col min="4099" max="4100" width="13.59765625" style="1498" customWidth="1"/>
    <col min="4101" max="4101" width="32" style="1498" customWidth="1"/>
    <col min="4102" max="4102" width="21.3984375" style="1498" customWidth="1"/>
    <col min="4103" max="4103" width="12.59765625" style="1498" customWidth="1"/>
    <col min="4104" max="4352" width="9" style="1498"/>
    <col min="4353" max="4353" width="5.5" style="1498" bestFit="1" customWidth="1"/>
    <col min="4354" max="4354" width="7.3984375" style="1498" customWidth="1"/>
    <col min="4355" max="4356" width="13.59765625" style="1498" customWidth="1"/>
    <col min="4357" max="4357" width="32" style="1498" customWidth="1"/>
    <col min="4358" max="4358" width="21.3984375" style="1498" customWidth="1"/>
    <col min="4359" max="4359" width="12.59765625" style="1498" customWidth="1"/>
    <col min="4360" max="4608" width="9" style="1498"/>
    <col min="4609" max="4609" width="5.5" style="1498" bestFit="1" customWidth="1"/>
    <col min="4610" max="4610" width="7.3984375" style="1498" customWidth="1"/>
    <col min="4611" max="4612" width="13.59765625" style="1498" customWidth="1"/>
    <col min="4613" max="4613" width="32" style="1498" customWidth="1"/>
    <col min="4614" max="4614" width="21.3984375" style="1498" customWidth="1"/>
    <col min="4615" max="4615" width="12.59765625" style="1498" customWidth="1"/>
    <col min="4616" max="4864" width="9" style="1498"/>
    <col min="4865" max="4865" width="5.5" style="1498" bestFit="1" customWidth="1"/>
    <col min="4866" max="4866" width="7.3984375" style="1498" customWidth="1"/>
    <col min="4867" max="4868" width="13.59765625" style="1498" customWidth="1"/>
    <col min="4869" max="4869" width="32" style="1498" customWidth="1"/>
    <col min="4870" max="4870" width="21.3984375" style="1498" customWidth="1"/>
    <col min="4871" max="4871" width="12.59765625" style="1498" customWidth="1"/>
    <col min="4872" max="5120" width="9" style="1498"/>
    <col min="5121" max="5121" width="5.5" style="1498" bestFit="1" customWidth="1"/>
    <col min="5122" max="5122" width="7.3984375" style="1498" customWidth="1"/>
    <col min="5123" max="5124" width="13.59765625" style="1498" customWidth="1"/>
    <col min="5125" max="5125" width="32" style="1498" customWidth="1"/>
    <col min="5126" max="5126" width="21.3984375" style="1498" customWidth="1"/>
    <col min="5127" max="5127" width="12.59765625" style="1498" customWidth="1"/>
    <col min="5128" max="5376" width="9" style="1498"/>
    <col min="5377" max="5377" width="5.5" style="1498" bestFit="1" customWidth="1"/>
    <col min="5378" max="5378" width="7.3984375" style="1498" customWidth="1"/>
    <col min="5379" max="5380" width="13.59765625" style="1498" customWidth="1"/>
    <col min="5381" max="5381" width="32" style="1498" customWidth="1"/>
    <col min="5382" max="5382" width="21.3984375" style="1498" customWidth="1"/>
    <col min="5383" max="5383" width="12.59765625" style="1498" customWidth="1"/>
    <col min="5384" max="5632" width="9" style="1498"/>
    <col min="5633" max="5633" width="5.5" style="1498" bestFit="1" customWidth="1"/>
    <col min="5634" max="5634" width="7.3984375" style="1498" customWidth="1"/>
    <col min="5635" max="5636" width="13.59765625" style="1498" customWidth="1"/>
    <col min="5637" max="5637" width="32" style="1498" customWidth="1"/>
    <col min="5638" max="5638" width="21.3984375" style="1498" customWidth="1"/>
    <col min="5639" max="5639" width="12.59765625" style="1498" customWidth="1"/>
    <col min="5640" max="5888" width="9" style="1498"/>
    <col min="5889" max="5889" width="5.5" style="1498" bestFit="1" customWidth="1"/>
    <col min="5890" max="5890" width="7.3984375" style="1498" customWidth="1"/>
    <col min="5891" max="5892" width="13.59765625" style="1498" customWidth="1"/>
    <col min="5893" max="5893" width="32" style="1498" customWidth="1"/>
    <col min="5894" max="5894" width="21.3984375" style="1498" customWidth="1"/>
    <col min="5895" max="5895" width="12.59765625" style="1498" customWidth="1"/>
    <col min="5896" max="6144" width="9" style="1498"/>
    <col min="6145" max="6145" width="5.5" style="1498" bestFit="1" customWidth="1"/>
    <col min="6146" max="6146" width="7.3984375" style="1498" customWidth="1"/>
    <col min="6147" max="6148" width="13.59765625" style="1498" customWidth="1"/>
    <col min="6149" max="6149" width="32" style="1498" customWidth="1"/>
    <col min="6150" max="6150" width="21.3984375" style="1498" customWidth="1"/>
    <col min="6151" max="6151" width="12.59765625" style="1498" customWidth="1"/>
    <col min="6152" max="6400" width="9" style="1498"/>
    <col min="6401" max="6401" width="5.5" style="1498" bestFit="1" customWidth="1"/>
    <col min="6402" max="6402" width="7.3984375" style="1498" customWidth="1"/>
    <col min="6403" max="6404" width="13.59765625" style="1498" customWidth="1"/>
    <col min="6405" max="6405" width="32" style="1498" customWidth="1"/>
    <col min="6406" max="6406" width="21.3984375" style="1498" customWidth="1"/>
    <col min="6407" max="6407" width="12.59765625" style="1498" customWidth="1"/>
    <col min="6408" max="6656" width="9" style="1498"/>
    <col min="6657" max="6657" width="5.5" style="1498" bestFit="1" customWidth="1"/>
    <col min="6658" max="6658" width="7.3984375" style="1498" customWidth="1"/>
    <col min="6659" max="6660" width="13.59765625" style="1498" customWidth="1"/>
    <col min="6661" max="6661" width="32" style="1498" customWidth="1"/>
    <col min="6662" max="6662" width="21.3984375" style="1498" customWidth="1"/>
    <col min="6663" max="6663" width="12.59765625" style="1498" customWidth="1"/>
    <col min="6664" max="6912" width="9" style="1498"/>
    <col min="6913" max="6913" width="5.5" style="1498" bestFit="1" customWidth="1"/>
    <col min="6914" max="6914" width="7.3984375" style="1498" customWidth="1"/>
    <col min="6915" max="6916" width="13.59765625" style="1498" customWidth="1"/>
    <col min="6917" max="6917" width="32" style="1498" customWidth="1"/>
    <col min="6918" max="6918" width="21.3984375" style="1498" customWidth="1"/>
    <col min="6919" max="6919" width="12.59765625" style="1498" customWidth="1"/>
    <col min="6920" max="7168" width="9" style="1498"/>
    <col min="7169" max="7169" width="5.5" style="1498" bestFit="1" customWidth="1"/>
    <col min="7170" max="7170" width="7.3984375" style="1498" customWidth="1"/>
    <col min="7171" max="7172" width="13.59765625" style="1498" customWidth="1"/>
    <col min="7173" max="7173" width="32" style="1498" customWidth="1"/>
    <col min="7174" max="7174" width="21.3984375" style="1498" customWidth="1"/>
    <col min="7175" max="7175" width="12.59765625" style="1498" customWidth="1"/>
    <col min="7176" max="7424" width="9" style="1498"/>
    <col min="7425" max="7425" width="5.5" style="1498" bestFit="1" customWidth="1"/>
    <col min="7426" max="7426" width="7.3984375" style="1498" customWidth="1"/>
    <col min="7427" max="7428" width="13.59765625" style="1498" customWidth="1"/>
    <col min="7429" max="7429" width="32" style="1498" customWidth="1"/>
    <col min="7430" max="7430" width="21.3984375" style="1498" customWidth="1"/>
    <col min="7431" max="7431" width="12.59765625" style="1498" customWidth="1"/>
    <col min="7432" max="7680" width="9" style="1498"/>
    <col min="7681" max="7681" width="5.5" style="1498" bestFit="1" customWidth="1"/>
    <col min="7682" max="7682" width="7.3984375" style="1498" customWidth="1"/>
    <col min="7683" max="7684" width="13.59765625" style="1498" customWidth="1"/>
    <col min="7685" max="7685" width="32" style="1498" customWidth="1"/>
    <col min="7686" max="7686" width="21.3984375" style="1498" customWidth="1"/>
    <col min="7687" max="7687" width="12.59765625" style="1498" customWidth="1"/>
    <col min="7688" max="7936" width="9" style="1498"/>
    <col min="7937" max="7937" width="5.5" style="1498" bestFit="1" customWidth="1"/>
    <col min="7938" max="7938" width="7.3984375" style="1498" customWidth="1"/>
    <col min="7939" max="7940" width="13.59765625" style="1498" customWidth="1"/>
    <col min="7941" max="7941" width="32" style="1498" customWidth="1"/>
    <col min="7942" max="7942" width="21.3984375" style="1498" customWidth="1"/>
    <col min="7943" max="7943" width="12.59765625" style="1498" customWidth="1"/>
    <col min="7944" max="8192" width="9" style="1498"/>
    <col min="8193" max="8193" width="5.5" style="1498" bestFit="1" customWidth="1"/>
    <col min="8194" max="8194" width="7.3984375" style="1498" customWidth="1"/>
    <col min="8195" max="8196" width="13.59765625" style="1498" customWidth="1"/>
    <col min="8197" max="8197" width="32" style="1498" customWidth="1"/>
    <col min="8198" max="8198" width="21.3984375" style="1498" customWidth="1"/>
    <col min="8199" max="8199" width="12.59765625" style="1498" customWidth="1"/>
    <col min="8200" max="8448" width="9" style="1498"/>
    <col min="8449" max="8449" width="5.5" style="1498" bestFit="1" customWidth="1"/>
    <col min="8450" max="8450" width="7.3984375" style="1498" customWidth="1"/>
    <col min="8451" max="8452" width="13.59765625" style="1498" customWidth="1"/>
    <col min="8453" max="8453" width="32" style="1498" customWidth="1"/>
    <col min="8454" max="8454" width="21.3984375" style="1498" customWidth="1"/>
    <col min="8455" max="8455" width="12.59765625" style="1498" customWidth="1"/>
    <col min="8456" max="8704" width="9" style="1498"/>
    <col min="8705" max="8705" width="5.5" style="1498" bestFit="1" customWidth="1"/>
    <col min="8706" max="8706" width="7.3984375" style="1498" customWidth="1"/>
    <col min="8707" max="8708" width="13.59765625" style="1498" customWidth="1"/>
    <col min="8709" max="8709" width="32" style="1498" customWidth="1"/>
    <col min="8710" max="8710" width="21.3984375" style="1498" customWidth="1"/>
    <col min="8711" max="8711" width="12.59765625" style="1498" customWidth="1"/>
    <col min="8712" max="8960" width="9" style="1498"/>
    <col min="8961" max="8961" width="5.5" style="1498" bestFit="1" customWidth="1"/>
    <col min="8962" max="8962" width="7.3984375" style="1498" customWidth="1"/>
    <col min="8963" max="8964" width="13.59765625" style="1498" customWidth="1"/>
    <col min="8965" max="8965" width="32" style="1498" customWidth="1"/>
    <col min="8966" max="8966" width="21.3984375" style="1498" customWidth="1"/>
    <col min="8967" max="8967" width="12.59765625" style="1498" customWidth="1"/>
    <col min="8968" max="9216" width="9" style="1498"/>
    <col min="9217" max="9217" width="5.5" style="1498" bestFit="1" customWidth="1"/>
    <col min="9218" max="9218" width="7.3984375" style="1498" customWidth="1"/>
    <col min="9219" max="9220" width="13.59765625" style="1498" customWidth="1"/>
    <col min="9221" max="9221" width="32" style="1498" customWidth="1"/>
    <col min="9222" max="9222" width="21.3984375" style="1498" customWidth="1"/>
    <col min="9223" max="9223" width="12.59765625" style="1498" customWidth="1"/>
    <col min="9224" max="9472" width="9" style="1498"/>
    <col min="9473" max="9473" width="5.5" style="1498" bestFit="1" customWidth="1"/>
    <col min="9474" max="9474" width="7.3984375" style="1498" customWidth="1"/>
    <col min="9475" max="9476" width="13.59765625" style="1498" customWidth="1"/>
    <col min="9477" max="9477" width="32" style="1498" customWidth="1"/>
    <col min="9478" max="9478" width="21.3984375" style="1498" customWidth="1"/>
    <col min="9479" max="9479" width="12.59765625" style="1498" customWidth="1"/>
    <col min="9480" max="9728" width="9" style="1498"/>
    <col min="9729" max="9729" width="5.5" style="1498" bestFit="1" customWidth="1"/>
    <col min="9730" max="9730" width="7.3984375" style="1498" customWidth="1"/>
    <col min="9731" max="9732" width="13.59765625" style="1498" customWidth="1"/>
    <col min="9733" max="9733" width="32" style="1498" customWidth="1"/>
    <col min="9734" max="9734" width="21.3984375" style="1498" customWidth="1"/>
    <col min="9735" max="9735" width="12.59765625" style="1498" customWidth="1"/>
    <col min="9736" max="9984" width="9" style="1498"/>
    <col min="9985" max="9985" width="5.5" style="1498" bestFit="1" customWidth="1"/>
    <col min="9986" max="9986" width="7.3984375" style="1498" customWidth="1"/>
    <col min="9987" max="9988" width="13.59765625" style="1498" customWidth="1"/>
    <col min="9989" max="9989" width="32" style="1498" customWidth="1"/>
    <col min="9990" max="9990" width="21.3984375" style="1498" customWidth="1"/>
    <col min="9991" max="9991" width="12.59765625" style="1498" customWidth="1"/>
    <col min="9992" max="10240" width="9" style="1498"/>
    <col min="10241" max="10241" width="5.5" style="1498" bestFit="1" customWidth="1"/>
    <col min="10242" max="10242" width="7.3984375" style="1498" customWidth="1"/>
    <col min="10243" max="10244" width="13.59765625" style="1498" customWidth="1"/>
    <col min="10245" max="10245" width="32" style="1498" customWidth="1"/>
    <col min="10246" max="10246" width="21.3984375" style="1498" customWidth="1"/>
    <col min="10247" max="10247" width="12.59765625" style="1498" customWidth="1"/>
    <col min="10248" max="10496" width="9" style="1498"/>
    <col min="10497" max="10497" width="5.5" style="1498" bestFit="1" customWidth="1"/>
    <col min="10498" max="10498" width="7.3984375" style="1498" customWidth="1"/>
    <col min="10499" max="10500" width="13.59765625" style="1498" customWidth="1"/>
    <col min="10501" max="10501" width="32" style="1498" customWidth="1"/>
    <col min="10502" max="10502" width="21.3984375" style="1498" customWidth="1"/>
    <col min="10503" max="10503" width="12.59765625" style="1498" customWidth="1"/>
    <col min="10504" max="10752" width="9" style="1498"/>
    <col min="10753" max="10753" width="5.5" style="1498" bestFit="1" customWidth="1"/>
    <col min="10754" max="10754" width="7.3984375" style="1498" customWidth="1"/>
    <col min="10755" max="10756" width="13.59765625" style="1498" customWidth="1"/>
    <col min="10757" max="10757" width="32" style="1498" customWidth="1"/>
    <col min="10758" max="10758" width="21.3984375" style="1498" customWidth="1"/>
    <col min="10759" max="10759" width="12.59765625" style="1498" customWidth="1"/>
    <col min="10760" max="11008" width="9" style="1498"/>
    <col min="11009" max="11009" width="5.5" style="1498" bestFit="1" customWidth="1"/>
    <col min="11010" max="11010" width="7.3984375" style="1498" customWidth="1"/>
    <col min="11011" max="11012" width="13.59765625" style="1498" customWidth="1"/>
    <col min="11013" max="11013" width="32" style="1498" customWidth="1"/>
    <col min="11014" max="11014" width="21.3984375" style="1498" customWidth="1"/>
    <col min="11015" max="11015" width="12.59765625" style="1498" customWidth="1"/>
    <col min="11016" max="11264" width="9" style="1498"/>
    <col min="11265" max="11265" width="5.5" style="1498" bestFit="1" customWidth="1"/>
    <col min="11266" max="11266" width="7.3984375" style="1498" customWidth="1"/>
    <col min="11267" max="11268" width="13.59765625" style="1498" customWidth="1"/>
    <col min="11269" max="11269" width="32" style="1498" customWidth="1"/>
    <col min="11270" max="11270" width="21.3984375" style="1498" customWidth="1"/>
    <col min="11271" max="11271" width="12.59765625" style="1498" customWidth="1"/>
    <col min="11272" max="11520" width="9" style="1498"/>
    <col min="11521" max="11521" width="5.5" style="1498" bestFit="1" customWidth="1"/>
    <col min="11522" max="11522" width="7.3984375" style="1498" customWidth="1"/>
    <col min="11523" max="11524" width="13.59765625" style="1498" customWidth="1"/>
    <col min="11525" max="11525" width="32" style="1498" customWidth="1"/>
    <col min="11526" max="11526" width="21.3984375" style="1498" customWidth="1"/>
    <col min="11527" max="11527" width="12.59765625" style="1498" customWidth="1"/>
    <col min="11528" max="11776" width="9" style="1498"/>
    <col min="11777" max="11777" width="5.5" style="1498" bestFit="1" customWidth="1"/>
    <col min="11778" max="11778" width="7.3984375" style="1498" customWidth="1"/>
    <col min="11779" max="11780" width="13.59765625" style="1498" customWidth="1"/>
    <col min="11781" max="11781" width="32" style="1498" customWidth="1"/>
    <col min="11782" max="11782" width="21.3984375" style="1498" customWidth="1"/>
    <col min="11783" max="11783" width="12.59765625" style="1498" customWidth="1"/>
    <col min="11784" max="12032" width="9" style="1498"/>
    <col min="12033" max="12033" width="5.5" style="1498" bestFit="1" customWidth="1"/>
    <col min="12034" max="12034" width="7.3984375" style="1498" customWidth="1"/>
    <col min="12035" max="12036" width="13.59765625" style="1498" customWidth="1"/>
    <col min="12037" max="12037" width="32" style="1498" customWidth="1"/>
    <col min="12038" max="12038" width="21.3984375" style="1498" customWidth="1"/>
    <col min="12039" max="12039" width="12.59765625" style="1498" customWidth="1"/>
    <col min="12040" max="12288" width="9" style="1498"/>
    <col min="12289" max="12289" width="5.5" style="1498" bestFit="1" customWidth="1"/>
    <col min="12290" max="12290" width="7.3984375" style="1498" customWidth="1"/>
    <col min="12291" max="12292" width="13.59765625" style="1498" customWidth="1"/>
    <col min="12293" max="12293" width="32" style="1498" customWidth="1"/>
    <col min="12294" max="12294" width="21.3984375" style="1498" customWidth="1"/>
    <col min="12295" max="12295" width="12.59765625" style="1498" customWidth="1"/>
    <col min="12296" max="12544" width="9" style="1498"/>
    <col min="12545" max="12545" width="5.5" style="1498" bestFit="1" customWidth="1"/>
    <col min="12546" max="12546" width="7.3984375" style="1498" customWidth="1"/>
    <col min="12547" max="12548" width="13.59765625" style="1498" customWidth="1"/>
    <col min="12549" max="12549" width="32" style="1498" customWidth="1"/>
    <col min="12550" max="12550" width="21.3984375" style="1498" customWidth="1"/>
    <col min="12551" max="12551" width="12.59765625" style="1498" customWidth="1"/>
    <col min="12552" max="12800" width="9" style="1498"/>
    <col min="12801" max="12801" width="5.5" style="1498" bestFit="1" customWidth="1"/>
    <col min="12802" max="12802" width="7.3984375" style="1498" customWidth="1"/>
    <col min="12803" max="12804" width="13.59765625" style="1498" customWidth="1"/>
    <col min="12805" max="12805" width="32" style="1498" customWidth="1"/>
    <col min="12806" max="12806" width="21.3984375" style="1498" customWidth="1"/>
    <col min="12807" max="12807" width="12.59765625" style="1498" customWidth="1"/>
    <col min="12808" max="13056" width="9" style="1498"/>
    <col min="13057" max="13057" width="5.5" style="1498" bestFit="1" customWidth="1"/>
    <col min="13058" max="13058" width="7.3984375" style="1498" customWidth="1"/>
    <col min="13059" max="13060" width="13.59765625" style="1498" customWidth="1"/>
    <col min="13061" max="13061" width="32" style="1498" customWidth="1"/>
    <col min="13062" max="13062" width="21.3984375" style="1498" customWidth="1"/>
    <col min="13063" max="13063" width="12.59765625" style="1498" customWidth="1"/>
    <col min="13064" max="13312" width="9" style="1498"/>
    <col min="13313" max="13313" width="5.5" style="1498" bestFit="1" customWidth="1"/>
    <col min="13314" max="13314" width="7.3984375" style="1498" customWidth="1"/>
    <col min="13315" max="13316" width="13.59765625" style="1498" customWidth="1"/>
    <col min="13317" max="13317" width="32" style="1498" customWidth="1"/>
    <col min="13318" max="13318" width="21.3984375" style="1498" customWidth="1"/>
    <col min="13319" max="13319" width="12.59765625" style="1498" customWidth="1"/>
    <col min="13320" max="13568" width="9" style="1498"/>
    <col min="13569" max="13569" width="5.5" style="1498" bestFit="1" customWidth="1"/>
    <col min="13570" max="13570" width="7.3984375" style="1498" customWidth="1"/>
    <col min="13571" max="13572" width="13.59765625" style="1498" customWidth="1"/>
    <col min="13573" max="13573" width="32" style="1498" customWidth="1"/>
    <col min="13574" max="13574" width="21.3984375" style="1498" customWidth="1"/>
    <col min="13575" max="13575" width="12.59765625" style="1498" customWidth="1"/>
    <col min="13576" max="13824" width="9" style="1498"/>
    <col min="13825" max="13825" width="5.5" style="1498" bestFit="1" customWidth="1"/>
    <col min="13826" max="13826" width="7.3984375" style="1498" customWidth="1"/>
    <col min="13827" max="13828" width="13.59765625" style="1498" customWidth="1"/>
    <col min="13829" max="13829" width="32" style="1498" customWidth="1"/>
    <col min="13830" max="13830" width="21.3984375" style="1498" customWidth="1"/>
    <col min="13831" max="13831" width="12.59765625" style="1498" customWidth="1"/>
    <col min="13832" max="14080" width="9" style="1498"/>
    <col min="14081" max="14081" width="5.5" style="1498" bestFit="1" customWidth="1"/>
    <col min="14082" max="14082" width="7.3984375" style="1498" customWidth="1"/>
    <col min="14083" max="14084" width="13.59765625" style="1498" customWidth="1"/>
    <col min="14085" max="14085" width="32" style="1498" customWidth="1"/>
    <col min="14086" max="14086" width="21.3984375" style="1498" customWidth="1"/>
    <col min="14087" max="14087" width="12.59765625" style="1498" customWidth="1"/>
    <col min="14088" max="14336" width="9" style="1498"/>
    <col min="14337" max="14337" width="5.5" style="1498" bestFit="1" customWidth="1"/>
    <col min="14338" max="14338" width="7.3984375" style="1498" customWidth="1"/>
    <col min="14339" max="14340" width="13.59765625" style="1498" customWidth="1"/>
    <col min="14341" max="14341" width="32" style="1498" customWidth="1"/>
    <col min="14342" max="14342" width="21.3984375" style="1498" customWidth="1"/>
    <col min="14343" max="14343" width="12.59765625" style="1498" customWidth="1"/>
    <col min="14344" max="14592" width="9" style="1498"/>
    <col min="14593" max="14593" width="5.5" style="1498" bestFit="1" customWidth="1"/>
    <col min="14594" max="14594" width="7.3984375" style="1498" customWidth="1"/>
    <col min="14595" max="14596" width="13.59765625" style="1498" customWidth="1"/>
    <col min="14597" max="14597" width="32" style="1498" customWidth="1"/>
    <col min="14598" max="14598" width="21.3984375" style="1498" customWidth="1"/>
    <col min="14599" max="14599" width="12.59765625" style="1498" customWidth="1"/>
    <col min="14600" max="14848" width="9" style="1498"/>
    <col min="14849" max="14849" width="5.5" style="1498" bestFit="1" customWidth="1"/>
    <col min="14850" max="14850" width="7.3984375" style="1498" customWidth="1"/>
    <col min="14851" max="14852" width="13.59765625" style="1498" customWidth="1"/>
    <col min="14853" max="14853" width="32" style="1498" customWidth="1"/>
    <col min="14854" max="14854" width="21.3984375" style="1498" customWidth="1"/>
    <col min="14855" max="14855" width="12.59765625" style="1498" customWidth="1"/>
    <col min="14856" max="15104" width="9" style="1498"/>
    <col min="15105" max="15105" width="5.5" style="1498" bestFit="1" customWidth="1"/>
    <col min="15106" max="15106" width="7.3984375" style="1498" customWidth="1"/>
    <col min="15107" max="15108" width="13.59765625" style="1498" customWidth="1"/>
    <col min="15109" max="15109" width="32" style="1498" customWidth="1"/>
    <col min="15110" max="15110" width="21.3984375" style="1498" customWidth="1"/>
    <col min="15111" max="15111" width="12.59765625" style="1498" customWidth="1"/>
    <col min="15112" max="15360" width="9" style="1498"/>
    <col min="15361" max="15361" width="5.5" style="1498" bestFit="1" customWidth="1"/>
    <col min="15362" max="15362" width="7.3984375" style="1498" customWidth="1"/>
    <col min="15363" max="15364" width="13.59765625" style="1498" customWidth="1"/>
    <col min="15365" max="15365" width="32" style="1498" customWidth="1"/>
    <col min="15366" max="15366" width="21.3984375" style="1498" customWidth="1"/>
    <col min="15367" max="15367" width="12.59765625" style="1498" customWidth="1"/>
    <col min="15368" max="15616" width="9" style="1498"/>
    <col min="15617" max="15617" width="5.5" style="1498" bestFit="1" customWidth="1"/>
    <col min="15618" max="15618" width="7.3984375" style="1498" customWidth="1"/>
    <col min="15619" max="15620" width="13.59765625" style="1498" customWidth="1"/>
    <col min="15621" max="15621" width="32" style="1498" customWidth="1"/>
    <col min="15622" max="15622" width="21.3984375" style="1498" customWidth="1"/>
    <col min="15623" max="15623" width="12.59765625" style="1498" customWidth="1"/>
    <col min="15624" max="15872" width="9" style="1498"/>
    <col min="15873" max="15873" width="5.5" style="1498" bestFit="1" customWidth="1"/>
    <col min="15874" max="15874" width="7.3984375" style="1498" customWidth="1"/>
    <col min="15875" max="15876" width="13.59765625" style="1498" customWidth="1"/>
    <col min="15877" max="15877" width="32" style="1498" customWidth="1"/>
    <col min="15878" max="15878" width="21.3984375" style="1498" customWidth="1"/>
    <col min="15879" max="15879" width="12.59765625" style="1498" customWidth="1"/>
    <col min="15880" max="16128" width="9" style="1498"/>
    <col min="16129" max="16129" width="5.5" style="1498" bestFit="1" customWidth="1"/>
    <col min="16130" max="16130" width="7.3984375" style="1498" customWidth="1"/>
    <col min="16131" max="16132" width="13.59765625" style="1498" customWidth="1"/>
    <col min="16133" max="16133" width="32" style="1498" customWidth="1"/>
    <col min="16134" max="16134" width="21.3984375" style="1498" customWidth="1"/>
    <col min="16135" max="16135" width="12.59765625" style="1498" customWidth="1"/>
    <col min="16136" max="16384" width="9" style="1498"/>
  </cols>
  <sheetData>
    <row r="1" spans="1:7" ht="36" customHeight="1">
      <c r="A1" s="4095" t="s">
        <v>2431</v>
      </c>
      <c r="B1" s="4095"/>
      <c r="C1" s="4095"/>
      <c r="D1" s="4095"/>
      <c r="E1" s="4095"/>
      <c r="F1" s="4095"/>
      <c r="G1" s="4095"/>
    </row>
    <row r="2" spans="1:7" s="1499" customFormat="1" ht="39.75" customHeight="1">
      <c r="A2" s="4096" t="s">
        <v>2432</v>
      </c>
      <c r="B2" s="4096"/>
      <c r="C2" s="4096"/>
      <c r="D2" s="4096"/>
      <c r="E2" s="4096"/>
      <c r="F2" s="4096"/>
      <c r="G2" s="4096"/>
    </row>
    <row r="3" spans="1:7" s="1500" customFormat="1" ht="21" customHeight="1">
      <c r="A3" s="4097" t="s">
        <v>2433</v>
      </c>
      <c r="B3" s="4097"/>
      <c r="C3" s="4097"/>
      <c r="D3" s="4097"/>
      <c r="E3" s="4097"/>
      <c r="F3" s="4097"/>
      <c r="G3" s="4097"/>
    </row>
    <row r="4" spans="1:7" s="1500" customFormat="1" ht="15.9" customHeight="1">
      <c r="A4" s="1501" t="s">
        <v>2434</v>
      </c>
      <c r="B4" s="4098" t="s">
        <v>2435</v>
      </c>
      <c r="C4" s="4098"/>
      <c r="D4" s="4098"/>
      <c r="E4" s="4098"/>
      <c r="F4" s="1502" t="s">
        <v>2436</v>
      </c>
      <c r="G4" s="1503" t="s">
        <v>2412</v>
      </c>
    </row>
    <row r="5" spans="1:7" s="1500" customFormat="1" ht="15.9" customHeight="1">
      <c r="A5" s="1501">
        <v>1</v>
      </c>
      <c r="B5" s="4099" t="s">
        <v>2437</v>
      </c>
      <c r="C5" s="4099"/>
      <c r="D5" s="4099"/>
      <c r="E5" s="4099"/>
      <c r="F5" s="4099"/>
      <c r="G5" s="3509" t="s">
        <v>2438</v>
      </c>
    </row>
    <row r="6" spans="1:7" s="1500" customFormat="1" ht="15.9" customHeight="1">
      <c r="A6" s="1501">
        <v>2</v>
      </c>
      <c r="B6" s="4094" t="s">
        <v>2439</v>
      </c>
      <c r="C6" s="4094"/>
      <c r="D6" s="4094"/>
      <c r="E6" s="4094"/>
      <c r="F6" s="1504" t="s">
        <v>2440</v>
      </c>
      <c r="G6" s="3509"/>
    </row>
    <row r="7" spans="1:7" s="1500" customFormat="1" ht="15.9" customHeight="1">
      <c r="A7" s="1501">
        <v>3</v>
      </c>
      <c r="B7" s="4094" t="s">
        <v>2441</v>
      </c>
      <c r="C7" s="4094"/>
      <c r="D7" s="4094"/>
      <c r="E7" s="4094"/>
      <c r="F7" s="1504" t="s">
        <v>2440</v>
      </c>
      <c r="G7" s="3509"/>
    </row>
    <row r="8" spans="1:7" s="1500" customFormat="1" ht="15.9" customHeight="1">
      <c r="A8" s="1501">
        <v>4</v>
      </c>
      <c r="B8" s="4094" t="s">
        <v>495</v>
      </c>
      <c r="C8" s="4094"/>
      <c r="D8" s="4094"/>
      <c r="E8" s="4094"/>
      <c r="F8" s="1504" t="s">
        <v>2440</v>
      </c>
      <c r="G8" s="3509"/>
    </row>
    <row r="9" spans="1:7" s="1500" customFormat="1" ht="15.9" customHeight="1">
      <c r="A9" s="1501">
        <v>5</v>
      </c>
      <c r="B9" s="4100" t="s">
        <v>2442</v>
      </c>
      <c r="C9" s="4100"/>
      <c r="D9" s="4100"/>
      <c r="E9" s="4100"/>
      <c r="F9" s="1504" t="s">
        <v>2440</v>
      </c>
      <c r="G9" s="3509"/>
    </row>
    <row r="10" spans="1:7" s="1500" customFormat="1" ht="15.9" customHeight="1">
      <c r="A10" s="1501">
        <v>6</v>
      </c>
      <c r="B10" s="4100" t="s">
        <v>2443</v>
      </c>
      <c r="C10" s="4100"/>
      <c r="D10" s="4100"/>
      <c r="E10" s="4100"/>
      <c r="F10" s="1504" t="s">
        <v>2440</v>
      </c>
      <c r="G10" s="3509"/>
    </row>
    <row r="11" spans="1:7" s="1500" customFormat="1" ht="15.9" customHeight="1">
      <c r="A11" s="1501">
        <v>7</v>
      </c>
      <c r="B11" s="4100" t="s">
        <v>2444</v>
      </c>
      <c r="C11" s="4100"/>
      <c r="D11" s="4100"/>
      <c r="E11" s="4100"/>
      <c r="F11" s="1504" t="s">
        <v>2440</v>
      </c>
      <c r="G11" s="3509"/>
    </row>
    <row r="12" spans="1:7" s="1500" customFormat="1" ht="15.9" customHeight="1">
      <c r="A12" s="1501">
        <v>8</v>
      </c>
      <c r="B12" s="4100" t="s">
        <v>2445</v>
      </c>
      <c r="C12" s="4100"/>
      <c r="D12" s="4100"/>
      <c r="E12" s="4100"/>
      <c r="F12" s="1504" t="s">
        <v>2440</v>
      </c>
      <c r="G12" s="3509"/>
    </row>
    <row r="13" spans="1:7" s="1500" customFormat="1" ht="15.9" customHeight="1">
      <c r="A13" s="1501">
        <v>9</v>
      </c>
      <c r="B13" s="4100" t="s">
        <v>2446</v>
      </c>
      <c r="C13" s="4100"/>
      <c r="D13" s="4100"/>
      <c r="E13" s="4100"/>
      <c r="F13" s="1504" t="s">
        <v>2440</v>
      </c>
      <c r="G13" s="3509"/>
    </row>
    <row r="14" spans="1:7" s="1500" customFormat="1" ht="15.9" customHeight="1">
      <c r="A14" s="1501">
        <v>10</v>
      </c>
      <c r="B14" s="4094" t="s">
        <v>2447</v>
      </c>
      <c r="C14" s="4094"/>
      <c r="D14" s="4094"/>
      <c r="E14" s="4094"/>
      <c r="F14" s="1504" t="s">
        <v>2440</v>
      </c>
      <c r="G14" s="3509"/>
    </row>
    <row r="15" spans="1:7" s="1500" customFormat="1" ht="15.9" customHeight="1">
      <c r="A15" s="1501">
        <v>11</v>
      </c>
      <c r="B15" s="4094" t="s">
        <v>2448</v>
      </c>
      <c r="C15" s="4094"/>
      <c r="D15" s="4094"/>
      <c r="E15" s="4094"/>
      <c r="F15" s="1504" t="s">
        <v>2440</v>
      </c>
      <c r="G15" s="3509"/>
    </row>
    <row r="16" spans="1:7" s="1500" customFormat="1" ht="15.9" customHeight="1">
      <c r="A16" s="1501">
        <v>12</v>
      </c>
      <c r="B16" s="4094" t="s">
        <v>1623</v>
      </c>
      <c r="C16" s="4094"/>
      <c r="D16" s="4094"/>
      <c r="E16" s="4094"/>
      <c r="F16" s="1504" t="s">
        <v>2440</v>
      </c>
      <c r="G16" s="3509"/>
    </row>
    <row r="17" spans="1:7" s="1500" customFormat="1" ht="15.9" customHeight="1">
      <c r="A17" s="1501">
        <v>13</v>
      </c>
      <c r="B17" s="4094" t="s">
        <v>2449</v>
      </c>
      <c r="C17" s="4094"/>
      <c r="D17" s="4094"/>
      <c r="E17" s="4094"/>
      <c r="F17" s="1504" t="s">
        <v>2440</v>
      </c>
      <c r="G17" s="3509"/>
    </row>
    <row r="18" spans="1:7" s="1500" customFormat="1" ht="15.9" customHeight="1">
      <c r="A18" s="1501">
        <v>14</v>
      </c>
      <c r="B18" s="4100" t="s">
        <v>2450</v>
      </c>
      <c r="C18" s="4100"/>
      <c r="D18" s="4100"/>
      <c r="E18" s="4100"/>
      <c r="F18" s="1504" t="s">
        <v>2440</v>
      </c>
      <c r="G18" s="3509"/>
    </row>
    <row r="19" spans="1:7" s="1500" customFormat="1" ht="15.9" customHeight="1">
      <c r="A19" s="1501">
        <v>15</v>
      </c>
      <c r="B19" s="4094" t="s">
        <v>2451</v>
      </c>
      <c r="C19" s="4094"/>
      <c r="D19" s="4094"/>
      <c r="E19" s="4094"/>
      <c r="F19" s="1504" t="s">
        <v>2440</v>
      </c>
      <c r="G19" s="3509"/>
    </row>
    <row r="20" spans="1:7" s="1500" customFormat="1" ht="15.9" customHeight="1">
      <c r="A20" s="1501">
        <v>16</v>
      </c>
      <c r="B20" s="4100" t="s">
        <v>2452</v>
      </c>
      <c r="C20" s="4100"/>
      <c r="D20" s="4100"/>
      <c r="E20" s="4100"/>
      <c r="F20" s="1504" t="s">
        <v>2440</v>
      </c>
      <c r="G20" s="3509"/>
    </row>
    <row r="21" spans="1:7" s="1500" customFormat="1" ht="15.9" customHeight="1">
      <c r="A21" s="1501">
        <v>17</v>
      </c>
      <c r="B21" s="4100" t="s">
        <v>2453</v>
      </c>
      <c r="C21" s="4100"/>
      <c r="D21" s="4100"/>
      <c r="E21" s="4100"/>
      <c r="F21" s="1504" t="s">
        <v>2440</v>
      </c>
      <c r="G21" s="3509"/>
    </row>
    <row r="22" spans="1:7" s="1500" customFormat="1" ht="15.9" customHeight="1">
      <c r="A22" s="1501">
        <v>18</v>
      </c>
      <c r="B22" s="4099" t="s">
        <v>2454</v>
      </c>
      <c r="C22" s="4099"/>
      <c r="D22" s="4099"/>
      <c r="E22" s="4099"/>
      <c r="F22" s="4099"/>
      <c r="G22" s="3509"/>
    </row>
    <row r="23" spans="1:7" s="1500" customFormat="1" ht="15.9" customHeight="1">
      <c r="A23" s="1501">
        <v>19</v>
      </c>
      <c r="B23" s="4094" t="s">
        <v>2455</v>
      </c>
      <c r="C23" s="4094"/>
      <c r="D23" s="4094"/>
      <c r="E23" s="4094"/>
      <c r="F23" s="1504" t="s">
        <v>2440</v>
      </c>
      <c r="G23" s="3509"/>
    </row>
    <row r="24" spans="1:7" s="1500" customFormat="1" ht="15.9" customHeight="1">
      <c r="A24" s="1501">
        <v>20</v>
      </c>
      <c r="B24" s="4094" t="s">
        <v>2456</v>
      </c>
      <c r="C24" s="4094"/>
      <c r="D24" s="4094"/>
      <c r="E24" s="4094"/>
      <c r="F24" s="1504" t="s">
        <v>2440</v>
      </c>
      <c r="G24" s="3509"/>
    </row>
    <row r="25" spans="1:7" s="1500" customFormat="1" ht="15.9" customHeight="1">
      <c r="A25" s="1501">
        <v>21</v>
      </c>
      <c r="B25" s="4094" t="s">
        <v>2447</v>
      </c>
      <c r="C25" s="4094"/>
      <c r="D25" s="4094"/>
      <c r="E25" s="4094"/>
      <c r="F25" s="1504" t="s">
        <v>2440</v>
      </c>
      <c r="G25" s="3509"/>
    </row>
    <row r="26" spans="1:7" s="1500" customFormat="1" ht="15.9" customHeight="1">
      <c r="A26" s="1501">
        <v>22</v>
      </c>
      <c r="B26" s="4094" t="s">
        <v>2457</v>
      </c>
      <c r="C26" s="4094"/>
      <c r="D26" s="4094"/>
      <c r="E26" s="4094"/>
      <c r="F26" s="1504" t="s">
        <v>2440</v>
      </c>
      <c r="G26" s="3509"/>
    </row>
    <row r="27" spans="1:7" s="1500" customFormat="1" ht="15.9" customHeight="1">
      <c r="A27" s="1501">
        <v>23</v>
      </c>
      <c r="B27" s="4099" t="s">
        <v>2458</v>
      </c>
      <c r="C27" s="4099"/>
      <c r="D27" s="4099"/>
      <c r="E27" s="4099"/>
      <c r="F27" s="4099"/>
      <c r="G27" s="3509"/>
    </row>
    <row r="28" spans="1:7" s="1500" customFormat="1" ht="15.9" customHeight="1">
      <c r="A28" s="1501">
        <v>24</v>
      </c>
      <c r="B28" s="4100" t="s">
        <v>2459</v>
      </c>
      <c r="C28" s="4100"/>
      <c r="D28" s="4100"/>
      <c r="E28" s="4100"/>
      <c r="F28" s="1504" t="s">
        <v>2440</v>
      </c>
      <c r="G28" s="3509"/>
    </row>
    <row r="29" spans="1:7" s="1500" customFormat="1" ht="15.9" customHeight="1">
      <c r="A29" s="1501">
        <v>25</v>
      </c>
      <c r="B29" s="4098" t="s">
        <v>2460</v>
      </c>
      <c r="C29" s="4098"/>
      <c r="D29" s="4098"/>
      <c r="E29" s="4098"/>
      <c r="F29" s="4098"/>
      <c r="G29" s="3509"/>
    </row>
    <row r="30" spans="1:7" s="1500" customFormat="1" ht="21.75" customHeight="1">
      <c r="A30" s="1501">
        <v>26</v>
      </c>
      <c r="B30" s="3509" t="s">
        <v>2461</v>
      </c>
      <c r="C30" s="4103" t="s">
        <v>2462</v>
      </c>
      <c r="D30" s="4104"/>
      <c r="E30" s="4104"/>
      <c r="F30" s="1504" t="s">
        <v>2440</v>
      </c>
      <c r="G30" s="3509"/>
    </row>
    <row r="31" spans="1:7" s="1500" customFormat="1" ht="21.75" customHeight="1">
      <c r="A31" s="1501">
        <v>27</v>
      </c>
      <c r="B31" s="3509"/>
      <c r="C31" s="4103" t="s">
        <v>2463</v>
      </c>
      <c r="D31" s="4103"/>
      <c r="E31" s="4103"/>
      <c r="F31" s="1505" t="s">
        <v>2440</v>
      </c>
      <c r="G31" s="3509"/>
    </row>
    <row r="32" spans="1:7" s="1500" customFormat="1" ht="21.75" customHeight="1">
      <c r="A32" s="1501">
        <v>28</v>
      </c>
      <c r="B32" s="3509"/>
      <c r="C32" s="4100" t="s">
        <v>2464</v>
      </c>
      <c r="D32" s="4100"/>
      <c r="E32" s="4102"/>
      <c r="F32" s="1506"/>
      <c r="G32" s="1507" t="s">
        <v>2465</v>
      </c>
    </row>
    <row r="33" spans="1:7" s="1500" customFormat="1" ht="21.75" customHeight="1">
      <c r="A33" s="1501">
        <v>29</v>
      </c>
      <c r="B33" s="3509"/>
      <c r="C33" s="4100" t="s">
        <v>2466</v>
      </c>
      <c r="D33" s="4100"/>
      <c r="E33" s="4100"/>
      <c r="F33" s="1508" t="s">
        <v>2440</v>
      </c>
      <c r="G33" s="1342" t="s">
        <v>2467</v>
      </c>
    </row>
    <row r="34" spans="1:7" s="1500" customFormat="1" ht="21.75" customHeight="1">
      <c r="A34" s="1501">
        <v>30</v>
      </c>
      <c r="B34" s="3509"/>
      <c r="C34" s="4103" t="s">
        <v>2468</v>
      </c>
      <c r="D34" s="4103"/>
      <c r="E34" s="4103"/>
      <c r="F34" s="1505" t="s">
        <v>2440</v>
      </c>
      <c r="G34" s="1342" t="s">
        <v>2467</v>
      </c>
    </row>
    <row r="35" spans="1:7" s="1500" customFormat="1" ht="21.75" customHeight="1">
      <c r="A35" s="1501">
        <v>31</v>
      </c>
      <c r="B35" s="3509" t="s">
        <v>2469</v>
      </c>
      <c r="C35" s="4100" t="s">
        <v>2470</v>
      </c>
      <c r="D35" s="4100"/>
      <c r="E35" s="4102"/>
      <c r="F35" s="1509"/>
      <c r="G35" s="1507" t="s">
        <v>2465</v>
      </c>
    </row>
    <row r="36" spans="1:7" s="1500" customFormat="1" ht="21.75" customHeight="1">
      <c r="A36" s="1501">
        <v>32</v>
      </c>
      <c r="B36" s="4101"/>
      <c r="C36" s="4100" t="s">
        <v>2471</v>
      </c>
      <c r="D36" s="4100"/>
      <c r="E36" s="4102"/>
      <c r="F36" s="1506"/>
      <c r="G36" s="1507" t="s">
        <v>2465</v>
      </c>
    </row>
    <row r="37" spans="1:7" s="1511" customFormat="1" ht="15.9" customHeight="1">
      <c r="A37" s="1498"/>
      <c r="B37" s="1498"/>
      <c r="C37" s="1498"/>
      <c r="D37" s="1498"/>
      <c r="E37" s="1498"/>
      <c r="F37" s="1510"/>
    </row>
    <row r="38" spans="1:7" s="1511" customFormat="1" ht="15.9" customHeight="1">
      <c r="A38" s="1498"/>
      <c r="B38" s="1498"/>
      <c r="C38" s="1498"/>
      <c r="D38" s="1498"/>
      <c r="E38" s="1498"/>
      <c r="F38" s="1510"/>
      <c r="G38" s="1512"/>
    </row>
    <row r="39" spans="1:7" s="1511" customFormat="1" ht="15.9" customHeight="1">
      <c r="A39" s="1498"/>
      <c r="B39" s="1498"/>
      <c r="C39" s="1498"/>
      <c r="D39" s="1498"/>
      <c r="E39" s="1498"/>
      <c r="F39" s="1510"/>
    </row>
    <row r="40" spans="1:7" s="1511" customFormat="1" ht="18.899999999999999" customHeight="1">
      <c r="A40" s="1498"/>
      <c r="B40" s="1498"/>
      <c r="C40" s="1498"/>
      <c r="D40" s="1498"/>
      <c r="E40" s="1498"/>
      <c r="F40" s="1510"/>
      <c r="G40" s="1513"/>
    </row>
    <row r="41" spans="1:7" s="1511" customFormat="1" ht="18.899999999999999" customHeight="1">
      <c r="A41" s="1498"/>
      <c r="B41" s="1498"/>
      <c r="C41" s="1498"/>
      <c r="D41" s="1498"/>
      <c r="E41" s="1498"/>
      <c r="F41" s="1510"/>
      <c r="G41" s="1513"/>
    </row>
    <row r="42" spans="1:7" s="1511" customFormat="1" ht="18.899999999999999" customHeight="1">
      <c r="A42" s="1498"/>
      <c r="B42" s="1498"/>
      <c r="C42" s="1498"/>
      <c r="D42" s="1498"/>
      <c r="E42" s="1498"/>
      <c r="F42" s="1510"/>
      <c r="G42" s="1514"/>
    </row>
    <row r="43" spans="1:7" s="1511" customFormat="1" ht="18.899999999999999" customHeight="1">
      <c r="A43" s="1498"/>
      <c r="B43" s="1498"/>
      <c r="C43" s="1498"/>
      <c r="D43" s="1498"/>
      <c r="E43" s="1498"/>
      <c r="F43" s="1510"/>
      <c r="G43" s="1515"/>
    </row>
    <row r="44" spans="1:7" s="1511" customFormat="1" ht="18.899999999999999" customHeight="1">
      <c r="A44" s="1498"/>
      <c r="B44" s="1498"/>
      <c r="C44" s="1498"/>
      <c r="D44" s="1498"/>
      <c r="E44" s="1498"/>
      <c r="F44" s="1510"/>
      <c r="G44" s="1515"/>
    </row>
    <row r="45" spans="1:7" s="1511" customFormat="1" ht="18.899999999999999" customHeight="1">
      <c r="A45" s="1498"/>
      <c r="B45" s="1498"/>
      <c r="C45" s="1498"/>
      <c r="D45" s="1498"/>
      <c r="E45" s="1498"/>
      <c r="F45" s="1510"/>
      <c r="G45" s="1515"/>
    </row>
    <row r="46" spans="1:7" s="1511" customFormat="1" ht="18.899999999999999" customHeight="1">
      <c r="A46" s="1498"/>
      <c r="B46" s="1498"/>
      <c r="C46" s="1498"/>
      <c r="D46" s="1498"/>
      <c r="E46" s="1498"/>
      <c r="F46" s="1510"/>
      <c r="G46" s="1516"/>
    </row>
    <row r="47" spans="1:7" s="1511" customFormat="1" ht="18.899999999999999" customHeight="1">
      <c r="A47" s="1498"/>
      <c r="B47" s="1498"/>
      <c r="C47" s="1498"/>
      <c r="D47" s="1498"/>
      <c r="E47" s="1498"/>
      <c r="F47" s="1510"/>
      <c r="G47" s="1498"/>
    </row>
    <row r="48" spans="1:7" ht="18.899999999999999" customHeight="1"/>
  </sheetData>
  <mergeCells count="39">
    <mergeCell ref="B35:B36"/>
    <mergeCell ref="C35:E35"/>
    <mergeCell ref="C36:E36"/>
    <mergeCell ref="B28:E28"/>
    <mergeCell ref="B29:F29"/>
    <mergeCell ref="B30:B34"/>
    <mergeCell ref="C30:E30"/>
    <mergeCell ref="C31:E31"/>
    <mergeCell ref="C32:E32"/>
    <mergeCell ref="C33:E33"/>
    <mergeCell ref="C34:E34"/>
    <mergeCell ref="B27:F27"/>
    <mergeCell ref="B16:E16"/>
    <mergeCell ref="B17:E17"/>
    <mergeCell ref="B18:E18"/>
    <mergeCell ref="B19:E19"/>
    <mergeCell ref="B20:E20"/>
    <mergeCell ref="B21:E21"/>
    <mergeCell ref="B22:F22"/>
    <mergeCell ref="B23:E23"/>
    <mergeCell ref="B24:E24"/>
    <mergeCell ref="B25:E25"/>
    <mergeCell ref="B26:E26"/>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19921875" style="1428" customWidth="1"/>
    <col min="3" max="3" width="17.09765625" style="1443" customWidth="1"/>
    <col min="4" max="6" width="17.3984375" style="1444" customWidth="1"/>
    <col min="7" max="7" width="18.19921875" style="1445" customWidth="1"/>
    <col min="8" max="256" width="9" style="1428"/>
    <col min="257" max="257" width="4.5" style="1428" customWidth="1"/>
    <col min="258" max="258" width="14.19921875" style="1428" customWidth="1"/>
    <col min="259" max="259" width="17.09765625" style="1428" customWidth="1"/>
    <col min="260" max="262" width="17.3984375" style="1428" customWidth="1"/>
    <col min="263" max="263" width="18.19921875" style="1428" customWidth="1"/>
    <col min="264" max="512" width="9" style="1428"/>
    <col min="513" max="513" width="4.5" style="1428" customWidth="1"/>
    <col min="514" max="514" width="14.19921875" style="1428" customWidth="1"/>
    <col min="515" max="515" width="17.09765625" style="1428" customWidth="1"/>
    <col min="516" max="518" width="17.3984375" style="1428" customWidth="1"/>
    <col min="519" max="519" width="18.19921875" style="1428" customWidth="1"/>
    <col min="520" max="768" width="9" style="1428"/>
    <col min="769" max="769" width="4.5" style="1428" customWidth="1"/>
    <col min="770" max="770" width="14.19921875" style="1428" customWidth="1"/>
    <col min="771" max="771" width="17.09765625" style="1428" customWidth="1"/>
    <col min="772" max="774" width="17.3984375" style="1428" customWidth="1"/>
    <col min="775" max="775" width="18.19921875" style="1428" customWidth="1"/>
    <col min="776" max="1024" width="9" style="1428"/>
    <col min="1025" max="1025" width="4.5" style="1428" customWidth="1"/>
    <col min="1026" max="1026" width="14.19921875" style="1428" customWidth="1"/>
    <col min="1027" max="1027" width="17.09765625" style="1428" customWidth="1"/>
    <col min="1028" max="1030" width="17.3984375" style="1428" customWidth="1"/>
    <col min="1031" max="1031" width="18.19921875" style="1428" customWidth="1"/>
    <col min="1032" max="1280" width="9" style="1428"/>
    <col min="1281" max="1281" width="4.5" style="1428" customWidth="1"/>
    <col min="1282" max="1282" width="14.19921875" style="1428" customWidth="1"/>
    <col min="1283" max="1283" width="17.09765625" style="1428" customWidth="1"/>
    <col min="1284" max="1286" width="17.3984375" style="1428" customWidth="1"/>
    <col min="1287" max="1287" width="18.19921875" style="1428" customWidth="1"/>
    <col min="1288" max="1536" width="9" style="1428"/>
    <col min="1537" max="1537" width="4.5" style="1428" customWidth="1"/>
    <col min="1538" max="1538" width="14.19921875" style="1428" customWidth="1"/>
    <col min="1539" max="1539" width="17.09765625" style="1428" customWidth="1"/>
    <col min="1540" max="1542" width="17.3984375" style="1428" customWidth="1"/>
    <col min="1543" max="1543" width="18.19921875" style="1428" customWidth="1"/>
    <col min="1544" max="1792" width="9" style="1428"/>
    <col min="1793" max="1793" width="4.5" style="1428" customWidth="1"/>
    <col min="1794" max="1794" width="14.19921875" style="1428" customWidth="1"/>
    <col min="1795" max="1795" width="17.09765625" style="1428" customWidth="1"/>
    <col min="1796" max="1798" width="17.3984375" style="1428" customWidth="1"/>
    <col min="1799" max="1799" width="18.19921875" style="1428" customWidth="1"/>
    <col min="1800" max="2048" width="9" style="1428"/>
    <col min="2049" max="2049" width="4.5" style="1428" customWidth="1"/>
    <col min="2050" max="2050" width="14.19921875" style="1428" customWidth="1"/>
    <col min="2051" max="2051" width="17.09765625" style="1428" customWidth="1"/>
    <col min="2052" max="2054" width="17.3984375" style="1428" customWidth="1"/>
    <col min="2055" max="2055" width="18.19921875" style="1428" customWidth="1"/>
    <col min="2056" max="2304" width="9" style="1428"/>
    <col min="2305" max="2305" width="4.5" style="1428" customWidth="1"/>
    <col min="2306" max="2306" width="14.19921875" style="1428" customWidth="1"/>
    <col min="2307" max="2307" width="17.09765625" style="1428" customWidth="1"/>
    <col min="2308" max="2310" width="17.3984375" style="1428" customWidth="1"/>
    <col min="2311" max="2311" width="18.19921875" style="1428" customWidth="1"/>
    <col min="2312" max="2560" width="9" style="1428"/>
    <col min="2561" max="2561" width="4.5" style="1428" customWidth="1"/>
    <col min="2562" max="2562" width="14.19921875" style="1428" customWidth="1"/>
    <col min="2563" max="2563" width="17.09765625" style="1428" customWidth="1"/>
    <col min="2564" max="2566" width="17.3984375" style="1428" customWidth="1"/>
    <col min="2567" max="2567" width="18.19921875" style="1428" customWidth="1"/>
    <col min="2568" max="2816" width="9" style="1428"/>
    <col min="2817" max="2817" width="4.5" style="1428" customWidth="1"/>
    <col min="2818" max="2818" width="14.19921875" style="1428" customWidth="1"/>
    <col min="2819" max="2819" width="17.09765625" style="1428" customWidth="1"/>
    <col min="2820" max="2822" width="17.3984375" style="1428" customWidth="1"/>
    <col min="2823" max="2823" width="18.19921875" style="1428" customWidth="1"/>
    <col min="2824" max="3072" width="9" style="1428"/>
    <col min="3073" max="3073" width="4.5" style="1428" customWidth="1"/>
    <col min="3074" max="3074" width="14.19921875" style="1428" customWidth="1"/>
    <col min="3075" max="3075" width="17.09765625" style="1428" customWidth="1"/>
    <col min="3076" max="3078" width="17.3984375" style="1428" customWidth="1"/>
    <col min="3079" max="3079" width="18.19921875" style="1428" customWidth="1"/>
    <col min="3080" max="3328" width="9" style="1428"/>
    <col min="3329" max="3329" width="4.5" style="1428" customWidth="1"/>
    <col min="3330" max="3330" width="14.19921875" style="1428" customWidth="1"/>
    <col min="3331" max="3331" width="17.09765625" style="1428" customWidth="1"/>
    <col min="3332" max="3334" width="17.3984375" style="1428" customWidth="1"/>
    <col min="3335" max="3335" width="18.19921875" style="1428" customWidth="1"/>
    <col min="3336" max="3584" width="9" style="1428"/>
    <col min="3585" max="3585" width="4.5" style="1428" customWidth="1"/>
    <col min="3586" max="3586" width="14.19921875" style="1428" customWidth="1"/>
    <col min="3587" max="3587" width="17.09765625" style="1428" customWidth="1"/>
    <col min="3588" max="3590" width="17.3984375" style="1428" customWidth="1"/>
    <col min="3591" max="3591" width="18.19921875" style="1428" customWidth="1"/>
    <col min="3592" max="3840" width="9" style="1428"/>
    <col min="3841" max="3841" width="4.5" style="1428" customWidth="1"/>
    <col min="3842" max="3842" width="14.19921875" style="1428" customWidth="1"/>
    <col min="3843" max="3843" width="17.09765625" style="1428" customWidth="1"/>
    <col min="3844" max="3846" width="17.3984375" style="1428" customWidth="1"/>
    <col min="3847" max="3847" width="18.19921875" style="1428" customWidth="1"/>
    <col min="3848" max="4096" width="9" style="1428"/>
    <col min="4097" max="4097" width="4.5" style="1428" customWidth="1"/>
    <col min="4098" max="4098" width="14.19921875" style="1428" customWidth="1"/>
    <col min="4099" max="4099" width="17.09765625" style="1428" customWidth="1"/>
    <col min="4100" max="4102" width="17.3984375" style="1428" customWidth="1"/>
    <col min="4103" max="4103" width="18.19921875" style="1428" customWidth="1"/>
    <col min="4104" max="4352" width="9" style="1428"/>
    <col min="4353" max="4353" width="4.5" style="1428" customWidth="1"/>
    <col min="4354" max="4354" width="14.19921875" style="1428" customWidth="1"/>
    <col min="4355" max="4355" width="17.09765625" style="1428" customWidth="1"/>
    <col min="4356" max="4358" width="17.3984375" style="1428" customWidth="1"/>
    <col min="4359" max="4359" width="18.19921875" style="1428" customWidth="1"/>
    <col min="4360" max="4608" width="9" style="1428"/>
    <col min="4609" max="4609" width="4.5" style="1428" customWidth="1"/>
    <col min="4610" max="4610" width="14.19921875" style="1428" customWidth="1"/>
    <col min="4611" max="4611" width="17.09765625" style="1428" customWidth="1"/>
    <col min="4612" max="4614" width="17.3984375" style="1428" customWidth="1"/>
    <col min="4615" max="4615" width="18.19921875" style="1428" customWidth="1"/>
    <col min="4616" max="4864" width="9" style="1428"/>
    <col min="4865" max="4865" width="4.5" style="1428" customWidth="1"/>
    <col min="4866" max="4866" width="14.19921875" style="1428" customWidth="1"/>
    <col min="4867" max="4867" width="17.09765625" style="1428" customWidth="1"/>
    <col min="4868" max="4870" width="17.3984375" style="1428" customWidth="1"/>
    <col min="4871" max="4871" width="18.19921875" style="1428" customWidth="1"/>
    <col min="4872" max="5120" width="9" style="1428"/>
    <col min="5121" max="5121" width="4.5" style="1428" customWidth="1"/>
    <col min="5122" max="5122" width="14.19921875" style="1428" customWidth="1"/>
    <col min="5123" max="5123" width="17.09765625" style="1428" customWidth="1"/>
    <col min="5124" max="5126" width="17.3984375" style="1428" customWidth="1"/>
    <col min="5127" max="5127" width="18.19921875" style="1428" customWidth="1"/>
    <col min="5128" max="5376" width="9" style="1428"/>
    <col min="5377" max="5377" width="4.5" style="1428" customWidth="1"/>
    <col min="5378" max="5378" width="14.19921875" style="1428" customWidth="1"/>
    <col min="5379" max="5379" width="17.09765625" style="1428" customWidth="1"/>
    <col min="5380" max="5382" width="17.3984375" style="1428" customWidth="1"/>
    <col min="5383" max="5383" width="18.19921875" style="1428" customWidth="1"/>
    <col min="5384" max="5632" width="9" style="1428"/>
    <col min="5633" max="5633" width="4.5" style="1428" customWidth="1"/>
    <col min="5634" max="5634" width="14.19921875" style="1428" customWidth="1"/>
    <col min="5635" max="5635" width="17.09765625" style="1428" customWidth="1"/>
    <col min="5636" max="5638" width="17.3984375" style="1428" customWidth="1"/>
    <col min="5639" max="5639" width="18.19921875" style="1428" customWidth="1"/>
    <col min="5640" max="5888" width="9" style="1428"/>
    <col min="5889" max="5889" width="4.5" style="1428" customWidth="1"/>
    <col min="5890" max="5890" width="14.19921875" style="1428" customWidth="1"/>
    <col min="5891" max="5891" width="17.09765625" style="1428" customWidth="1"/>
    <col min="5892" max="5894" width="17.3984375" style="1428" customWidth="1"/>
    <col min="5895" max="5895" width="18.19921875" style="1428" customWidth="1"/>
    <col min="5896" max="6144" width="9" style="1428"/>
    <col min="6145" max="6145" width="4.5" style="1428" customWidth="1"/>
    <col min="6146" max="6146" width="14.19921875" style="1428" customWidth="1"/>
    <col min="6147" max="6147" width="17.09765625" style="1428" customWidth="1"/>
    <col min="6148" max="6150" width="17.3984375" style="1428" customWidth="1"/>
    <col min="6151" max="6151" width="18.19921875" style="1428" customWidth="1"/>
    <col min="6152" max="6400" width="9" style="1428"/>
    <col min="6401" max="6401" width="4.5" style="1428" customWidth="1"/>
    <col min="6402" max="6402" width="14.19921875" style="1428" customWidth="1"/>
    <col min="6403" max="6403" width="17.09765625" style="1428" customWidth="1"/>
    <col min="6404" max="6406" width="17.3984375" style="1428" customWidth="1"/>
    <col min="6407" max="6407" width="18.19921875" style="1428" customWidth="1"/>
    <col min="6408" max="6656" width="9" style="1428"/>
    <col min="6657" max="6657" width="4.5" style="1428" customWidth="1"/>
    <col min="6658" max="6658" width="14.19921875" style="1428" customWidth="1"/>
    <col min="6659" max="6659" width="17.09765625" style="1428" customWidth="1"/>
    <col min="6660" max="6662" width="17.3984375" style="1428" customWidth="1"/>
    <col min="6663" max="6663" width="18.19921875" style="1428" customWidth="1"/>
    <col min="6664" max="6912" width="9" style="1428"/>
    <col min="6913" max="6913" width="4.5" style="1428" customWidth="1"/>
    <col min="6914" max="6914" width="14.19921875" style="1428" customWidth="1"/>
    <col min="6915" max="6915" width="17.09765625" style="1428" customWidth="1"/>
    <col min="6916" max="6918" width="17.3984375" style="1428" customWidth="1"/>
    <col min="6919" max="6919" width="18.19921875" style="1428" customWidth="1"/>
    <col min="6920" max="7168" width="9" style="1428"/>
    <col min="7169" max="7169" width="4.5" style="1428" customWidth="1"/>
    <col min="7170" max="7170" width="14.19921875" style="1428" customWidth="1"/>
    <col min="7171" max="7171" width="17.09765625" style="1428" customWidth="1"/>
    <col min="7172" max="7174" width="17.3984375" style="1428" customWidth="1"/>
    <col min="7175" max="7175" width="18.19921875" style="1428" customWidth="1"/>
    <col min="7176" max="7424" width="9" style="1428"/>
    <col min="7425" max="7425" width="4.5" style="1428" customWidth="1"/>
    <col min="7426" max="7426" width="14.19921875" style="1428" customWidth="1"/>
    <col min="7427" max="7427" width="17.09765625" style="1428" customWidth="1"/>
    <col min="7428" max="7430" width="17.3984375" style="1428" customWidth="1"/>
    <col min="7431" max="7431" width="18.19921875" style="1428" customWidth="1"/>
    <col min="7432" max="7680" width="9" style="1428"/>
    <col min="7681" max="7681" width="4.5" style="1428" customWidth="1"/>
    <col min="7682" max="7682" width="14.19921875" style="1428" customWidth="1"/>
    <col min="7683" max="7683" width="17.09765625" style="1428" customWidth="1"/>
    <col min="7684" max="7686" width="17.3984375" style="1428" customWidth="1"/>
    <col min="7687" max="7687" width="18.19921875" style="1428" customWidth="1"/>
    <col min="7688" max="7936" width="9" style="1428"/>
    <col min="7937" max="7937" width="4.5" style="1428" customWidth="1"/>
    <col min="7938" max="7938" width="14.19921875" style="1428" customWidth="1"/>
    <col min="7939" max="7939" width="17.09765625" style="1428" customWidth="1"/>
    <col min="7940" max="7942" width="17.3984375" style="1428" customWidth="1"/>
    <col min="7943" max="7943" width="18.19921875" style="1428" customWidth="1"/>
    <col min="7944" max="8192" width="9" style="1428"/>
    <col min="8193" max="8193" width="4.5" style="1428" customWidth="1"/>
    <col min="8194" max="8194" width="14.19921875" style="1428" customWidth="1"/>
    <col min="8195" max="8195" width="17.09765625" style="1428" customWidth="1"/>
    <col min="8196" max="8198" width="17.3984375" style="1428" customWidth="1"/>
    <col min="8199" max="8199" width="18.19921875" style="1428" customWidth="1"/>
    <col min="8200" max="8448" width="9" style="1428"/>
    <col min="8449" max="8449" width="4.5" style="1428" customWidth="1"/>
    <col min="8450" max="8450" width="14.19921875" style="1428" customWidth="1"/>
    <col min="8451" max="8451" width="17.09765625" style="1428" customWidth="1"/>
    <col min="8452" max="8454" width="17.3984375" style="1428" customWidth="1"/>
    <col min="8455" max="8455" width="18.19921875" style="1428" customWidth="1"/>
    <col min="8456" max="8704" width="9" style="1428"/>
    <col min="8705" max="8705" width="4.5" style="1428" customWidth="1"/>
    <col min="8706" max="8706" width="14.19921875" style="1428" customWidth="1"/>
    <col min="8707" max="8707" width="17.09765625" style="1428" customWidth="1"/>
    <col min="8708" max="8710" width="17.3984375" style="1428" customWidth="1"/>
    <col min="8711" max="8711" width="18.19921875" style="1428" customWidth="1"/>
    <col min="8712" max="8960" width="9" style="1428"/>
    <col min="8961" max="8961" width="4.5" style="1428" customWidth="1"/>
    <col min="8962" max="8962" width="14.19921875" style="1428" customWidth="1"/>
    <col min="8963" max="8963" width="17.09765625" style="1428" customWidth="1"/>
    <col min="8964" max="8966" width="17.3984375" style="1428" customWidth="1"/>
    <col min="8967" max="8967" width="18.19921875" style="1428" customWidth="1"/>
    <col min="8968" max="9216" width="9" style="1428"/>
    <col min="9217" max="9217" width="4.5" style="1428" customWidth="1"/>
    <col min="9218" max="9218" width="14.19921875" style="1428" customWidth="1"/>
    <col min="9219" max="9219" width="17.09765625" style="1428" customWidth="1"/>
    <col min="9220" max="9222" width="17.3984375" style="1428" customWidth="1"/>
    <col min="9223" max="9223" width="18.19921875" style="1428" customWidth="1"/>
    <col min="9224" max="9472" width="9" style="1428"/>
    <col min="9473" max="9473" width="4.5" style="1428" customWidth="1"/>
    <col min="9474" max="9474" width="14.19921875" style="1428" customWidth="1"/>
    <col min="9475" max="9475" width="17.09765625" style="1428" customWidth="1"/>
    <col min="9476" max="9478" width="17.3984375" style="1428" customWidth="1"/>
    <col min="9479" max="9479" width="18.19921875" style="1428" customWidth="1"/>
    <col min="9480" max="9728" width="9" style="1428"/>
    <col min="9729" max="9729" width="4.5" style="1428" customWidth="1"/>
    <col min="9730" max="9730" width="14.19921875" style="1428" customWidth="1"/>
    <col min="9731" max="9731" width="17.09765625" style="1428" customWidth="1"/>
    <col min="9732" max="9734" width="17.3984375" style="1428" customWidth="1"/>
    <col min="9735" max="9735" width="18.19921875" style="1428" customWidth="1"/>
    <col min="9736" max="9984" width="9" style="1428"/>
    <col min="9985" max="9985" width="4.5" style="1428" customWidth="1"/>
    <col min="9986" max="9986" width="14.19921875" style="1428" customWidth="1"/>
    <col min="9987" max="9987" width="17.09765625" style="1428" customWidth="1"/>
    <col min="9988" max="9990" width="17.3984375" style="1428" customWidth="1"/>
    <col min="9991" max="9991" width="18.19921875" style="1428" customWidth="1"/>
    <col min="9992" max="10240" width="9" style="1428"/>
    <col min="10241" max="10241" width="4.5" style="1428" customWidth="1"/>
    <col min="10242" max="10242" width="14.19921875" style="1428" customWidth="1"/>
    <col min="10243" max="10243" width="17.09765625" style="1428" customWidth="1"/>
    <col min="10244" max="10246" width="17.3984375" style="1428" customWidth="1"/>
    <col min="10247" max="10247" width="18.19921875" style="1428" customWidth="1"/>
    <col min="10248" max="10496" width="9" style="1428"/>
    <col min="10497" max="10497" width="4.5" style="1428" customWidth="1"/>
    <col min="10498" max="10498" width="14.19921875" style="1428" customWidth="1"/>
    <col min="10499" max="10499" width="17.09765625" style="1428" customWidth="1"/>
    <col min="10500" max="10502" width="17.3984375" style="1428" customWidth="1"/>
    <col min="10503" max="10503" width="18.19921875" style="1428" customWidth="1"/>
    <col min="10504" max="10752" width="9" style="1428"/>
    <col min="10753" max="10753" width="4.5" style="1428" customWidth="1"/>
    <col min="10754" max="10754" width="14.19921875" style="1428" customWidth="1"/>
    <col min="10755" max="10755" width="17.09765625" style="1428" customWidth="1"/>
    <col min="10756" max="10758" width="17.3984375" style="1428" customWidth="1"/>
    <col min="10759" max="10759" width="18.19921875" style="1428" customWidth="1"/>
    <col min="10760" max="11008" width="9" style="1428"/>
    <col min="11009" max="11009" width="4.5" style="1428" customWidth="1"/>
    <col min="11010" max="11010" width="14.19921875" style="1428" customWidth="1"/>
    <col min="11011" max="11011" width="17.09765625" style="1428" customWidth="1"/>
    <col min="11012" max="11014" width="17.3984375" style="1428" customWidth="1"/>
    <col min="11015" max="11015" width="18.19921875" style="1428" customWidth="1"/>
    <col min="11016" max="11264" width="9" style="1428"/>
    <col min="11265" max="11265" width="4.5" style="1428" customWidth="1"/>
    <col min="11266" max="11266" width="14.19921875" style="1428" customWidth="1"/>
    <col min="11267" max="11267" width="17.09765625" style="1428" customWidth="1"/>
    <col min="11268" max="11270" width="17.3984375" style="1428" customWidth="1"/>
    <col min="11271" max="11271" width="18.19921875" style="1428" customWidth="1"/>
    <col min="11272" max="11520" width="9" style="1428"/>
    <col min="11521" max="11521" width="4.5" style="1428" customWidth="1"/>
    <col min="11522" max="11522" width="14.19921875" style="1428" customWidth="1"/>
    <col min="11523" max="11523" width="17.09765625" style="1428" customWidth="1"/>
    <col min="11524" max="11526" width="17.3984375" style="1428" customWidth="1"/>
    <col min="11527" max="11527" width="18.19921875" style="1428" customWidth="1"/>
    <col min="11528" max="11776" width="9" style="1428"/>
    <col min="11777" max="11777" width="4.5" style="1428" customWidth="1"/>
    <col min="11778" max="11778" width="14.19921875" style="1428" customWidth="1"/>
    <col min="11779" max="11779" width="17.09765625" style="1428" customWidth="1"/>
    <col min="11780" max="11782" width="17.3984375" style="1428" customWidth="1"/>
    <col min="11783" max="11783" width="18.19921875" style="1428" customWidth="1"/>
    <col min="11784" max="12032" width="9" style="1428"/>
    <col min="12033" max="12033" width="4.5" style="1428" customWidth="1"/>
    <col min="12034" max="12034" width="14.19921875" style="1428" customWidth="1"/>
    <col min="12035" max="12035" width="17.09765625" style="1428" customWidth="1"/>
    <col min="12036" max="12038" width="17.3984375" style="1428" customWidth="1"/>
    <col min="12039" max="12039" width="18.19921875" style="1428" customWidth="1"/>
    <col min="12040" max="12288" width="9" style="1428"/>
    <col min="12289" max="12289" width="4.5" style="1428" customWidth="1"/>
    <col min="12290" max="12290" width="14.19921875" style="1428" customWidth="1"/>
    <col min="12291" max="12291" width="17.09765625" style="1428" customWidth="1"/>
    <col min="12292" max="12294" width="17.3984375" style="1428" customWidth="1"/>
    <col min="12295" max="12295" width="18.19921875" style="1428" customWidth="1"/>
    <col min="12296" max="12544" width="9" style="1428"/>
    <col min="12545" max="12545" width="4.5" style="1428" customWidth="1"/>
    <col min="12546" max="12546" width="14.19921875" style="1428" customWidth="1"/>
    <col min="12547" max="12547" width="17.09765625" style="1428" customWidth="1"/>
    <col min="12548" max="12550" width="17.3984375" style="1428" customWidth="1"/>
    <col min="12551" max="12551" width="18.19921875" style="1428" customWidth="1"/>
    <col min="12552" max="12800" width="9" style="1428"/>
    <col min="12801" max="12801" width="4.5" style="1428" customWidth="1"/>
    <col min="12802" max="12802" width="14.19921875" style="1428" customWidth="1"/>
    <col min="12803" max="12803" width="17.09765625" style="1428" customWidth="1"/>
    <col min="12804" max="12806" width="17.3984375" style="1428" customWidth="1"/>
    <col min="12807" max="12807" width="18.19921875" style="1428" customWidth="1"/>
    <col min="12808" max="13056" width="9" style="1428"/>
    <col min="13057" max="13057" width="4.5" style="1428" customWidth="1"/>
    <col min="13058" max="13058" width="14.19921875" style="1428" customWidth="1"/>
    <col min="13059" max="13059" width="17.09765625" style="1428" customWidth="1"/>
    <col min="13060" max="13062" width="17.3984375" style="1428" customWidth="1"/>
    <col min="13063" max="13063" width="18.19921875" style="1428" customWidth="1"/>
    <col min="13064" max="13312" width="9" style="1428"/>
    <col min="13313" max="13313" width="4.5" style="1428" customWidth="1"/>
    <col min="13314" max="13314" width="14.19921875" style="1428" customWidth="1"/>
    <col min="13315" max="13315" width="17.09765625" style="1428" customWidth="1"/>
    <col min="13316" max="13318" width="17.3984375" style="1428" customWidth="1"/>
    <col min="13319" max="13319" width="18.19921875" style="1428" customWidth="1"/>
    <col min="13320" max="13568" width="9" style="1428"/>
    <col min="13569" max="13569" width="4.5" style="1428" customWidth="1"/>
    <col min="13570" max="13570" width="14.19921875" style="1428" customWidth="1"/>
    <col min="13571" max="13571" width="17.09765625" style="1428" customWidth="1"/>
    <col min="13572" max="13574" width="17.3984375" style="1428" customWidth="1"/>
    <col min="13575" max="13575" width="18.19921875" style="1428" customWidth="1"/>
    <col min="13576" max="13824" width="9" style="1428"/>
    <col min="13825" max="13825" width="4.5" style="1428" customWidth="1"/>
    <col min="13826" max="13826" width="14.19921875" style="1428" customWidth="1"/>
    <col min="13827" max="13827" width="17.09765625" style="1428" customWidth="1"/>
    <col min="13828" max="13830" width="17.3984375" style="1428" customWidth="1"/>
    <col min="13831" max="13831" width="18.19921875" style="1428" customWidth="1"/>
    <col min="13832" max="14080" width="9" style="1428"/>
    <col min="14081" max="14081" width="4.5" style="1428" customWidth="1"/>
    <col min="14082" max="14082" width="14.19921875" style="1428" customWidth="1"/>
    <col min="14083" max="14083" width="17.09765625" style="1428" customWidth="1"/>
    <col min="14084" max="14086" width="17.3984375" style="1428" customWidth="1"/>
    <col min="14087" max="14087" width="18.19921875" style="1428" customWidth="1"/>
    <col min="14088" max="14336" width="9" style="1428"/>
    <col min="14337" max="14337" width="4.5" style="1428" customWidth="1"/>
    <col min="14338" max="14338" width="14.19921875" style="1428" customWidth="1"/>
    <col min="14339" max="14339" width="17.09765625" style="1428" customWidth="1"/>
    <col min="14340" max="14342" width="17.3984375" style="1428" customWidth="1"/>
    <col min="14343" max="14343" width="18.19921875" style="1428" customWidth="1"/>
    <col min="14344" max="14592" width="9" style="1428"/>
    <col min="14593" max="14593" width="4.5" style="1428" customWidth="1"/>
    <col min="14594" max="14594" width="14.19921875" style="1428" customWidth="1"/>
    <col min="14595" max="14595" width="17.09765625" style="1428" customWidth="1"/>
    <col min="14596" max="14598" width="17.3984375" style="1428" customWidth="1"/>
    <col min="14599" max="14599" width="18.19921875" style="1428" customWidth="1"/>
    <col min="14600" max="14848" width="9" style="1428"/>
    <col min="14849" max="14849" width="4.5" style="1428" customWidth="1"/>
    <col min="14850" max="14850" width="14.19921875" style="1428" customWidth="1"/>
    <col min="14851" max="14851" width="17.09765625" style="1428" customWidth="1"/>
    <col min="14852" max="14854" width="17.3984375" style="1428" customWidth="1"/>
    <col min="14855" max="14855" width="18.19921875" style="1428" customWidth="1"/>
    <col min="14856" max="15104" width="9" style="1428"/>
    <col min="15105" max="15105" width="4.5" style="1428" customWidth="1"/>
    <col min="15106" max="15106" width="14.19921875" style="1428" customWidth="1"/>
    <col min="15107" max="15107" width="17.09765625" style="1428" customWidth="1"/>
    <col min="15108" max="15110" width="17.3984375" style="1428" customWidth="1"/>
    <col min="15111" max="15111" width="18.19921875" style="1428" customWidth="1"/>
    <col min="15112" max="15360" width="9" style="1428"/>
    <col min="15361" max="15361" width="4.5" style="1428" customWidth="1"/>
    <col min="15362" max="15362" width="14.19921875" style="1428" customWidth="1"/>
    <col min="15363" max="15363" width="17.09765625" style="1428" customWidth="1"/>
    <col min="15364" max="15366" width="17.3984375" style="1428" customWidth="1"/>
    <col min="15367" max="15367" width="18.19921875" style="1428" customWidth="1"/>
    <col min="15368" max="15616" width="9" style="1428"/>
    <col min="15617" max="15617" width="4.5" style="1428" customWidth="1"/>
    <col min="15618" max="15618" width="14.19921875" style="1428" customWidth="1"/>
    <col min="15619" max="15619" width="17.09765625" style="1428" customWidth="1"/>
    <col min="15620" max="15622" width="17.3984375" style="1428" customWidth="1"/>
    <col min="15623" max="15623" width="18.19921875" style="1428" customWidth="1"/>
    <col min="15624" max="15872" width="9" style="1428"/>
    <col min="15873" max="15873" width="4.5" style="1428" customWidth="1"/>
    <col min="15874" max="15874" width="14.19921875" style="1428" customWidth="1"/>
    <col min="15875" max="15875" width="17.09765625" style="1428" customWidth="1"/>
    <col min="15876" max="15878" width="17.3984375" style="1428" customWidth="1"/>
    <col min="15879" max="15879" width="18.19921875" style="1428" customWidth="1"/>
    <col min="15880" max="16128" width="9" style="1428"/>
    <col min="16129" max="16129" width="4.5" style="1428" customWidth="1"/>
    <col min="16130" max="16130" width="14.19921875" style="1428" customWidth="1"/>
    <col min="16131" max="16131" width="17.09765625" style="1428" customWidth="1"/>
    <col min="16132" max="16134" width="17.3984375" style="1428" customWidth="1"/>
    <col min="16135" max="16135" width="18.19921875" style="1428" customWidth="1"/>
    <col min="16136" max="16384" width="9" style="1428"/>
  </cols>
  <sheetData>
    <row r="1" spans="1:7" ht="25.5" customHeight="1">
      <c r="A1" s="4108" t="s">
        <v>2354</v>
      </c>
      <c r="B1" s="4108"/>
      <c r="C1" s="4108"/>
      <c r="D1" s="4108"/>
      <c r="E1" s="4108"/>
      <c r="F1" s="4108"/>
      <c r="G1" s="4108"/>
    </row>
    <row r="2" spans="1:7" s="1430" customFormat="1" ht="20.100000000000001" customHeight="1">
      <c r="A2" s="4109" t="s">
        <v>2355</v>
      </c>
      <c r="B2" s="4109"/>
      <c r="C2" s="1429" t="str">
        <f>'(二)企业基本情况和审核事项说明'!B15</f>
        <v>2016-01-01</v>
      </c>
      <c r="D2" s="4110" t="s">
        <v>2356</v>
      </c>
      <c r="E2" s="4110"/>
      <c r="F2" s="4110"/>
      <c r="G2" s="4110"/>
    </row>
    <row r="3" spans="1:7" s="1430" customFormat="1" ht="20.100000000000001" customHeight="1">
      <c r="A3" s="4109" t="s">
        <v>2357</v>
      </c>
      <c r="B3" s="4109"/>
      <c r="C3" s="1431" t="str">
        <f>'(二)企业基本情况和审核事项说明'!D15</f>
        <v>2016-12-31</v>
      </c>
      <c r="D3" s="4110" t="s">
        <v>2358</v>
      </c>
      <c r="E3" s="4110"/>
      <c r="F3" s="4110"/>
      <c r="G3" s="4110"/>
    </row>
    <row r="4" spans="1:7" s="1430" customFormat="1" ht="20.100000000000001" customHeight="1">
      <c r="A4" s="4111" t="s">
        <v>1632</v>
      </c>
      <c r="B4" s="4111"/>
      <c r="C4" s="4111"/>
      <c r="D4" s="4111"/>
      <c r="E4" s="4111"/>
      <c r="F4" s="4111"/>
      <c r="G4" s="4111"/>
    </row>
    <row r="5" spans="1:7" s="1430" customFormat="1" ht="19.5" customHeight="1">
      <c r="A5" s="1371" t="s">
        <v>2359</v>
      </c>
      <c r="B5" s="1432" t="s">
        <v>177</v>
      </c>
      <c r="C5" s="1433" t="s">
        <v>665</v>
      </c>
      <c r="D5" s="1393" t="s">
        <v>1628</v>
      </c>
      <c r="E5" s="1393" t="s">
        <v>27</v>
      </c>
      <c r="F5" s="1393" t="s">
        <v>2360</v>
      </c>
      <c r="G5" s="1382" t="s">
        <v>2361</v>
      </c>
    </row>
    <row r="6" spans="1:7" s="1430" customFormat="1" ht="20.100000000000001" customHeight="1">
      <c r="A6" s="1371">
        <v>1</v>
      </c>
      <c r="B6" s="4105" t="s">
        <v>12</v>
      </c>
      <c r="C6" s="1434" t="s">
        <v>707</v>
      </c>
      <c r="D6" s="1435">
        <f>企业各税审核汇总表!D6</f>
        <v>0</v>
      </c>
      <c r="E6" s="1435">
        <f>企业各税审核汇总表!E6</f>
        <v>0</v>
      </c>
      <c r="F6" s="1435">
        <f>企业各税审核汇总表!F6</f>
        <v>0</v>
      </c>
      <c r="G6" s="1435"/>
    </row>
    <row r="7" spans="1:7" s="1430" customFormat="1" ht="20.100000000000001" customHeight="1">
      <c r="A7" s="1371">
        <v>2</v>
      </c>
      <c r="B7" s="4105"/>
      <c r="C7" s="1434" t="s">
        <v>664</v>
      </c>
      <c r="D7" s="1435">
        <f>企业各税审核汇总表!D7</f>
        <v>0</v>
      </c>
      <c r="E7" s="1435">
        <f>企业各税审核汇总表!E7</f>
        <v>0</v>
      </c>
      <c r="F7" s="1435">
        <f>企业各税审核汇总表!F7</f>
        <v>0</v>
      </c>
      <c r="G7" s="1384"/>
    </row>
    <row r="8" spans="1:7" s="1430" customFormat="1" ht="20.100000000000001" customHeight="1">
      <c r="A8" s="1371">
        <v>3</v>
      </c>
      <c r="B8" s="4105"/>
      <c r="C8" s="1434" t="s">
        <v>708</v>
      </c>
      <c r="D8" s="1435">
        <f>企业各税审核汇总表!D8</f>
        <v>0</v>
      </c>
      <c r="E8" s="1435">
        <f>企业各税审核汇总表!E8</f>
        <v>0</v>
      </c>
      <c r="F8" s="1435">
        <f>企业各税审核汇总表!F8</f>
        <v>0</v>
      </c>
      <c r="G8" s="1384"/>
    </row>
    <row r="9" spans="1:7" s="1430" customFormat="1" ht="20.100000000000001" customHeight="1">
      <c r="A9" s="1371">
        <v>4</v>
      </c>
      <c r="B9" s="4105"/>
      <c r="C9" s="1434" t="s">
        <v>709</v>
      </c>
      <c r="D9" s="1435">
        <f>企业各税审核汇总表!D9</f>
        <v>0</v>
      </c>
      <c r="E9" s="1435">
        <f>企业各税审核汇总表!E9</f>
        <v>0</v>
      </c>
      <c r="F9" s="1435">
        <f>企业各税审核汇总表!F9</f>
        <v>0</v>
      </c>
      <c r="G9" s="1384"/>
    </row>
    <row r="10" spans="1:7" s="1430" customFormat="1" ht="20.100000000000001" customHeight="1">
      <c r="A10" s="1371">
        <v>5</v>
      </c>
      <c r="B10" s="4105" t="s">
        <v>224</v>
      </c>
      <c r="C10" s="1434" t="s">
        <v>707</v>
      </c>
      <c r="D10" s="1435">
        <f>企业各税审核汇总表!D10</f>
        <v>0</v>
      </c>
      <c r="E10" s="1435">
        <f>企业各税审核汇总表!E10</f>
        <v>0</v>
      </c>
      <c r="F10" s="1435">
        <f>企业各税审核汇总表!F10</f>
        <v>0</v>
      </c>
      <c r="G10" s="1436"/>
    </row>
    <row r="11" spans="1:7" s="1430" customFormat="1" ht="20.100000000000001" customHeight="1">
      <c r="A11" s="1371">
        <v>6</v>
      </c>
      <c r="B11" s="4105"/>
      <c r="C11" s="1434" t="s">
        <v>664</v>
      </c>
      <c r="D11" s="1435">
        <f>企业各税审核汇总表!D11</f>
        <v>0</v>
      </c>
      <c r="E11" s="1435">
        <f>企业各税审核汇总表!E11</f>
        <v>0</v>
      </c>
      <c r="F11" s="1435">
        <f>企业各税审核汇总表!F11</f>
        <v>0</v>
      </c>
      <c r="G11" s="1437"/>
    </row>
    <row r="12" spans="1:7" s="1430" customFormat="1" ht="20.100000000000001" customHeight="1">
      <c r="A12" s="1371">
        <v>7</v>
      </c>
      <c r="B12" s="4105"/>
      <c r="C12" s="1434" t="s">
        <v>708</v>
      </c>
      <c r="D12" s="1435">
        <f>企业各税审核汇总表!D12</f>
        <v>0</v>
      </c>
      <c r="E12" s="1435">
        <f>企业各税审核汇总表!E12</f>
        <v>0</v>
      </c>
      <c r="F12" s="1435">
        <f>企业各税审核汇总表!F12</f>
        <v>0</v>
      </c>
      <c r="G12" s="1384"/>
    </row>
    <row r="13" spans="1:7" s="1430" customFormat="1" ht="20.100000000000001" customHeight="1">
      <c r="A13" s="1371">
        <v>8</v>
      </c>
      <c r="B13" s="4105"/>
      <c r="C13" s="1434" t="s">
        <v>709</v>
      </c>
      <c r="D13" s="1435">
        <f>企业各税审核汇总表!D13</f>
        <v>0</v>
      </c>
      <c r="E13" s="1435">
        <f>企业各税审核汇总表!E13</f>
        <v>0</v>
      </c>
      <c r="F13" s="1435">
        <f>企业各税审核汇总表!F13</f>
        <v>0</v>
      </c>
      <c r="G13" s="1384"/>
    </row>
    <row r="14" spans="1:7" s="1430" customFormat="1" ht="20.100000000000001" customHeight="1">
      <c r="A14" s="1371">
        <v>9</v>
      </c>
      <c r="B14" s="4105" t="s">
        <v>1270</v>
      </c>
      <c r="C14" s="1434" t="s">
        <v>707</v>
      </c>
      <c r="D14" s="1435">
        <f>企业各税审核汇总表!D14</f>
        <v>0</v>
      </c>
      <c r="E14" s="1435">
        <f>企业各税审核汇总表!E14</f>
        <v>0</v>
      </c>
      <c r="F14" s="1435">
        <f>企业各税审核汇总表!F14</f>
        <v>0</v>
      </c>
      <c r="G14" s="1384"/>
    </row>
    <row r="15" spans="1:7" s="1430" customFormat="1" ht="20.100000000000001" customHeight="1">
      <c r="A15" s="1371">
        <v>10</v>
      </c>
      <c r="B15" s="4105"/>
      <c r="C15" s="1434" t="s">
        <v>664</v>
      </c>
      <c r="D15" s="1435">
        <f>企业各税审核汇总表!D15</f>
        <v>0</v>
      </c>
      <c r="E15" s="1435">
        <f>企业各税审核汇总表!E15</f>
        <v>0</v>
      </c>
      <c r="F15" s="1435">
        <f>企业各税审核汇总表!F15</f>
        <v>0</v>
      </c>
      <c r="G15" s="1437"/>
    </row>
    <row r="16" spans="1:7" s="1430" customFormat="1" ht="20.100000000000001" customHeight="1">
      <c r="A16" s="1371">
        <v>11</v>
      </c>
      <c r="B16" s="4105"/>
      <c r="C16" s="1434" t="s">
        <v>708</v>
      </c>
      <c r="D16" s="1435">
        <f>企业各税审核汇总表!D16</f>
        <v>0</v>
      </c>
      <c r="E16" s="1435">
        <f>企业各税审核汇总表!E16</f>
        <v>0</v>
      </c>
      <c r="F16" s="1435">
        <f>企业各税审核汇总表!F16</f>
        <v>0</v>
      </c>
      <c r="G16" s="1436"/>
    </row>
    <row r="17" spans="1:7" s="1430" customFormat="1" ht="20.100000000000001" customHeight="1">
      <c r="A17" s="1371">
        <v>12</v>
      </c>
      <c r="B17" s="4105"/>
      <c r="C17" s="1434" t="s">
        <v>709</v>
      </c>
      <c r="D17" s="1435">
        <f>企业各税审核汇总表!D17</f>
        <v>0</v>
      </c>
      <c r="E17" s="1435">
        <f>企业各税审核汇总表!E17</f>
        <v>0</v>
      </c>
      <c r="F17" s="1435">
        <f>企业各税审核汇总表!F17</f>
        <v>0</v>
      </c>
      <c r="G17" s="1437"/>
    </row>
    <row r="18" spans="1:7" s="1430" customFormat="1" ht="20.100000000000001" customHeight="1">
      <c r="A18" s="1371">
        <v>13</v>
      </c>
      <c r="B18" s="4105" t="s">
        <v>710</v>
      </c>
      <c r="C18" s="1434" t="s">
        <v>707</v>
      </c>
      <c r="D18" s="1435">
        <f>企业各税审核汇总表!D18</f>
        <v>0</v>
      </c>
      <c r="E18" s="1435">
        <f>企业各税审核汇总表!E18</f>
        <v>0</v>
      </c>
      <c r="F18" s="1435">
        <f>企业各税审核汇总表!F18</f>
        <v>0</v>
      </c>
      <c r="G18" s="1384"/>
    </row>
    <row r="19" spans="1:7" s="1430" customFormat="1" ht="20.100000000000001" customHeight="1">
      <c r="A19" s="1371">
        <v>14</v>
      </c>
      <c r="B19" s="4105"/>
      <c r="C19" s="1434" t="s">
        <v>664</v>
      </c>
      <c r="D19" s="1435">
        <f>企业各税审核汇总表!D19</f>
        <v>0</v>
      </c>
      <c r="E19" s="1435">
        <f>企业各税审核汇总表!E19</f>
        <v>0</v>
      </c>
      <c r="F19" s="1435">
        <f>企业各税审核汇总表!F19</f>
        <v>0</v>
      </c>
      <c r="G19" s="1437"/>
    </row>
    <row r="20" spans="1:7" s="1430" customFormat="1" ht="20.100000000000001" customHeight="1">
      <c r="A20" s="1371">
        <v>15</v>
      </c>
      <c r="B20" s="4105"/>
      <c r="C20" s="1434" t="s">
        <v>708</v>
      </c>
      <c r="D20" s="1435">
        <f>企业各税审核汇总表!D20</f>
        <v>0</v>
      </c>
      <c r="E20" s="1435">
        <f>企业各税审核汇总表!E20</f>
        <v>0</v>
      </c>
      <c r="F20" s="1435">
        <f>企业各税审核汇总表!F20</f>
        <v>0</v>
      </c>
      <c r="G20" s="1437"/>
    </row>
    <row r="21" spans="1:7" s="1430" customFormat="1" ht="20.100000000000001" customHeight="1">
      <c r="A21" s="1371">
        <v>16</v>
      </c>
      <c r="B21" s="4105"/>
      <c r="C21" s="1434" t="s">
        <v>709</v>
      </c>
      <c r="D21" s="1435">
        <f>企业各税审核汇总表!D21</f>
        <v>0</v>
      </c>
      <c r="E21" s="1435">
        <f>企业各税审核汇总表!E21</f>
        <v>0</v>
      </c>
      <c r="F21" s="1435">
        <f>企业各税审核汇总表!F21</f>
        <v>0</v>
      </c>
      <c r="G21" s="1437"/>
    </row>
    <row r="22" spans="1:7" s="1430" customFormat="1" ht="20.100000000000001" customHeight="1">
      <c r="A22" s="1371">
        <v>17</v>
      </c>
      <c r="B22" s="4105" t="s">
        <v>1272</v>
      </c>
      <c r="C22" s="1434" t="s">
        <v>707</v>
      </c>
      <c r="D22" s="1435">
        <f>企业各税审核汇总表!D22</f>
        <v>0</v>
      </c>
      <c r="E22" s="1435">
        <f>企业各税审核汇总表!E22</f>
        <v>0</v>
      </c>
      <c r="F22" s="1435">
        <f>企业各税审核汇总表!F22</f>
        <v>0</v>
      </c>
      <c r="G22" s="1437"/>
    </row>
    <row r="23" spans="1:7" s="1430" customFormat="1" ht="20.100000000000001" customHeight="1">
      <c r="A23" s="1371">
        <v>18</v>
      </c>
      <c r="B23" s="4105"/>
      <c r="C23" s="1434" t="s">
        <v>664</v>
      </c>
      <c r="D23" s="1435">
        <f>企业各税审核汇总表!D23</f>
        <v>0</v>
      </c>
      <c r="E23" s="1435">
        <f>企业各税审核汇总表!E23</f>
        <v>0</v>
      </c>
      <c r="F23" s="1435">
        <f>企业各税审核汇总表!F23</f>
        <v>0</v>
      </c>
      <c r="G23" s="1437"/>
    </row>
    <row r="24" spans="1:7" s="1430" customFormat="1" ht="20.100000000000001" customHeight="1">
      <c r="A24" s="1371">
        <v>19</v>
      </c>
      <c r="B24" s="4105"/>
      <c r="C24" s="1434" t="s">
        <v>708</v>
      </c>
      <c r="D24" s="1435">
        <f>企业各税审核汇总表!D24</f>
        <v>0</v>
      </c>
      <c r="E24" s="1435">
        <f>企业各税审核汇总表!E24</f>
        <v>0</v>
      </c>
      <c r="F24" s="1435">
        <f>企业各税审核汇总表!F24</f>
        <v>0</v>
      </c>
      <c r="G24" s="1384"/>
    </row>
    <row r="25" spans="1:7" s="1430" customFormat="1" ht="20.100000000000001" customHeight="1">
      <c r="A25" s="1371">
        <v>20</v>
      </c>
      <c r="B25" s="4105"/>
      <c r="C25" s="1434" t="s">
        <v>709</v>
      </c>
      <c r="D25" s="1435">
        <f>企业各税审核汇总表!D25</f>
        <v>0</v>
      </c>
      <c r="E25" s="1435">
        <f>企业各税审核汇总表!E25</f>
        <v>0</v>
      </c>
      <c r="F25" s="1435">
        <f>企业各税审核汇总表!F25</f>
        <v>0</v>
      </c>
      <c r="G25" s="1436"/>
    </row>
    <row r="26" spans="1:7" s="1430" customFormat="1" ht="20.100000000000001" customHeight="1">
      <c r="A26" s="1371">
        <v>21</v>
      </c>
      <c r="B26" s="4105" t="s">
        <v>1273</v>
      </c>
      <c r="C26" s="1434" t="s">
        <v>707</v>
      </c>
      <c r="D26" s="1435">
        <f>企业各税审核汇总表!D26</f>
        <v>0</v>
      </c>
      <c r="E26" s="1435">
        <f>企业各税审核汇总表!E26</f>
        <v>0</v>
      </c>
      <c r="F26" s="1435">
        <f>企业各税审核汇总表!F26</f>
        <v>0</v>
      </c>
      <c r="G26" s="1437"/>
    </row>
    <row r="27" spans="1:7" s="1430" customFormat="1" ht="20.100000000000001" customHeight="1">
      <c r="A27" s="1371">
        <v>22</v>
      </c>
      <c r="B27" s="4105"/>
      <c r="C27" s="1434" t="s">
        <v>664</v>
      </c>
      <c r="D27" s="1435">
        <f>企业各税审核汇总表!D27</f>
        <v>0</v>
      </c>
      <c r="E27" s="1435">
        <f>企业各税审核汇总表!E27</f>
        <v>0</v>
      </c>
      <c r="F27" s="1435">
        <f>企业各税审核汇总表!F27</f>
        <v>0</v>
      </c>
      <c r="G27" s="1384"/>
    </row>
    <row r="28" spans="1:7" s="1430" customFormat="1" ht="20.100000000000001" customHeight="1">
      <c r="A28" s="1371">
        <v>23</v>
      </c>
      <c r="B28" s="4105"/>
      <c r="C28" s="1434" t="s">
        <v>708</v>
      </c>
      <c r="D28" s="1435">
        <f>企业各税审核汇总表!D28</f>
        <v>0</v>
      </c>
      <c r="E28" s="1435">
        <f>企业各税审核汇总表!E28</f>
        <v>0</v>
      </c>
      <c r="F28" s="1435">
        <f>企业各税审核汇总表!F28</f>
        <v>0</v>
      </c>
      <c r="G28" s="1384"/>
    </row>
    <row r="29" spans="1:7" s="1430" customFormat="1" ht="20.100000000000001" customHeight="1">
      <c r="A29" s="1371">
        <v>24</v>
      </c>
      <c r="B29" s="4105"/>
      <c r="C29" s="1434" t="s">
        <v>709</v>
      </c>
      <c r="D29" s="1435">
        <f>企业各税审核汇总表!D29</f>
        <v>0</v>
      </c>
      <c r="E29" s="1435">
        <f>企业各税审核汇总表!E29</f>
        <v>0</v>
      </c>
      <c r="F29" s="1435">
        <f>企业各税审核汇总表!F29</f>
        <v>0</v>
      </c>
      <c r="G29" s="1384"/>
    </row>
    <row r="30" spans="1:7" s="1430" customFormat="1" ht="20.100000000000001" customHeight="1">
      <c r="A30" s="1371">
        <v>25</v>
      </c>
      <c r="B30" s="4105" t="s">
        <v>226</v>
      </c>
      <c r="C30" s="1434" t="s">
        <v>707</v>
      </c>
      <c r="D30" s="1435">
        <f>企业各税审核汇总表!D30</f>
        <v>0</v>
      </c>
      <c r="E30" s="1435">
        <f>企业各税审核汇总表!E30</f>
        <v>0</v>
      </c>
      <c r="F30" s="1435">
        <f>企业各税审核汇总表!F30</f>
        <v>0</v>
      </c>
      <c r="G30" s="1384"/>
    </row>
    <row r="31" spans="1:7" s="1430" customFormat="1" ht="20.100000000000001" customHeight="1">
      <c r="A31" s="1371">
        <v>26</v>
      </c>
      <c r="B31" s="4105"/>
      <c r="C31" s="1434" t="s">
        <v>664</v>
      </c>
      <c r="D31" s="1435">
        <f>企业各税审核汇总表!D31</f>
        <v>0</v>
      </c>
      <c r="E31" s="1435">
        <f>企业各税审核汇总表!E31</f>
        <v>0</v>
      </c>
      <c r="F31" s="1435">
        <f>企业各税审核汇总表!F31</f>
        <v>0</v>
      </c>
      <c r="G31" s="1384"/>
    </row>
    <row r="32" spans="1:7" s="1430" customFormat="1" ht="20.100000000000001" customHeight="1">
      <c r="A32" s="1371">
        <v>27</v>
      </c>
      <c r="B32" s="4105"/>
      <c r="C32" s="1434" t="s">
        <v>708</v>
      </c>
      <c r="D32" s="1435">
        <f>企业各税审核汇总表!D32</f>
        <v>0</v>
      </c>
      <c r="E32" s="1435">
        <f>企业各税审核汇总表!E32</f>
        <v>0</v>
      </c>
      <c r="F32" s="1435">
        <f>企业各税审核汇总表!F32</f>
        <v>0</v>
      </c>
      <c r="G32" s="1384"/>
    </row>
    <row r="33" spans="1:7" s="1430" customFormat="1" ht="20.100000000000001" customHeight="1">
      <c r="A33" s="1371">
        <v>28</v>
      </c>
      <c r="B33" s="4105"/>
      <c r="C33" s="1434" t="s">
        <v>709</v>
      </c>
      <c r="D33" s="1435">
        <f>企业各税审核汇总表!D33</f>
        <v>0</v>
      </c>
      <c r="E33" s="1435">
        <f>企业各税审核汇总表!E33</f>
        <v>0</v>
      </c>
      <c r="F33" s="1435">
        <f>企业各税审核汇总表!F33</f>
        <v>0</v>
      </c>
      <c r="G33" s="1384"/>
    </row>
    <row r="34" spans="1:7" s="1430" customFormat="1" ht="20.100000000000001" customHeight="1">
      <c r="A34" s="1371">
        <v>29</v>
      </c>
      <c r="B34" s="4105" t="s">
        <v>230</v>
      </c>
      <c r="C34" s="1434" t="s">
        <v>707</v>
      </c>
      <c r="D34" s="1435">
        <f>企业各税审核汇总表!D34</f>
        <v>0</v>
      </c>
      <c r="E34" s="1435">
        <f>企业各税审核汇总表!E34</f>
        <v>0</v>
      </c>
      <c r="F34" s="1435">
        <f>企业各税审核汇总表!F34</f>
        <v>0</v>
      </c>
      <c r="G34" s="1436"/>
    </row>
    <row r="35" spans="1:7" s="1430" customFormat="1" ht="20.100000000000001" customHeight="1">
      <c r="A35" s="1371">
        <v>30</v>
      </c>
      <c r="B35" s="4105"/>
      <c r="C35" s="1434" t="s">
        <v>664</v>
      </c>
      <c r="D35" s="1435">
        <f>企业各税审核汇总表!D35</f>
        <v>0</v>
      </c>
      <c r="E35" s="1435">
        <f>企业各税审核汇总表!E35</f>
        <v>0</v>
      </c>
      <c r="F35" s="1435">
        <f>企业各税审核汇总表!F35</f>
        <v>0</v>
      </c>
      <c r="G35" s="1384"/>
    </row>
    <row r="36" spans="1:7" s="1430" customFormat="1" ht="20.100000000000001" customHeight="1">
      <c r="A36" s="1371">
        <v>31</v>
      </c>
      <c r="B36" s="4105"/>
      <c r="C36" s="1434" t="s">
        <v>708</v>
      </c>
      <c r="D36" s="1435">
        <f>企业各税审核汇总表!D36</f>
        <v>0</v>
      </c>
      <c r="E36" s="1435">
        <f>企业各税审核汇总表!E36</f>
        <v>0</v>
      </c>
      <c r="F36" s="1435">
        <f>企业各税审核汇总表!F36</f>
        <v>0</v>
      </c>
      <c r="G36" s="1384"/>
    </row>
    <row r="37" spans="1:7" s="1430" customFormat="1" ht="20.100000000000001" customHeight="1">
      <c r="A37" s="1371">
        <v>32</v>
      </c>
      <c r="B37" s="4105"/>
      <c r="C37" s="1434" t="s">
        <v>709</v>
      </c>
      <c r="D37" s="1435">
        <f>企业各税审核汇总表!D37</f>
        <v>0</v>
      </c>
      <c r="E37" s="1435">
        <f>企业各税审核汇总表!E37</f>
        <v>0</v>
      </c>
      <c r="F37" s="1435">
        <f>企业各税审核汇总表!F37</f>
        <v>0</v>
      </c>
      <c r="G37" s="1384"/>
    </row>
    <row r="38" spans="1:7" s="1430" customFormat="1" ht="20.100000000000001" customHeight="1">
      <c r="A38" s="1371">
        <v>33</v>
      </c>
      <c r="B38" s="4105" t="s">
        <v>1277</v>
      </c>
      <c r="C38" s="1434" t="s">
        <v>707</v>
      </c>
      <c r="D38" s="1435">
        <f>企业各税审核汇总表!D38</f>
        <v>0</v>
      </c>
      <c r="E38" s="1435">
        <f>企业各税审核汇总表!E38</f>
        <v>0</v>
      </c>
      <c r="F38" s="1435">
        <f>企业各税审核汇总表!F38</f>
        <v>0</v>
      </c>
      <c r="G38" s="1384"/>
    </row>
    <row r="39" spans="1:7" s="1430" customFormat="1" ht="20.100000000000001" customHeight="1">
      <c r="A39" s="1371">
        <v>34</v>
      </c>
      <c r="B39" s="4105"/>
      <c r="C39" s="1434" t="s">
        <v>664</v>
      </c>
      <c r="D39" s="1435">
        <f>企业各税审核汇总表!D39</f>
        <v>0</v>
      </c>
      <c r="E39" s="1435">
        <f>企业各税审核汇总表!E39</f>
        <v>0</v>
      </c>
      <c r="F39" s="1435">
        <f>企业各税审核汇总表!F39</f>
        <v>0</v>
      </c>
      <c r="G39" s="1436"/>
    </row>
    <row r="40" spans="1:7" s="1430" customFormat="1" ht="20.100000000000001" customHeight="1">
      <c r="A40" s="1371">
        <v>35</v>
      </c>
      <c r="B40" s="4105"/>
      <c r="C40" s="1434" t="s">
        <v>708</v>
      </c>
      <c r="D40" s="1435">
        <f>企业各税审核汇总表!D40</f>
        <v>0</v>
      </c>
      <c r="E40" s="1435">
        <f>企业各税审核汇总表!E40</f>
        <v>0</v>
      </c>
      <c r="F40" s="1435">
        <f>企业各税审核汇总表!F40</f>
        <v>0</v>
      </c>
      <c r="G40" s="1436"/>
    </row>
    <row r="41" spans="1:7" s="1430" customFormat="1" ht="20.100000000000001" customHeight="1">
      <c r="A41" s="1371">
        <v>36</v>
      </c>
      <c r="B41" s="4105"/>
      <c r="C41" s="1434" t="s">
        <v>709</v>
      </c>
      <c r="D41" s="1435">
        <f>企业各税审核汇总表!D41</f>
        <v>0</v>
      </c>
      <c r="E41" s="1435">
        <f>企业各税审核汇总表!E41</f>
        <v>0</v>
      </c>
      <c r="F41" s="1435">
        <f>企业各税审核汇总表!F41</f>
        <v>0</v>
      </c>
      <c r="G41" s="1384"/>
    </row>
    <row r="42" spans="1:7" s="1430" customFormat="1" ht="20.100000000000001" customHeight="1">
      <c r="A42" s="1371">
        <v>37</v>
      </c>
      <c r="B42" s="4105" t="s">
        <v>2362</v>
      </c>
      <c r="C42" s="1434" t="s">
        <v>707</v>
      </c>
      <c r="D42" s="1435">
        <f>企业各税审核汇总表!D42</f>
        <v>0</v>
      </c>
      <c r="E42" s="1435">
        <f>企业各税审核汇总表!E42</f>
        <v>0</v>
      </c>
      <c r="F42" s="1435">
        <f>企业各税审核汇总表!F42</f>
        <v>0</v>
      </c>
      <c r="G42" s="1384"/>
    </row>
    <row r="43" spans="1:7" s="1430" customFormat="1" ht="20.100000000000001" customHeight="1">
      <c r="A43" s="1371">
        <v>38</v>
      </c>
      <c r="B43" s="4105"/>
      <c r="C43" s="1434" t="s">
        <v>664</v>
      </c>
      <c r="D43" s="1435">
        <f>企业各税审核汇总表!D43</f>
        <v>0</v>
      </c>
      <c r="E43" s="1435">
        <f>企业各税审核汇总表!E43</f>
        <v>0</v>
      </c>
      <c r="F43" s="1435">
        <f>企业各税审核汇总表!F43</f>
        <v>0</v>
      </c>
      <c r="G43" s="1384"/>
    </row>
    <row r="44" spans="1:7" s="1430" customFormat="1" ht="20.100000000000001" customHeight="1">
      <c r="A44" s="1371">
        <v>39</v>
      </c>
      <c r="B44" s="4105"/>
      <c r="C44" s="1434" t="s">
        <v>708</v>
      </c>
      <c r="D44" s="1435">
        <f>企业各税审核汇总表!D44</f>
        <v>0</v>
      </c>
      <c r="E44" s="1435">
        <f>企业各税审核汇总表!E44</f>
        <v>0</v>
      </c>
      <c r="F44" s="1435">
        <f>企业各税审核汇总表!F44</f>
        <v>0</v>
      </c>
      <c r="G44" s="1437"/>
    </row>
    <row r="45" spans="1:7" s="1430" customFormat="1" ht="20.100000000000001" customHeight="1">
      <c r="A45" s="1371">
        <v>40</v>
      </c>
      <c r="B45" s="4105"/>
      <c r="C45" s="1434" t="s">
        <v>709</v>
      </c>
      <c r="D45" s="1435">
        <f>企业各税审核汇总表!D45</f>
        <v>0</v>
      </c>
      <c r="E45" s="1435">
        <f>企业各税审核汇总表!E45</f>
        <v>0</v>
      </c>
      <c r="F45" s="1435">
        <f>企业各税审核汇总表!F45</f>
        <v>0</v>
      </c>
      <c r="G45" s="1384"/>
    </row>
    <row r="46" spans="1:7" s="1430" customFormat="1" ht="20.100000000000001" customHeight="1">
      <c r="A46" s="1371">
        <v>41</v>
      </c>
      <c r="B46" s="4105" t="s">
        <v>184</v>
      </c>
      <c r="C46" s="1434" t="s">
        <v>707</v>
      </c>
      <c r="D46" s="1435">
        <f>企业各税审核汇总表!D46</f>
        <v>0</v>
      </c>
      <c r="E46" s="1435">
        <f>企业各税审核汇总表!E46</f>
        <v>0</v>
      </c>
      <c r="F46" s="1435">
        <f>企业各税审核汇总表!F46</f>
        <v>0</v>
      </c>
      <c r="G46" s="1436"/>
    </row>
    <row r="47" spans="1:7" s="1430" customFormat="1" ht="20.100000000000001" customHeight="1">
      <c r="A47" s="1371">
        <v>42</v>
      </c>
      <c r="B47" s="4105"/>
      <c r="C47" s="1434" t="s">
        <v>664</v>
      </c>
      <c r="D47" s="1435">
        <f>企业各税审核汇总表!D47</f>
        <v>0</v>
      </c>
      <c r="E47" s="1435">
        <f>企业各税审核汇总表!E47</f>
        <v>0</v>
      </c>
      <c r="F47" s="1435">
        <f>企业各税审核汇总表!F47</f>
        <v>0</v>
      </c>
      <c r="G47" s="1384"/>
    </row>
    <row r="48" spans="1:7" s="1430" customFormat="1" ht="20.100000000000001" customHeight="1">
      <c r="A48" s="1371">
        <v>43</v>
      </c>
      <c r="B48" s="4105"/>
      <c r="C48" s="1434" t="s">
        <v>708</v>
      </c>
      <c r="D48" s="1435">
        <f>企业各税审核汇总表!D48</f>
        <v>0</v>
      </c>
      <c r="E48" s="1435">
        <f>企业各税审核汇总表!E48</f>
        <v>0</v>
      </c>
      <c r="F48" s="1435">
        <f>企业各税审核汇总表!F48</f>
        <v>0</v>
      </c>
      <c r="G48" s="1437"/>
    </row>
    <row r="49" spans="1:7" s="1430" customFormat="1" ht="20.100000000000001" customHeight="1">
      <c r="A49" s="1371">
        <v>44</v>
      </c>
      <c r="B49" s="4105"/>
      <c r="C49" s="1434" t="s">
        <v>709</v>
      </c>
      <c r="D49" s="1435">
        <f>企业各税审核汇总表!D49</f>
        <v>0</v>
      </c>
      <c r="E49" s="1435">
        <f>企业各税审核汇总表!E49</f>
        <v>0</v>
      </c>
      <c r="F49" s="1435">
        <f>企业各税审核汇总表!F49</f>
        <v>0</v>
      </c>
      <c r="G49" s="1437"/>
    </row>
    <row r="50" spans="1:7" s="1430" customFormat="1" ht="20.100000000000001" customHeight="1">
      <c r="A50" s="1371">
        <v>45</v>
      </c>
      <c r="B50" s="4105" t="s">
        <v>1279</v>
      </c>
      <c r="C50" s="1434" t="s">
        <v>707</v>
      </c>
      <c r="D50" s="1435">
        <f>企业各税审核汇总表!D50</f>
        <v>0</v>
      </c>
      <c r="E50" s="1435">
        <f>企业各税审核汇总表!E50</f>
        <v>0</v>
      </c>
      <c r="F50" s="1435">
        <f>企业各税审核汇总表!F50</f>
        <v>0</v>
      </c>
      <c r="G50" s="1437"/>
    </row>
    <row r="51" spans="1:7" s="1430" customFormat="1" ht="20.100000000000001" customHeight="1">
      <c r="A51" s="1371">
        <v>46</v>
      </c>
      <c r="B51" s="4105"/>
      <c r="C51" s="1434" t="s">
        <v>664</v>
      </c>
      <c r="D51" s="1435">
        <f>企业各税审核汇总表!D51</f>
        <v>0</v>
      </c>
      <c r="E51" s="1435">
        <f>企业各税审核汇总表!E51</f>
        <v>0</v>
      </c>
      <c r="F51" s="1435">
        <f>企业各税审核汇总表!F51</f>
        <v>0</v>
      </c>
      <c r="G51" s="1437"/>
    </row>
    <row r="52" spans="1:7" s="1430" customFormat="1" ht="20.100000000000001" customHeight="1">
      <c r="A52" s="1371">
        <v>47</v>
      </c>
      <c r="B52" s="4105"/>
      <c r="C52" s="1434" t="s">
        <v>708</v>
      </c>
      <c r="D52" s="1435">
        <f>企业各税审核汇总表!D52</f>
        <v>0</v>
      </c>
      <c r="E52" s="1435">
        <f>企业各税审核汇总表!E52</f>
        <v>0</v>
      </c>
      <c r="F52" s="1435">
        <f>企业各税审核汇总表!F52</f>
        <v>0</v>
      </c>
      <c r="G52" s="1384"/>
    </row>
    <row r="53" spans="1:7" s="1430" customFormat="1" ht="20.100000000000001" customHeight="1">
      <c r="A53" s="1371">
        <v>48</v>
      </c>
      <c r="B53" s="4105"/>
      <c r="C53" s="1434" t="s">
        <v>709</v>
      </c>
      <c r="D53" s="1435">
        <f>企业各税审核汇总表!D53</f>
        <v>0</v>
      </c>
      <c r="E53" s="1435">
        <f>企业各税审核汇总表!E53</f>
        <v>0</v>
      </c>
      <c r="F53" s="1435">
        <f>企业各税审核汇总表!F53</f>
        <v>0</v>
      </c>
      <c r="G53" s="1437"/>
    </row>
    <row r="54" spans="1:7" s="1430" customFormat="1" ht="20.100000000000001" customHeight="1">
      <c r="A54" s="1371">
        <v>49</v>
      </c>
      <c r="B54" s="4105" t="s">
        <v>228</v>
      </c>
      <c r="C54" s="1434" t="s">
        <v>707</v>
      </c>
      <c r="D54" s="1435">
        <f>企业各税审核汇总表!D54</f>
        <v>0</v>
      </c>
      <c r="E54" s="1435">
        <f>企业各税审核汇总表!E54</f>
        <v>0</v>
      </c>
      <c r="F54" s="1435">
        <f>企业各税审核汇总表!F54</f>
        <v>0</v>
      </c>
      <c r="G54" s="1437"/>
    </row>
    <row r="55" spans="1:7" s="1430" customFormat="1" ht="20.100000000000001" customHeight="1">
      <c r="A55" s="1371">
        <v>50</v>
      </c>
      <c r="B55" s="4105"/>
      <c r="C55" s="1434" t="s">
        <v>664</v>
      </c>
      <c r="D55" s="1435">
        <f>企业各税审核汇总表!D55</f>
        <v>0</v>
      </c>
      <c r="E55" s="1435">
        <f>企业各税审核汇总表!E55</f>
        <v>0</v>
      </c>
      <c r="F55" s="1435">
        <f>企业各税审核汇总表!F55</f>
        <v>0</v>
      </c>
      <c r="G55" s="1384"/>
    </row>
    <row r="56" spans="1:7" s="1430" customFormat="1" ht="20.100000000000001" customHeight="1">
      <c r="A56" s="1371">
        <v>51</v>
      </c>
      <c r="B56" s="4105"/>
      <c r="C56" s="1434" t="s">
        <v>708</v>
      </c>
      <c r="D56" s="1435">
        <f>企业各税审核汇总表!D56</f>
        <v>0</v>
      </c>
      <c r="E56" s="1435">
        <f>企业各税审核汇总表!E56</f>
        <v>0</v>
      </c>
      <c r="F56" s="1435">
        <f>企业各税审核汇总表!F56</f>
        <v>0</v>
      </c>
      <c r="G56" s="1437"/>
    </row>
    <row r="57" spans="1:7" s="1430" customFormat="1" ht="20.100000000000001" customHeight="1">
      <c r="A57" s="1371">
        <v>52</v>
      </c>
      <c r="B57" s="4105"/>
      <c r="C57" s="1434" t="s">
        <v>709</v>
      </c>
      <c r="D57" s="1435">
        <f>企业各税审核汇总表!D57</f>
        <v>0</v>
      </c>
      <c r="E57" s="1435">
        <f>企业各税审核汇总表!E57</f>
        <v>0</v>
      </c>
      <c r="F57" s="1435">
        <f>企业各税审核汇总表!F57</f>
        <v>0</v>
      </c>
      <c r="G57" s="1384"/>
    </row>
    <row r="58" spans="1:7" s="1430" customFormat="1" ht="20.100000000000001" customHeight="1">
      <c r="A58" s="1371">
        <v>53</v>
      </c>
      <c r="B58" s="4105" t="s">
        <v>1276</v>
      </c>
      <c r="C58" s="1434" t="s">
        <v>707</v>
      </c>
      <c r="D58" s="1435">
        <f>企业各税审核汇总表!D58</f>
        <v>0</v>
      </c>
      <c r="E58" s="1435">
        <f>企业各税审核汇总表!E58</f>
        <v>0</v>
      </c>
      <c r="F58" s="1435">
        <f>企业各税审核汇总表!F58</f>
        <v>0</v>
      </c>
      <c r="G58" s="1384"/>
    </row>
    <row r="59" spans="1:7" s="1430" customFormat="1" ht="20.100000000000001" customHeight="1">
      <c r="A59" s="1371">
        <v>54</v>
      </c>
      <c r="B59" s="4105"/>
      <c r="C59" s="1434" t="s">
        <v>664</v>
      </c>
      <c r="D59" s="1435">
        <f>企业各税审核汇总表!D59</f>
        <v>0</v>
      </c>
      <c r="E59" s="1435">
        <f>企业各税审核汇总表!E59</f>
        <v>0</v>
      </c>
      <c r="F59" s="1435">
        <f>企业各税审核汇总表!F59</f>
        <v>0</v>
      </c>
      <c r="G59" s="1384"/>
    </row>
    <row r="60" spans="1:7" s="1430" customFormat="1" ht="20.100000000000001" customHeight="1">
      <c r="A60" s="1371">
        <v>55</v>
      </c>
      <c r="B60" s="4105"/>
      <c r="C60" s="1434" t="s">
        <v>708</v>
      </c>
      <c r="D60" s="1435">
        <f>企业各税审核汇总表!D60</f>
        <v>0</v>
      </c>
      <c r="E60" s="1435">
        <f>企业各税审核汇总表!E60</f>
        <v>0</v>
      </c>
      <c r="F60" s="1435">
        <f>企业各税审核汇总表!F60</f>
        <v>0</v>
      </c>
      <c r="G60" s="1384"/>
    </row>
    <row r="61" spans="1:7" s="1430" customFormat="1" ht="20.100000000000001" customHeight="1">
      <c r="A61" s="1371">
        <v>56</v>
      </c>
      <c r="B61" s="4105"/>
      <c r="C61" s="1434" t="s">
        <v>709</v>
      </c>
      <c r="D61" s="1435">
        <f>企业各税审核汇总表!D61</f>
        <v>0</v>
      </c>
      <c r="E61" s="1435">
        <f>企业各税审核汇总表!E61</f>
        <v>0</v>
      </c>
      <c r="F61" s="1435">
        <f>企业各税审核汇总表!F61</f>
        <v>0</v>
      </c>
      <c r="G61" s="1384"/>
    </row>
    <row r="62" spans="1:7" s="1430" customFormat="1" ht="20.100000000000001" customHeight="1">
      <c r="A62" s="1371">
        <v>57</v>
      </c>
      <c r="B62" s="4105" t="s">
        <v>233</v>
      </c>
      <c r="C62" s="1434" t="s">
        <v>707</v>
      </c>
      <c r="D62" s="1435">
        <f>企业各税审核汇总表!D62</f>
        <v>0</v>
      </c>
      <c r="E62" s="1435">
        <f>企业各税审核汇总表!E62</f>
        <v>0</v>
      </c>
      <c r="F62" s="1435">
        <f>企业各税审核汇总表!F62</f>
        <v>0</v>
      </c>
      <c r="G62" s="1384"/>
    </row>
    <row r="63" spans="1:7" s="1430" customFormat="1" ht="20.100000000000001" customHeight="1">
      <c r="A63" s="1371">
        <v>58</v>
      </c>
      <c r="B63" s="4105"/>
      <c r="C63" s="1434" t="s">
        <v>664</v>
      </c>
      <c r="D63" s="1435">
        <f>企业各税审核汇总表!D63</f>
        <v>0</v>
      </c>
      <c r="E63" s="1435">
        <f>企业各税审核汇总表!E63</f>
        <v>0</v>
      </c>
      <c r="F63" s="1435">
        <f>企业各税审核汇总表!F63</f>
        <v>0</v>
      </c>
      <c r="G63" s="1384"/>
    </row>
    <row r="64" spans="1:7" s="1430" customFormat="1" ht="20.100000000000001" customHeight="1">
      <c r="A64" s="1371">
        <v>59</v>
      </c>
      <c r="B64" s="4105"/>
      <c r="C64" s="1434" t="s">
        <v>708</v>
      </c>
      <c r="D64" s="1435">
        <f>企业各税审核汇总表!D64</f>
        <v>0</v>
      </c>
      <c r="E64" s="1435">
        <f>企业各税审核汇总表!E64</f>
        <v>0</v>
      </c>
      <c r="F64" s="1435">
        <f>企业各税审核汇总表!F64</f>
        <v>0</v>
      </c>
      <c r="G64" s="1384"/>
    </row>
    <row r="65" spans="1:7" s="1430" customFormat="1" ht="20.100000000000001" customHeight="1">
      <c r="A65" s="1371">
        <v>60</v>
      </c>
      <c r="B65" s="4105"/>
      <c r="C65" s="1434" t="s">
        <v>709</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106" t="s">
        <v>2363</v>
      </c>
      <c r="B67" s="4107"/>
      <c r="C67" s="4107"/>
      <c r="D67" s="4107"/>
      <c r="E67" s="4107"/>
      <c r="F67" s="4107"/>
      <c r="G67" s="4107"/>
    </row>
    <row r="68" spans="1:7" ht="20.100000000000001" customHeight="1">
      <c r="A68" s="1442"/>
    </row>
    <row r="69" spans="1:7" ht="20.100000000000001" customHeight="1">
      <c r="A69" s="1442"/>
    </row>
    <row r="70" spans="1:7" ht="20.100000000000001" customHeight="1">
      <c r="A70" s="1442"/>
    </row>
  </sheetData>
  <mergeCells count="22">
    <mergeCell ref="B26:B29"/>
    <mergeCell ref="A1:G1"/>
    <mergeCell ref="A2:B2"/>
    <mergeCell ref="D2:G2"/>
    <mergeCell ref="A3:B3"/>
    <mergeCell ref="D3:G3"/>
    <mergeCell ref="A4:G4"/>
    <mergeCell ref="B6:B9"/>
    <mergeCell ref="B10:B13"/>
    <mergeCell ref="B14:B17"/>
    <mergeCell ref="B18:B21"/>
    <mergeCell ref="B22:B25"/>
    <mergeCell ref="B54:B57"/>
    <mergeCell ref="B58:B61"/>
    <mergeCell ref="B62:B65"/>
    <mergeCell ref="A67:G67"/>
    <mergeCell ref="B30:B33"/>
    <mergeCell ref="B34:B37"/>
    <mergeCell ref="B38:B41"/>
    <mergeCell ref="B42:B45"/>
    <mergeCell ref="B46:B49"/>
    <mergeCell ref="B50:B53"/>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984375" style="1447" customWidth="1"/>
    <col min="9" max="256" width="9" style="1447"/>
    <col min="257" max="263" width="12" style="1447" customWidth="1"/>
    <col min="264" max="264" width="19.3984375" style="1447" customWidth="1"/>
    <col min="265" max="512" width="9" style="1447"/>
    <col min="513" max="519" width="12" style="1447" customWidth="1"/>
    <col min="520" max="520" width="19.3984375" style="1447" customWidth="1"/>
    <col min="521" max="768" width="9" style="1447"/>
    <col min="769" max="775" width="12" style="1447" customWidth="1"/>
    <col min="776" max="776" width="19.3984375" style="1447" customWidth="1"/>
    <col min="777" max="1024" width="9" style="1447"/>
    <col min="1025" max="1031" width="12" style="1447" customWidth="1"/>
    <col min="1032" max="1032" width="19.3984375" style="1447" customWidth="1"/>
    <col min="1033" max="1280" width="9" style="1447"/>
    <col min="1281" max="1287" width="12" style="1447" customWidth="1"/>
    <col min="1288" max="1288" width="19.3984375" style="1447" customWidth="1"/>
    <col min="1289" max="1536" width="9" style="1447"/>
    <col min="1537" max="1543" width="12" style="1447" customWidth="1"/>
    <col min="1544" max="1544" width="19.3984375" style="1447" customWidth="1"/>
    <col min="1545" max="1792" width="9" style="1447"/>
    <col min="1793" max="1799" width="12" style="1447" customWidth="1"/>
    <col min="1800" max="1800" width="19.3984375" style="1447" customWidth="1"/>
    <col min="1801" max="2048" width="9" style="1447"/>
    <col min="2049" max="2055" width="12" style="1447" customWidth="1"/>
    <col min="2056" max="2056" width="19.3984375" style="1447" customWidth="1"/>
    <col min="2057" max="2304" width="9" style="1447"/>
    <col min="2305" max="2311" width="12" style="1447" customWidth="1"/>
    <col min="2312" max="2312" width="19.3984375" style="1447" customWidth="1"/>
    <col min="2313" max="2560" width="9" style="1447"/>
    <col min="2561" max="2567" width="12" style="1447" customWidth="1"/>
    <col min="2568" max="2568" width="19.3984375" style="1447" customWidth="1"/>
    <col min="2569" max="2816" width="9" style="1447"/>
    <col min="2817" max="2823" width="12" style="1447" customWidth="1"/>
    <col min="2824" max="2824" width="19.3984375" style="1447" customWidth="1"/>
    <col min="2825" max="3072" width="9" style="1447"/>
    <col min="3073" max="3079" width="12" style="1447" customWidth="1"/>
    <col min="3080" max="3080" width="19.3984375" style="1447" customWidth="1"/>
    <col min="3081" max="3328" width="9" style="1447"/>
    <col min="3329" max="3335" width="12" style="1447" customWidth="1"/>
    <col min="3336" max="3336" width="19.3984375" style="1447" customWidth="1"/>
    <col min="3337" max="3584" width="9" style="1447"/>
    <col min="3585" max="3591" width="12" style="1447" customWidth="1"/>
    <col min="3592" max="3592" width="19.3984375" style="1447" customWidth="1"/>
    <col min="3593" max="3840" width="9" style="1447"/>
    <col min="3841" max="3847" width="12" style="1447" customWidth="1"/>
    <col min="3848" max="3848" width="19.3984375" style="1447" customWidth="1"/>
    <col min="3849" max="4096" width="9" style="1447"/>
    <col min="4097" max="4103" width="12" style="1447" customWidth="1"/>
    <col min="4104" max="4104" width="19.3984375" style="1447" customWidth="1"/>
    <col min="4105" max="4352" width="9" style="1447"/>
    <col min="4353" max="4359" width="12" style="1447" customWidth="1"/>
    <col min="4360" max="4360" width="19.3984375" style="1447" customWidth="1"/>
    <col min="4361" max="4608" width="9" style="1447"/>
    <col min="4609" max="4615" width="12" style="1447" customWidth="1"/>
    <col min="4616" max="4616" width="19.3984375" style="1447" customWidth="1"/>
    <col min="4617" max="4864" width="9" style="1447"/>
    <col min="4865" max="4871" width="12" style="1447" customWidth="1"/>
    <col min="4872" max="4872" width="19.3984375" style="1447" customWidth="1"/>
    <col min="4873" max="5120" width="9" style="1447"/>
    <col min="5121" max="5127" width="12" style="1447" customWidth="1"/>
    <col min="5128" max="5128" width="19.3984375" style="1447" customWidth="1"/>
    <col min="5129" max="5376" width="9" style="1447"/>
    <col min="5377" max="5383" width="12" style="1447" customWidth="1"/>
    <col min="5384" max="5384" width="19.3984375" style="1447" customWidth="1"/>
    <col min="5385" max="5632" width="9" style="1447"/>
    <col min="5633" max="5639" width="12" style="1447" customWidth="1"/>
    <col min="5640" max="5640" width="19.3984375" style="1447" customWidth="1"/>
    <col min="5641" max="5888" width="9" style="1447"/>
    <col min="5889" max="5895" width="12" style="1447" customWidth="1"/>
    <col min="5896" max="5896" width="19.3984375" style="1447" customWidth="1"/>
    <col min="5897" max="6144" width="9" style="1447"/>
    <col min="6145" max="6151" width="12" style="1447" customWidth="1"/>
    <col min="6152" max="6152" width="19.3984375" style="1447" customWidth="1"/>
    <col min="6153" max="6400" width="9" style="1447"/>
    <col min="6401" max="6407" width="12" style="1447" customWidth="1"/>
    <col min="6408" max="6408" width="19.3984375" style="1447" customWidth="1"/>
    <col min="6409" max="6656" width="9" style="1447"/>
    <col min="6657" max="6663" width="12" style="1447" customWidth="1"/>
    <col min="6664" max="6664" width="19.3984375" style="1447" customWidth="1"/>
    <col min="6665" max="6912" width="9" style="1447"/>
    <col min="6913" max="6919" width="12" style="1447" customWidth="1"/>
    <col min="6920" max="6920" width="19.3984375" style="1447" customWidth="1"/>
    <col min="6921" max="7168" width="9" style="1447"/>
    <col min="7169" max="7175" width="12" style="1447" customWidth="1"/>
    <col min="7176" max="7176" width="19.3984375" style="1447" customWidth="1"/>
    <col min="7177" max="7424" width="9" style="1447"/>
    <col min="7425" max="7431" width="12" style="1447" customWidth="1"/>
    <col min="7432" max="7432" width="19.3984375" style="1447" customWidth="1"/>
    <col min="7433" max="7680" width="9" style="1447"/>
    <col min="7681" max="7687" width="12" style="1447" customWidth="1"/>
    <col min="7688" max="7688" width="19.3984375" style="1447" customWidth="1"/>
    <col min="7689" max="7936" width="9" style="1447"/>
    <col min="7937" max="7943" width="12" style="1447" customWidth="1"/>
    <col min="7944" max="7944" width="19.3984375" style="1447" customWidth="1"/>
    <col min="7945" max="8192" width="9" style="1447"/>
    <col min="8193" max="8199" width="12" style="1447" customWidth="1"/>
    <col min="8200" max="8200" width="19.3984375" style="1447" customWidth="1"/>
    <col min="8201" max="8448" width="9" style="1447"/>
    <col min="8449" max="8455" width="12" style="1447" customWidth="1"/>
    <col min="8456" max="8456" width="19.3984375" style="1447" customWidth="1"/>
    <col min="8457" max="8704" width="9" style="1447"/>
    <col min="8705" max="8711" width="12" style="1447" customWidth="1"/>
    <col min="8712" max="8712" width="19.3984375" style="1447" customWidth="1"/>
    <col min="8713" max="8960" width="9" style="1447"/>
    <col min="8961" max="8967" width="12" style="1447" customWidth="1"/>
    <col min="8968" max="8968" width="19.3984375" style="1447" customWidth="1"/>
    <col min="8969" max="9216" width="9" style="1447"/>
    <col min="9217" max="9223" width="12" style="1447" customWidth="1"/>
    <col min="9224" max="9224" width="19.3984375" style="1447" customWidth="1"/>
    <col min="9225" max="9472" width="9" style="1447"/>
    <col min="9473" max="9479" width="12" style="1447" customWidth="1"/>
    <col min="9480" max="9480" width="19.3984375" style="1447" customWidth="1"/>
    <col min="9481" max="9728" width="9" style="1447"/>
    <col min="9729" max="9735" width="12" style="1447" customWidth="1"/>
    <col min="9736" max="9736" width="19.3984375" style="1447" customWidth="1"/>
    <col min="9737" max="9984" width="9" style="1447"/>
    <col min="9985" max="9991" width="12" style="1447" customWidth="1"/>
    <col min="9992" max="9992" width="19.3984375" style="1447" customWidth="1"/>
    <col min="9993" max="10240" width="9" style="1447"/>
    <col min="10241" max="10247" width="12" style="1447" customWidth="1"/>
    <col min="10248" max="10248" width="19.3984375" style="1447" customWidth="1"/>
    <col min="10249" max="10496" width="9" style="1447"/>
    <col min="10497" max="10503" width="12" style="1447" customWidth="1"/>
    <col min="10504" max="10504" width="19.3984375" style="1447" customWidth="1"/>
    <col min="10505" max="10752" width="9" style="1447"/>
    <col min="10753" max="10759" width="12" style="1447" customWidth="1"/>
    <col min="10760" max="10760" width="19.3984375" style="1447" customWidth="1"/>
    <col min="10761" max="11008" width="9" style="1447"/>
    <col min="11009" max="11015" width="12" style="1447" customWidth="1"/>
    <col min="11016" max="11016" width="19.3984375" style="1447" customWidth="1"/>
    <col min="11017" max="11264" width="9" style="1447"/>
    <col min="11265" max="11271" width="12" style="1447" customWidth="1"/>
    <col min="11272" max="11272" width="19.3984375" style="1447" customWidth="1"/>
    <col min="11273" max="11520" width="9" style="1447"/>
    <col min="11521" max="11527" width="12" style="1447" customWidth="1"/>
    <col min="11528" max="11528" width="19.3984375" style="1447" customWidth="1"/>
    <col min="11529" max="11776" width="9" style="1447"/>
    <col min="11777" max="11783" width="12" style="1447" customWidth="1"/>
    <col min="11784" max="11784" width="19.3984375" style="1447" customWidth="1"/>
    <col min="11785" max="12032" width="9" style="1447"/>
    <col min="12033" max="12039" width="12" style="1447" customWidth="1"/>
    <col min="12040" max="12040" width="19.3984375" style="1447" customWidth="1"/>
    <col min="12041" max="12288" width="9" style="1447"/>
    <col min="12289" max="12295" width="12" style="1447" customWidth="1"/>
    <col min="12296" max="12296" width="19.3984375" style="1447" customWidth="1"/>
    <col min="12297" max="12544" width="9" style="1447"/>
    <col min="12545" max="12551" width="12" style="1447" customWidth="1"/>
    <col min="12552" max="12552" width="19.3984375" style="1447" customWidth="1"/>
    <col min="12553" max="12800" width="9" style="1447"/>
    <col min="12801" max="12807" width="12" style="1447" customWidth="1"/>
    <col min="12808" max="12808" width="19.3984375" style="1447" customWidth="1"/>
    <col min="12809" max="13056" width="9" style="1447"/>
    <col min="13057" max="13063" width="12" style="1447" customWidth="1"/>
    <col min="13064" max="13064" width="19.3984375" style="1447" customWidth="1"/>
    <col min="13065" max="13312" width="9" style="1447"/>
    <col min="13313" max="13319" width="12" style="1447" customWidth="1"/>
    <col min="13320" max="13320" width="19.3984375" style="1447" customWidth="1"/>
    <col min="13321" max="13568" width="9" style="1447"/>
    <col min="13569" max="13575" width="12" style="1447" customWidth="1"/>
    <col min="13576" max="13576" width="19.3984375" style="1447" customWidth="1"/>
    <col min="13577" max="13824" width="9" style="1447"/>
    <col min="13825" max="13831" width="12" style="1447" customWidth="1"/>
    <col min="13832" max="13832" width="19.3984375" style="1447" customWidth="1"/>
    <col min="13833" max="14080" width="9" style="1447"/>
    <col min="14081" max="14087" width="12" style="1447" customWidth="1"/>
    <col min="14088" max="14088" width="19.3984375" style="1447" customWidth="1"/>
    <col min="14089" max="14336" width="9" style="1447"/>
    <col min="14337" max="14343" width="12" style="1447" customWidth="1"/>
    <col min="14344" max="14344" width="19.3984375" style="1447" customWidth="1"/>
    <col min="14345" max="14592" width="9" style="1447"/>
    <col min="14593" max="14599" width="12" style="1447" customWidth="1"/>
    <col min="14600" max="14600" width="19.3984375" style="1447" customWidth="1"/>
    <col min="14601" max="14848" width="9" style="1447"/>
    <col min="14849" max="14855" width="12" style="1447" customWidth="1"/>
    <col min="14856" max="14856" width="19.3984375" style="1447" customWidth="1"/>
    <col min="14857" max="15104" width="9" style="1447"/>
    <col min="15105" max="15111" width="12" style="1447" customWidth="1"/>
    <col min="15112" max="15112" width="19.3984375" style="1447" customWidth="1"/>
    <col min="15113" max="15360" width="9" style="1447"/>
    <col min="15361" max="15367" width="12" style="1447" customWidth="1"/>
    <col min="15368" max="15368" width="19.3984375" style="1447" customWidth="1"/>
    <col min="15369" max="15616" width="9" style="1447"/>
    <col min="15617" max="15623" width="12" style="1447" customWidth="1"/>
    <col min="15624" max="15624" width="19.3984375" style="1447" customWidth="1"/>
    <col min="15625" max="15872" width="9" style="1447"/>
    <col min="15873" max="15879" width="12" style="1447" customWidth="1"/>
    <col min="15880" max="15880" width="19.3984375" style="1447" customWidth="1"/>
    <col min="15881" max="16128" width="9" style="1447"/>
    <col min="16129" max="16135" width="12" style="1447" customWidth="1"/>
    <col min="16136" max="16136" width="19.3984375" style="1447" customWidth="1"/>
    <col min="16137" max="16384" width="9" style="1447"/>
  </cols>
  <sheetData>
    <row r="1" spans="1:8" ht="30" customHeight="1">
      <c r="A1" s="4112" t="s">
        <v>2364</v>
      </c>
      <c r="B1" s="4113"/>
      <c r="C1" s="4113"/>
      <c r="D1" s="4113"/>
      <c r="E1" s="4113"/>
      <c r="F1" s="4113"/>
      <c r="G1" s="4113"/>
      <c r="H1" s="1446" t="s">
        <v>609</v>
      </c>
    </row>
    <row r="2" spans="1:8" ht="30" customHeight="1">
      <c r="A2" s="4114" t="s">
        <v>2365</v>
      </c>
      <c r="B2" s="4114"/>
      <c r="C2" s="4114"/>
      <c r="D2" s="4114" t="s">
        <v>2366</v>
      </c>
      <c r="E2" s="4114"/>
      <c r="F2" s="4114"/>
      <c r="G2" s="4114"/>
      <c r="H2" s="4115" t="s">
        <v>2367</v>
      </c>
    </row>
    <row r="3" spans="1:8" ht="43.5" customHeight="1">
      <c r="A3" s="1448" t="s">
        <v>2368</v>
      </c>
      <c r="B3" s="1448" t="s">
        <v>2369</v>
      </c>
      <c r="C3" s="1448" t="s">
        <v>2370</v>
      </c>
      <c r="D3" s="1448" t="s">
        <v>2371</v>
      </c>
      <c r="E3" s="1448" t="s">
        <v>2372</v>
      </c>
      <c r="F3" s="1448" t="s">
        <v>2373</v>
      </c>
      <c r="G3" s="1448" t="s">
        <v>2374</v>
      </c>
      <c r="H3" s="4116"/>
    </row>
    <row r="4" spans="1:8" ht="30" customHeight="1">
      <c r="A4" s="1449"/>
      <c r="B4" s="1449"/>
      <c r="C4" s="1449"/>
      <c r="D4" s="1435"/>
      <c r="E4" s="1435"/>
      <c r="F4" s="1435"/>
      <c r="G4" s="1435"/>
      <c r="H4" s="1450"/>
    </row>
    <row r="5" spans="1:8" ht="99" customHeight="1">
      <c r="A5" s="4117" t="s">
        <v>2375</v>
      </c>
      <c r="B5" s="4118"/>
      <c r="C5" s="4118"/>
      <c r="D5" s="4118"/>
      <c r="E5" s="4118"/>
      <c r="F5" s="4118"/>
      <c r="G5" s="4118"/>
      <c r="H5" s="4118"/>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173</vt:i4>
      </vt:variant>
      <vt:variant>
        <vt:lpstr>命名范围</vt:lpstr>
      </vt:variant>
      <vt:variant>
        <vt:i4>120</vt:i4>
      </vt:variant>
    </vt:vector>
  </HeadingPairs>
  <TitlesOfParts>
    <vt:vector size="293"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研发加计扣除归集审核表</vt:lpstr>
      <vt:lpstr>研发项目可加计扣除研究开发费用情况归集表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研发加计扣除归集审核表!Print_Area</vt:lpstr>
      <vt:lpstr>研发项目可加计扣除研究开发费用情况归集表!Print_Area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半妖白鷐</cp:lastModifiedBy>
  <cp:lastPrinted>2017-03-11T03:30:03Z</cp:lastPrinted>
  <dcterms:created xsi:type="dcterms:W3CDTF">2012-02-13T06:17:15Z</dcterms:created>
  <dcterms:modified xsi:type="dcterms:W3CDTF">2017-05-18T13:08:36Z</dcterms:modified>
</cp:coreProperties>
</file>